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3 Regulatory Half yearly Reports\Half yearly financials\3 FY 2017-18\March 2018\Financials &amp; Portfolio\FINAL\"/>
    </mc:Choice>
  </mc:AlternateContent>
  <xr:revisionPtr revIDLastSave="0" documentId="13_ncr:1_{32E8A468-8BB2-45A7-9EDB-ABF2BD6008FF}" xr6:coauthVersionLast="31" xr6:coauthVersionMax="31" xr10:uidLastSave="{00000000-0000-0000-0000-000000000000}"/>
  <workbookProtection workbookPassword="C71F" lockStructure="1"/>
  <bookViews>
    <workbookView xWindow="75" yWindow="75" windowWidth="19140" windowHeight="7335" firstSheet="2" activeTab="2" xr2:uid="{00000000-000D-0000-FFFF-FFFF00000000}"/>
  </bookViews>
  <sheets>
    <sheet name="Asso invt" sheetId="18" state="hidden" r:id="rId1"/>
    <sheet name="AMFI AUM 31 March 2018" sheetId="7" state="hidden" r:id="rId2"/>
    <sheet name="March 2018 HY " sheetId="1" r:id="rId3"/>
    <sheet name="Notes to Accounts" sheetId="2" r:id="rId4"/>
    <sheet name="TB Mar18" sheetId="10" state="hidden" r:id="rId5"/>
    <sheet name="Sep 2017 HY" sheetId="6" state="hidden" r:id="rId6"/>
    <sheet name="SIM NAV 31 03 2018" sheetId="13" state="hidden" r:id="rId7"/>
    <sheet name="code mapping" sheetId="11" state="hidden" r:id="rId8"/>
    <sheet name="DB Mapping" sheetId="17" state="hidden" r:id="rId9"/>
    <sheet name="TB mapping" sheetId="12" state="hidden" r:id="rId10"/>
    <sheet name="Exp ratio" sheetId="15" state="hidden" r:id="rId11"/>
    <sheet name="AAUM" sheetId="16" state="hidden" r:id="rId12"/>
    <sheet name="Scheme details" sheetId="8" state="hidden" r:id="rId13"/>
    <sheet name="Plan mapping" sheetId="14" state="hidden" r:id="rId14"/>
    <sheet name="Annexure 1" sheetId="3" r:id="rId15"/>
    <sheet name="Annexure 2" sheetId="4" r:id="rId16"/>
  </sheets>
  <definedNames>
    <definedName name="_xlnm._FilterDatabase" localSheetId="1" hidden="1">'AMFI AUM 31 March 2018'!$A$1:$I$180</definedName>
    <definedName name="_xlnm._FilterDatabase" localSheetId="7" hidden="1">'code mapping'!$A$1:$C$3163</definedName>
    <definedName name="_xlnm._FilterDatabase" localSheetId="8" hidden="1">'DB Mapping'!$A$1:$D$88</definedName>
    <definedName name="_xlnm._FilterDatabase" localSheetId="13" hidden="1">'Plan mapping'!$A$1:$C$180</definedName>
    <definedName name="_xlnm._FilterDatabase" localSheetId="12" hidden="1">'Scheme details'!$A$1:$F$47</definedName>
    <definedName name="_xlnm._FilterDatabase" localSheetId="6" hidden="1">'SIM NAV 31 03 2018'!$A$2:$AL$110</definedName>
    <definedName name="_xlnm._FilterDatabase" localSheetId="9" hidden="1">'TB mapping'!$A$1:$D$185</definedName>
    <definedName name="_xlnm._FilterDatabase" localSheetId="4" hidden="1">'TB Mar18'!$A$1:$AF$3204</definedName>
    <definedName name="_xlnm.Print_Titles" localSheetId="14">'Annexure 1'!$1:$8</definedName>
    <definedName name="_xlnm.Print_Titles" localSheetId="15">'Annexure 2'!$1:$10</definedName>
    <definedName name="_xlnm.Print_Titles" localSheetId="2">'March 2018 HY '!$C:$D,'March 2018 HY '!$1:$5</definedName>
  </definedNames>
  <calcPr calcId="179017"/>
</workbook>
</file>

<file path=xl/calcChain.xml><?xml version="1.0" encoding="utf-8"?>
<calcChain xmlns="http://schemas.openxmlformats.org/spreadsheetml/2006/main">
  <c r="E15" i="1" l="1"/>
  <c r="T97" i="1" l="1"/>
  <c r="B274" i="10" l="1"/>
  <c r="B281" i="10"/>
  <c r="B282" i="10"/>
  <c r="AL88" i="13"/>
  <c r="H63" i="3" l="1"/>
  <c r="F63" i="3"/>
  <c r="H33" i="3"/>
  <c r="F33" i="3"/>
  <c r="H19" i="3"/>
  <c r="F19" i="3"/>
  <c r="AX143" i="1" l="1"/>
  <c r="AW143" i="1"/>
  <c r="AV143" i="1"/>
  <c r="AU143" i="1"/>
  <c r="AT143" i="1"/>
  <c r="AS143" i="1"/>
  <c r="AR143" i="1"/>
  <c r="AQ143" i="1"/>
  <c r="AP143" i="1"/>
  <c r="AO143" i="1"/>
  <c r="AN143" i="1"/>
  <c r="AM143" i="1"/>
  <c r="AL143" i="1"/>
  <c r="AK143" i="1"/>
  <c r="AJ143" i="1"/>
  <c r="AI143" i="1"/>
  <c r="AH143" i="1"/>
  <c r="AG143" i="1"/>
  <c r="AF143" i="1"/>
  <c r="AE143" i="1"/>
  <c r="AD143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AB756" i="10"/>
  <c r="AB755" i="10"/>
  <c r="AB754" i="10"/>
  <c r="AB753" i="10"/>
  <c r="AB752" i="10"/>
  <c r="AB751" i="10"/>
  <c r="AB750" i="10"/>
  <c r="AB749" i="10"/>
  <c r="AB748" i="10"/>
  <c r="AB747" i="10"/>
  <c r="AB746" i="10"/>
  <c r="AB745" i="10"/>
  <c r="AB744" i="10"/>
  <c r="AB743" i="10"/>
  <c r="AB742" i="10"/>
  <c r="AB741" i="10"/>
  <c r="AB740" i="10"/>
  <c r="AB739" i="10"/>
  <c r="AB738" i="10"/>
  <c r="AB737" i="10"/>
  <c r="AB736" i="10"/>
  <c r="AB735" i="10"/>
  <c r="AB734" i="10"/>
  <c r="AB733" i="10"/>
  <c r="AB732" i="10"/>
  <c r="AB731" i="10"/>
  <c r="AB730" i="10"/>
  <c r="AB729" i="10"/>
  <c r="AB728" i="10"/>
  <c r="AB727" i="10"/>
  <c r="AB726" i="10"/>
  <c r="AB725" i="10"/>
  <c r="AB724" i="10"/>
  <c r="AB723" i="10"/>
  <c r="AB722" i="10"/>
  <c r="AB721" i="10"/>
  <c r="AB720" i="10"/>
  <c r="AB719" i="10"/>
  <c r="AB718" i="10"/>
  <c r="AB717" i="10"/>
  <c r="AB716" i="10"/>
  <c r="AB715" i="10"/>
  <c r="AB714" i="10"/>
  <c r="AB713" i="10"/>
  <c r="AB712" i="10"/>
  <c r="AB711" i="10"/>
  <c r="AB710" i="10"/>
  <c r="AB709" i="10"/>
  <c r="AB708" i="10"/>
  <c r="AB707" i="10"/>
  <c r="AB706" i="10"/>
  <c r="AB705" i="10"/>
  <c r="AB704" i="10"/>
  <c r="AB703" i="10"/>
  <c r="AB702" i="10"/>
  <c r="AB701" i="10"/>
  <c r="AB700" i="10"/>
  <c r="AB699" i="10"/>
  <c r="AB698" i="10"/>
  <c r="AB697" i="10"/>
  <c r="AB696" i="10"/>
  <c r="AB695" i="10"/>
  <c r="AB694" i="10"/>
  <c r="AB693" i="10"/>
  <c r="AB692" i="10"/>
  <c r="AB691" i="10"/>
  <c r="P36" i="15"/>
  <c r="Q36" i="15"/>
  <c r="J41" i="15" l="1"/>
  <c r="H41" i="15"/>
  <c r="J40" i="15"/>
  <c r="H40" i="15"/>
  <c r="J39" i="15"/>
  <c r="H39" i="15"/>
  <c r="J38" i="15"/>
  <c r="H38" i="15"/>
  <c r="J37" i="15"/>
  <c r="H37" i="15"/>
  <c r="J36" i="15"/>
  <c r="H36" i="15"/>
  <c r="J35" i="15"/>
  <c r="H35" i="15"/>
  <c r="J34" i="15"/>
  <c r="H34" i="15"/>
  <c r="J33" i="15"/>
  <c r="H33" i="15"/>
  <c r="J32" i="15"/>
  <c r="H32" i="15"/>
  <c r="AX91" i="6"/>
  <c r="AW91" i="6"/>
  <c r="AV91" i="6"/>
  <c r="AU91" i="6"/>
  <c r="AT91" i="6"/>
  <c r="AS91" i="6"/>
  <c r="AR91" i="6"/>
  <c r="AQ91" i="6"/>
  <c r="AP91" i="6"/>
  <c r="AO91" i="6"/>
  <c r="AN91" i="6"/>
  <c r="AM91" i="6"/>
  <c r="AL91" i="6"/>
  <c r="AK91" i="6"/>
  <c r="AJ91" i="6"/>
  <c r="AI91" i="6"/>
  <c r="AH91" i="6"/>
  <c r="AG91" i="6"/>
  <c r="AF91" i="6"/>
  <c r="AE91" i="6"/>
  <c r="AD91" i="6"/>
  <c r="AC91" i="6"/>
  <c r="AB91" i="6"/>
  <c r="AA91" i="6"/>
  <c r="Z91" i="6"/>
  <c r="Y91" i="6"/>
  <c r="X91" i="6"/>
  <c r="W91" i="6"/>
  <c r="V91" i="6"/>
  <c r="U91" i="6"/>
  <c r="T91" i="6"/>
  <c r="S91" i="6"/>
  <c r="R91" i="6"/>
  <c r="Q91" i="6"/>
  <c r="P91" i="6"/>
  <c r="O91" i="6"/>
  <c r="N91" i="6"/>
  <c r="M91" i="6"/>
  <c r="L91" i="6"/>
  <c r="K91" i="6"/>
  <c r="J91" i="6"/>
  <c r="I91" i="6"/>
  <c r="H91" i="6"/>
  <c r="G91" i="6"/>
  <c r="F91" i="6"/>
  <c r="E91" i="6"/>
  <c r="C755" i="10"/>
  <c r="E755" i="10" s="1"/>
  <c r="B755" i="10"/>
  <c r="D755" i="10" s="1"/>
  <c r="A755" i="10"/>
  <c r="C754" i="10"/>
  <c r="E754" i="10" s="1"/>
  <c r="B754" i="10"/>
  <c r="D754" i="10" s="1"/>
  <c r="A754" i="10"/>
  <c r="C753" i="10"/>
  <c r="E753" i="10" s="1"/>
  <c r="B753" i="10"/>
  <c r="D753" i="10" s="1"/>
  <c r="A753" i="10"/>
  <c r="C752" i="10"/>
  <c r="E752" i="10" s="1"/>
  <c r="B752" i="10"/>
  <c r="D752" i="10" s="1"/>
  <c r="A752" i="10"/>
  <c r="C751" i="10"/>
  <c r="E751" i="10" s="1"/>
  <c r="B751" i="10"/>
  <c r="D751" i="10" s="1"/>
  <c r="A751" i="10"/>
  <c r="C750" i="10"/>
  <c r="E750" i="10" s="1"/>
  <c r="B750" i="10"/>
  <c r="D750" i="10" s="1"/>
  <c r="A750" i="10"/>
  <c r="C749" i="10"/>
  <c r="E749" i="10" s="1"/>
  <c r="B749" i="10"/>
  <c r="D749" i="10" s="1"/>
  <c r="A749" i="10"/>
  <c r="C748" i="10"/>
  <c r="E748" i="10" s="1"/>
  <c r="B748" i="10"/>
  <c r="D748" i="10" s="1"/>
  <c r="A748" i="10"/>
  <c r="C747" i="10"/>
  <c r="E747" i="10" s="1"/>
  <c r="B747" i="10"/>
  <c r="D747" i="10" s="1"/>
  <c r="A747" i="10"/>
  <c r="C746" i="10"/>
  <c r="E746" i="10" s="1"/>
  <c r="B746" i="10"/>
  <c r="D746" i="10" s="1"/>
  <c r="A746" i="10"/>
  <c r="C745" i="10"/>
  <c r="E745" i="10" s="1"/>
  <c r="B745" i="10"/>
  <c r="D745" i="10" s="1"/>
  <c r="A745" i="10"/>
  <c r="C744" i="10"/>
  <c r="E744" i="10" s="1"/>
  <c r="B744" i="10"/>
  <c r="D744" i="10" s="1"/>
  <c r="A744" i="10"/>
  <c r="C743" i="10"/>
  <c r="E743" i="10" s="1"/>
  <c r="B743" i="10"/>
  <c r="D743" i="10" s="1"/>
  <c r="A743" i="10"/>
  <c r="C742" i="10"/>
  <c r="E742" i="10" s="1"/>
  <c r="B742" i="10"/>
  <c r="D742" i="10" s="1"/>
  <c r="A742" i="10"/>
  <c r="C741" i="10"/>
  <c r="E741" i="10" s="1"/>
  <c r="B741" i="10"/>
  <c r="D741" i="10" s="1"/>
  <c r="A741" i="10"/>
  <c r="C740" i="10"/>
  <c r="E740" i="10" s="1"/>
  <c r="B740" i="10"/>
  <c r="D740" i="10" s="1"/>
  <c r="A740" i="10"/>
  <c r="C739" i="10"/>
  <c r="E739" i="10" s="1"/>
  <c r="B739" i="10"/>
  <c r="D739" i="10" s="1"/>
  <c r="A739" i="10"/>
  <c r="C738" i="10"/>
  <c r="E738" i="10" s="1"/>
  <c r="B738" i="10"/>
  <c r="D738" i="10" s="1"/>
  <c r="A738" i="10"/>
  <c r="C737" i="10"/>
  <c r="E737" i="10" s="1"/>
  <c r="B737" i="10"/>
  <c r="D737" i="10" s="1"/>
  <c r="A737" i="10"/>
  <c r="C736" i="10"/>
  <c r="E736" i="10" s="1"/>
  <c r="B736" i="10"/>
  <c r="D736" i="10" s="1"/>
  <c r="A736" i="10"/>
  <c r="C735" i="10"/>
  <c r="E735" i="10" s="1"/>
  <c r="B735" i="10"/>
  <c r="D735" i="10" s="1"/>
  <c r="A735" i="10"/>
  <c r="C734" i="10"/>
  <c r="E734" i="10" s="1"/>
  <c r="B734" i="10"/>
  <c r="D734" i="10" s="1"/>
  <c r="A734" i="10"/>
  <c r="C733" i="10"/>
  <c r="E733" i="10" s="1"/>
  <c r="B733" i="10"/>
  <c r="D733" i="10" s="1"/>
  <c r="A733" i="10"/>
  <c r="C732" i="10"/>
  <c r="E732" i="10" s="1"/>
  <c r="B732" i="10"/>
  <c r="D732" i="10" s="1"/>
  <c r="A732" i="10"/>
  <c r="C731" i="10"/>
  <c r="E731" i="10" s="1"/>
  <c r="B731" i="10"/>
  <c r="D731" i="10" s="1"/>
  <c r="A731" i="10"/>
  <c r="C730" i="10"/>
  <c r="E730" i="10" s="1"/>
  <c r="B730" i="10"/>
  <c r="D730" i="10" s="1"/>
  <c r="A730" i="10"/>
  <c r="C729" i="10"/>
  <c r="E729" i="10" s="1"/>
  <c r="B729" i="10"/>
  <c r="D729" i="10" s="1"/>
  <c r="A729" i="10"/>
  <c r="C728" i="10"/>
  <c r="E728" i="10" s="1"/>
  <c r="B728" i="10"/>
  <c r="D728" i="10" s="1"/>
  <c r="A728" i="10"/>
  <c r="C727" i="10"/>
  <c r="E727" i="10" s="1"/>
  <c r="B727" i="10"/>
  <c r="D727" i="10" s="1"/>
  <c r="A727" i="10"/>
  <c r="C726" i="10"/>
  <c r="E726" i="10" s="1"/>
  <c r="B726" i="10"/>
  <c r="D726" i="10" s="1"/>
  <c r="A726" i="10"/>
  <c r="C725" i="10"/>
  <c r="E725" i="10" s="1"/>
  <c r="B725" i="10"/>
  <c r="D725" i="10" s="1"/>
  <c r="A725" i="10"/>
  <c r="C724" i="10"/>
  <c r="E724" i="10" s="1"/>
  <c r="B724" i="10"/>
  <c r="D724" i="10" s="1"/>
  <c r="A724" i="10"/>
  <c r="C723" i="10"/>
  <c r="E723" i="10" s="1"/>
  <c r="B723" i="10"/>
  <c r="D723" i="10" s="1"/>
  <c r="A723" i="10"/>
  <c r="C722" i="10"/>
  <c r="E722" i="10" s="1"/>
  <c r="B722" i="10"/>
  <c r="D722" i="10" s="1"/>
  <c r="A722" i="10"/>
  <c r="C721" i="10"/>
  <c r="E721" i="10" s="1"/>
  <c r="B721" i="10"/>
  <c r="D721" i="10" s="1"/>
  <c r="A721" i="10"/>
  <c r="C720" i="10"/>
  <c r="E720" i="10" s="1"/>
  <c r="B720" i="10"/>
  <c r="D720" i="10" s="1"/>
  <c r="A720" i="10"/>
  <c r="C719" i="10"/>
  <c r="E719" i="10" s="1"/>
  <c r="B719" i="10"/>
  <c r="D719" i="10" s="1"/>
  <c r="A719" i="10"/>
  <c r="C718" i="10"/>
  <c r="E718" i="10" s="1"/>
  <c r="B718" i="10"/>
  <c r="D718" i="10" s="1"/>
  <c r="A718" i="10"/>
  <c r="C717" i="10"/>
  <c r="E717" i="10" s="1"/>
  <c r="B717" i="10"/>
  <c r="D717" i="10" s="1"/>
  <c r="A717" i="10"/>
  <c r="C716" i="10"/>
  <c r="E716" i="10" s="1"/>
  <c r="B716" i="10"/>
  <c r="D716" i="10" s="1"/>
  <c r="A716" i="10"/>
  <c r="C715" i="10"/>
  <c r="E715" i="10" s="1"/>
  <c r="B715" i="10"/>
  <c r="D715" i="10" s="1"/>
  <c r="A715" i="10"/>
  <c r="C714" i="10"/>
  <c r="E714" i="10" s="1"/>
  <c r="B714" i="10"/>
  <c r="D714" i="10" s="1"/>
  <c r="A714" i="10"/>
  <c r="C713" i="10"/>
  <c r="E713" i="10" s="1"/>
  <c r="B713" i="10"/>
  <c r="D713" i="10" s="1"/>
  <c r="A713" i="10"/>
  <c r="C712" i="10"/>
  <c r="E712" i="10" s="1"/>
  <c r="B712" i="10"/>
  <c r="D712" i="10" s="1"/>
  <c r="A712" i="10"/>
  <c r="C711" i="10"/>
  <c r="E711" i="10" s="1"/>
  <c r="B711" i="10"/>
  <c r="D711" i="10" s="1"/>
  <c r="A711" i="10"/>
  <c r="C710" i="10"/>
  <c r="E710" i="10" s="1"/>
  <c r="B710" i="10"/>
  <c r="D710" i="10" s="1"/>
  <c r="A710" i="10"/>
  <c r="C709" i="10"/>
  <c r="E709" i="10" s="1"/>
  <c r="B709" i="10"/>
  <c r="D709" i="10" s="1"/>
  <c r="A709" i="10"/>
  <c r="C708" i="10"/>
  <c r="E708" i="10" s="1"/>
  <c r="B708" i="10"/>
  <c r="D708" i="10" s="1"/>
  <c r="A708" i="10"/>
  <c r="C707" i="10"/>
  <c r="E707" i="10" s="1"/>
  <c r="B707" i="10"/>
  <c r="D707" i="10" s="1"/>
  <c r="A707" i="10"/>
  <c r="C706" i="10"/>
  <c r="E706" i="10" s="1"/>
  <c r="B706" i="10"/>
  <c r="D706" i="10" s="1"/>
  <c r="A706" i="10"/>
  <c r="C705" i="10"/>
  <c r="E705" i="10" s="1"/>
  <c r="B705" i="10"/>
  <c r="D705" i="10" s="1"/>
  <c r="A705" i="10"/>
  <c r="C704" i="10"/>
  <c r="E704" i="10" s="1"/>
  <c r="B704" i="10"/>
  <c r="D704" i="10" s="1"/>
  <c r="A704" i="10"/>
  <c r="C703" i="10"/>
  <c r="E703" i="10" s="1"/>
  <c r="B703" i="10"/>
  <c r="D703" i="10" s="1"/>
  <c r="A703" i="10"/>
  <c r="C702" i="10"/>
  <c r="E702" i="10" s="1"/>
  <c r="B702" i="10"/>
  <c r="D702" i="10" s="1"/>
  <c r="A702" i="10"/>
  <c r="C701" i="10"/>
  <c r="E701" i="10" s="1"/>
  <c r="B701" i="10"/>
  <c r="D701" i="10" s="1"/>
  <c r="A701" i="10"/>
  <c r="C700" i="10"/>
  <c r="E700" i="10" s="1"/>
  <c r="B700" i="10"/>
  <c r="D700" i="10" s="1"/>
  <c r="A700" i="10"/>
  <c r="C699" i="10"/>
  <c r="E699" i="10" s="1"/>
  <c r="B699" i="10"/>
  <c r="D699" i="10" s="1"/>
  <c r="A699" i="10"/>
  <c r="C698" i="10"/>
  <c r="E698" i="10" s="1"/>
  <c r="B698" i="10"/>
  <c r="D698" i="10" s="1"/>
  <c r="A698" i="10"/>
  <c r="C697" i="10"/>
  <c r="E697" i="10" s="1"/>
  <c r="B697" i="10"/>
  <c r="D697" i="10" s="1"/>
  <c r="A697" i="10"/>
  <c r="C696" i="10"/>
  <c r="E696" i="10" s="1"/>
  <c r="B696" i="10"/>
  <c r="D696" i="10" s="1"/>
  <c r="A696" i="10"/>
  <c r="C695" i="10"/>
  <c r="E695" i="10" s="1"/>
  <c r="B695" i="10"/>
  <c r="D695" i="10" s="1"/>
  <c r="A695" i="10"/>
  <c r="C694" i="10"/>
  <c r="E694" i="10" s="1"/>
  <c r="B694" i="10"/>
  <c r="D694" i="10" s="1"/>
  <c r="A694" i="10"/>
  <c r="C693" i="10"/>
  <c r="E693" i="10" s="1"/>
  <c r="B693" i="10"/>
  <c r="D693" i="10" s="1"/>
  <c r="A693" i="10"/>
  <c r="C692" i="10"/>
  <c r="E692" i="10" s="1"/>
  <c r="B692" i="10"/>
  <c r="D692" i="10" s="1"/>
  <c r="A692" i="10"/>
  <c r="C691" i="10"/>
  <c r="E691" i="10" s="1"/>
  <c r="B691" i="10"/>
  <c r="D691" i="10" s="1"/>
  <c r="A691" i="10"/>
  <c r="C756" i="10"/>
  <c r="E756" i="10" s="1"/>
  <c r="B756" i="10"/>
  <c r="D756" i="10" s="1"/>
  <c r="A756" i="10"/>
  <c r="C688" i="10"/>
  <c r="E688" i="10" s="1"/>
  <c r="B688" i="10"/>
  <c r="D688" i="10" s="1"/>
  <c r="A688" i="10"/>
  <c r="C687" i="10"/>
  <c r="E687" i="10" s="1"/>
  <c r="B687" i="10"/>
  <c r="D687" i="10" s="1"/>
  <c r="A687" i="10"/>
  <c r="C686" i="10"/>
  <c r="E686" i="10" s="1"/>
  <c r="B686" i="10"/>
  <c r="D686" i="10" s="1"/>
  <c r="A686" i="10"/>
  <c r="C685" i="10"/>
  <c r="E685" i="10" s="1"/>
  <c r="B685" i="10"/>
  <c r="D685" i="10" s="1"/>
  <c r="A685" i="10"/>
  <c r="C684" i="10"/>
  <c r="E684" i="10" s="1"/>
  <c r="B684" i="10"/>
  <c r="D684" i="10" s="1"/>
  <c r="A684" i="10"/>
  <c r="C683" i="10"/>
  <c r="E683" i="10" s="1"/>
  <c r="B683" i="10"/>
  <c r="D683" i="10" s="1"/>
  <c r="A683" i="10"/>
  <c r="C682" i="10"/>
  <c r="E682" i="10" s="1"/>
  <c r="B682" i="10"/>
  <c r="D682" i="10" s="1"/>
  <c r="A682" i="10"/>
  <c r="C681" i="10"/>
  <c r="E681" i="10" s="1"/>
  <c r="B681" i="10"/>
  <c r="D681" i="10" s="1"/>
  <c r="A681" i="10"/>
  <c r="C680" i="10"/>
  <c r="E680" i="10" s="1"/>
  <c r="B680" i="10"/>
  <c r="D680" i="10" s="1"/>
  <c r="A680" i="10"/>
  <c r="C679" i="10"/>
  <c r="E679" i="10" s="1"/>
  <c r="B679" i="10"/>
  <c r="D679" i="10" s="1"/>
  <c r="A679" i="10"/>
  <c r="C678" i="10"/>
  <c r="E678" i="10" s="1"/>
  <c r="B678" i="10"/>
  <c r="D678" i="10" s="1"/>
  <c r="A678" i="10"/>
  <c r="C677" i="10"/>
  <c r="E677" i="10" s="1"/>
  <c r="B677" i="10"/>
  <c r="D677" i="10" s="1"/>
  <c r="A677" i="10"/>
  <c r="C676" i="10"/>
  <c r="E676" i="10" s="1"/>
  <c r="B676" i="10"/>
  <c r="D676" i="10" s="1"/>
  <c r="A676" i="10"/>
  <c r="C675" i="10"/>
  <c r="E675" i="10" s="1"/>
  <c r="B675" i="10"/>
  <c r="D675" i="10" s="1"/>
  <c r="A675" i="10"/>
  <c r="C674" i="10"/>
  <c r="E674" i="10" s="1"/>
  <c r="B674" i="10"/>
  <c r="D674" i="10" s="1"/>
  <c r="A674" i="10"/>
  <c r="C673" i="10"/>
  <c r="E673" i="10" s="1"/>
  <c r="B673" i="10"/>
  <c r="D673" i="10" s="1"/>
  <c r="A673" i="10"/>
  <c r="C672" i="10"/>
  <c r="E672" i="10" s="1"/>
  <c r="B672" i="10"/>
  <c r="D672" i="10" s="1"/>
  <c r="A672" i="10"/>
  <c r="C671" i="10"/>
  <c r="E671" i="10" s="1"/>
  <c r="B671" i="10"/>
  <c r="D671" i="10" s="1"/>
  <c r="A671" i="10"/>
  <c r="C670" i="10"/>
  <c r="E670" i="10" s="1"/>
  <c r="B670" i="10"/>
  <c r="D670" i="10" s="1"/>
  <c r="A670" i="10"/>
  <c r="C669" i="10"/>
  <c r="E669" i="10" s="1"/>
  <c r="B669" i="10"/>
  <c r="D669" i="10" s="1"/>
  <c r="A669" i="10"/>
  <c r="C668" i="10"/>
  <c r="E668" i="10" s="1"/>
  <c r="B668" i="10"/>
  <c r="D668" i="10" s="1"/>
  <c r="A668" i="10"/>
  <c r="C667" i="10"/>
  <c r="E667" i="10" s="1"/>
  <c r="B667" i="10"/>
  <c r="D667" i="10" s="1"/>
  <c r="A667" i="10"/>
  <c r="C666" i="10"/>
  <c r="E666" i="10" s="1"/>
  <c r="B666" i="10"/>
  <c r="D666" i="10" s="1"/>
  <c r="A666" i="10"/>
  <c r="C665" i="10"/>
  <c r="E665" i="10" s="1"/>
  <c r="B665" i="10"/>
  <c r="D665" i="10" s="1"/>
  <c r="A665" i="10"/>
  <c r="C664" i="10"/>
  <c r="E664" i="10" s="1"/>
  <c r="B664" i="10"/>
  <c r="D664" i="10" s="1"/>
  <c r="A664" i="10"/>
  <c r="C663" i="10"/>
  <c r="E663" i="10" s="1"/>
  <c r="B663" i="10"/>
  <c r="D663" i="10" s="1"/>
  <c r="A663" i="10"/>
  <c r="C662" i="10"/>
  <c r="E662" i="10" s="1"/>
  <c r="B662" i="10"/>
  <c r="D662" i="10" s="1"/>
  <c r="A662" i="10"/>
  <c r="C661" i="10"/>
  <c r="E661" i="10" s="1"/>
  <c r="B661" i="10"/>
  <c r="D661" i="10" s="1"/>
  <c r="A661" i="10"/>
  <c r="C660" i="10"/>
  <c r="E660" i="10" s="1"/>
  <c r="B660" i="10"/>
  <c r="D660" i="10" s="1"/>
  <c r="A660" i="10"/>
  <c r="C659" i="10"/>
  <c r="E659" i="10" s="1"/>
  <c r="B659" i="10"/>
  <c r="D659" i="10" s="1"/>
  <c r="A659" i="10"/>
  <c r="C658" i="10"/>
  <c r="E658" i="10" s="1"/>
  <c r="B658" i="10"/>
  <c r="D658" i="10" s="1"/>
  <c r="A658" i="10"/>
  <c r="C657" i="10"/>
  <c r="E657" i="10" s="1"/>
  <c r="B657" i="10"/>
  <c r="D657" i="10" s="1"/>
  <c r="A657" i="10"/>
  <c r="C656" i="10"/>
  <c r="E656" i="10" s="1"/>
  <c r="B656" i="10"/>
  <c r="D656" i="10" s="1"/>
  <c r="A656" i="10"/>
  <c r="C655" i="10"/>
  <c r="E655" i="10" s="1"/>
  <c r="B655" i="10"/>
  <c r="D655" i="10" s="1"/>
  <c r="A655" i="10"/>
  <c r="C654" i="10"/>
  <c r="E654" i="10" s="1"/>
  <c r="B654" i="10"/>
  <c r="D654" i="10" s="1"/>
  <c r="A654" i="10"/>
  <c r="C653" i="10"/>
  <c r="E653" i="10" s="1"/>
  <c r="B653" i="10"/>
  <c r="D653" i="10" s="1"/>
  <c r="A653" i="10"/>
  <c r="C652" i="10"/>
  <c r="E652" i="10" s="1"/>
  <c r="B652" i="10"/>
  <c r="D652" i="10" s="1"/>
  <c r="A652" i="10"/>
  <c r="C651" i="10"/>
  <c r="E651" i="10" s="1"/>
  <c r="B651" i="10"/>
  <c r="D651" i="10" s="1"/>
  <c r="A651" i="10"/>
  <c r="C650" i="10"/>
  <c r="E650" i="10" s="1"/>
  <c r="B650" i="10"/>
  <c r="D650" i="10" s="1"/>
  <c r="A650" i="10"/>
  <c r="C649" i="10"/>
  <c r="E649" i="10" s="1"/>
  <c r="B649" i="10"/>
  <c r="D649" i="10" s="1"/>
  <c r="A649" i="10"/>
  <c r="C648" i="10"/>
  <c r="E648" i="10" s="1"/>
  <c r="B648" i="10"/>
  <c r="D648" i="10" s="1"/>
  <c r="A648" i="10"/>
  <c r="C647" i="10"/>
  <c r="E647" i="10" s="1"/>
  <c r="B647" i="10"/>
  <c r="D647" i="10" s="1"/>
  <c r="A647" i="10"/>
  <c r="C646" i="10"/>
  <c r="E646" i="10" s="1"/>
  <c r="B646" i="10"/>
  <c r="D646" i="10" s="1"/>
  <c r="A646" i="10"/>
  <c r="C645" i="10"/>
  <c r="E645" i="10" s="1"/>
  <c r="B645" i="10"/>
  <c r="D645" i="10" s="1"/>
  <c r="A645" i="10"/>
  <c r="C644" i="10"/>
  <c r="E644" i="10" s="1"/>
  <c r="B644" i="10"/>
  <c r="D644" i="10" s="1"/>
  <c r="A644" i="10"/>
  <c r="C643" i="10"/>
  <c r="E643" i="10" s="1"/>
  <c r="B643" i="10"/>
  <c r="D643" i="10" s="1"/>
  <c r="A643" i="10"/>
  <c r="C642" i="10"/>
  <c r="E642" i="10" s="1"/>
  <c r="B642" i="10"/>
  <c r="D642" i="10" s="1"/>
  <c r="A642" i="10"/>
  <c r="C641" i="10"/>
  <c r="E641" i="10" s="1"/>
  <c r="B641" i="10"/>
  <c r="D641" i="10" s="1"/>
  <c r="A641" i="10"/>
  <c r="C640" i="10"/>
  <c r="E640" i="10" s="1"/>
  <c r="B640" i="10"/>
  <c r="D640" i="10" s="1"/>
  <c r="A640" i="10"/>
  <c r="C639" i="10"/>
  <c r="E639" i="10" s="1"/>
  <c r="B639" i="10"/>
  <c r="D639" i="10" s="1"/>
  <c r="A639" i="10"/>
  <c r="C638" i="10"/>
  <c r="E638" i="10" s="1"/>
  <c r="B638" i="10"/>
  <c r="D638" i="10" s="1"/>
  <c r="A638" i="10"/>
  <c r="C637" i="10"/>
  <c r="E637" i="10" s="1"/>
  <c r="B637" i="10"/>
  <c r="D637" i="10" s="1"/>
  <c r="A637" i="10"/>
  <c r="C636" i="10"/>
  <c r="E636" i="10" s="1"/>
  <c r="B636" i="10"/>
  <c r="D636" i="10" s="1"/>
  <c r="A636" i="10"/>
  <c r="C635" i="10"/>
  <c r="E635" i="10" s="1"/>
  <c r="B635" i="10"/>
  <c r="D635" i="10" s="1"/>
  <c r="A635" i="10"/>
  <c r="C634" i="10"/>
  <c r="E634" i="10" s="1"/>
  <c r="B634" i="10"/>
  <c r="D634" i="10" s="1"/>
  <c r="A634" i="10"/>
  <c r="C633" i="10"/>
  <c r="E633" i="10" s="1"/>
  <c r="B633" i="10"/>
  <c r="D633" i="10" s="1"/>
  <c r="A633" i="10"/>
  <c r="C632" i="10"/>
  <c r="E632" i="10" s="1"/>
  <c r="B632" i="10"/>
  <c r="D632" i="10" s="1"/>
  <c r="A632" i="10"/>
  <c r="C631" i="10"/>
  <c r="E631" i="10" s="1"/>
  <c r="B631" i="10"/>
  <c r="D631" i="10" s="1"/>
  <c r="A631" i="10"/>
  <c r="C630" i="10"/>
  <c r="E630" i="10" s="1"/>
  <c r="B630" i="10"/>
  <c r="D630" i="10" s="1"/>
  <c r="A630" i="10"/>
  <c r="C629" i="10"/>
  <c r="E629" i="10" s="1"/>
  <c r="B629" i="10"/>
  <c r="D629" i="10" s="1"/>
  <c r="A629" i="10"/>
  <c r="C628" i="10"/>
  <c r="E628" i="10" s="1"/>
  <c r="B628" i="10"/>
  <c r="D628" i="10" s="1"/>
  <c r="A628" i="10"/>
  <c r="C627" i="10"/>
  <c r="E627" i="10" s="1"/>
  <c r="B627" i="10"/>
  <c r="D627" i="10" s="1"/>
  <c r="A627" i="10"/>
  <c r="C626" i="10"/>
  <c r="E626" i="10" s="1"/>
  <c r="B626" i="10"/>
  <c r="D626" i="10" s="1"/>
  <c r="A626" i="10"/>
  <c r="C625" i="10"/>
  <c r="E625" i="10" s="1"/>
  <c r="B625" i="10"/>
  <c r="D625" i="10" s="1"/>
  <c r="A625" i="10"/>
  <c r="C624" i="10"/>
  <c r="E624" i="10" s="1"/>
  <c r="B624" i="10"/>
  <c r="D624" i="10" s="1"/>
  <c r="A624" i="10"/>
  <c r="C623" i="10"/>
  <c r="E623" i="10" s="1"/>
  <c r="B623" i="10"/>
  <c r="D623" i="10" s="1"/>
  <c r="A623" i="10"/>
  <c r="C622" i="10"/>
  <c r="E622" i="10" s="1"/>
  <c r="B622" i="10"/>
  <c r="D622" i="10" s="1"/>
  <c r="A622" i="10"/>
  <c r="C621" i="10"/>
  <c r="E621" i="10" s="1"/>
  <c r="B621" i="10"/>
  <c r="D621" i="10" s="1"/>
  <c r="A621" i="10"/>
  <c r="C620" i="10"/>
  <c r="E620" i="10" s="1"/>
  <c r="B620" i="10"/>
  <c r="D620" i="10" s="1"/>
  <c r="A620" i="10"/>
  <c r="C619" i="10"/>
  <c r="E619" i="10" s="1"/>
  <c r="B619" i="10"/>
  <c r="D619" i="10" s="1"/>
  <c r="A619" i="10"/>
  <c r="C618" i="10"/>
  <c r="E618" i="10" s="1"/>
  <c r="B618" i="10"/>
  <c r="D618" i="10" s="1"/>
  <c r="A618" i="10"/>
  <c r="C617" i="10"/>
  <c r="E617" i="10" s="1"/>
  <c r="B617" i="10"/>
  <c r="D617" i="10" s="1"/>
  <c r="A617" i="10"/>
  <c r="C616" i="10"/>
  <c r="E616" i="10" s="1"/>
  <c r="B616" i="10"/>
  <c r="D616" i="10" s="1"/>
  <c r="A616" i="10"/>
  <c r="C615" i="10"/>
  <c r="E615" i="10" s="1"/>
  <c r="B615" i="10"/>
  <c r="D615" i="10" s="1"/>
  <c r="A615" i="10"/>
  <c r="C614" i="10"/>
  <c r="E614" i="10" s="1"/>
  <c r="B614" i="10"/>
  <c r="D614" i="10" s="1"/>
  <c r="A614" i="10"/>
  <c r="C613" i="10"/>
  <c r="E613" i="10" s="1"/>
  <c r="B613" i="10"/>
  <c r="D613" i="10" s="1"/>
  <c r="A613" i="10"/>
  <c r="C612" i="10"/>
  <c r="E612" i="10" s="1"/>
  <c r="B612" i="10"/>
  <c r="D612" i="10" s="1"/>
  <c r="A612" i="10"/>
  <c r="C611" i="10"/>
  <c r="E611" i="10" s="1"/>
  <c r="B611" i="10"/>
  <c r="D611" i="10" s="1"/>
  <c r="A611" i="10"/>
  <c r="C610" i="10"/>
  <c r="E610" i="10" s="1"/>
  <c r="B610" i="10"/>
  <c r="D610" i="10" s="1"/>
  <c r="A610" i="10"/>
  <c r="C609" i="10"/>
  <c r="E609" i="10" s="1"/>
  <c r="B609" i="10"/>
  <c r="D609" i="10" s="1"/>
  <c r="A609" i="10"/>
  <c r="C608" i="10"/>
  <c r="E608" i="10" s="1"/>
  <c r="B608" i="10"/>
  <c r="D608" i="10" s="1"/>
  <c r="A608" i="10"/>
  <c r="C607" i="10"/>
  <c r="E607" i="10" s="1"/>
  <c r="B607" i="10"/>
  <c r="D607" i="10" s="1"/>
  <c r="A607" i="10"/>
  <c r="C606" i="10"/>
  <c r="E606" i="10" s="1"/>
  <c r="B606" i="10"/>
  <c r="D606" i="10" s="1"/>
  <c r="A606" i="10"/>
  <c r="C605" i="10"/>
  <c r="E605" i="10" s="1"/>
  <c r="B605" i="10"/>
  <c r="D605" i="10" s="1"/>
  <c r="A605" i="10"/>
  <c r="C604" i="10"/>
  <c r="E604" i="10" s="1"/>
  <c r="B604" i="10"/>
  <c r="D604" i="10" s="1"/>
  <c r="A604" i="10"/>
  <c r="C603" i="10"/>
  <c r="E603" i="10" s="1"/>
  <c r="B603" i="10"/>
  <c r="D603" i="10" s="1"/>
  <c r="A603" i="10"/>
  <c r="C602" i="10"/>
  <c r="E602" i="10" s="1"/>
  <c r="B602" i="10"/>
  <c r="D602" i="10" s="1"/>
  <c r="A602" i="10"/>
  <c r="C601" i="10"/>
  <c r="E601" i="10" s="1"/>
  <c r="B601" i="10"/>
  <c r="D601" i="10" s="1"/>
  <c r="A601" i="10"/>
  <c r="C600" i="10"/>
  <c r="E600" i="10" s="1"/>
  <c r="B600" i="10"/>
  <c r="D600" i="10" s="1"/>
  <c r="A600" i="10"/>
  <c r="C599" i="10"/>
  <c r="E599" i="10" s="1"/>
  <c r="B599" i="10"/>
  <c r="D599" i="10" s="1"/>
  <c r="A599" i="10"/>
  <c r="A523" i="10"/>
  <c r="B523" i="10"/>
  <c r="D523" i="10" s="1"/>
  <c r="C523" i="10"/>
  <c r="E523" i="10" s="1"/>
  <c r="A524" i="10"/>
  <c r="B524" i="10"/>
  <c r="D524" i="10" s="1"/>
  <c r="C524" i="10"/>
  <c r="E524" i="10" s="1"/>
  <c r="A525" i="10"/>
  <c r="B525" i="10"/>
  <c r="D525" i="10" s="1"/>
  <c r="C525" i="10"/>
  <c r="E525" i="10" s="1"/>
  <c r="A526" i="10"/>
  <c r="B526" i="10"/>
  <c r="D526" i="10" s="1"/>
  <c r="C526" i="10"/>
  <c r="E526" i="10" s="1"/>
  <c r="A527" i="10"/>
  <c r="B527" i="10"/>
  <c r="D527" i="10" s="1"/>
  <c r="C527" i="10"/>
  <c r="E527" i="10" s="1"/>
  <c r="A528" i="10"/>
  <c r="B528" i="10"/>
  <c r="D528" i="10" s="1"/>
  <c r="C528" i="10"/>
  <c r="E528" i="10" s="1"/>
  <c r="A529" i="10"/>
  <c r="B529" i="10"/>
  <c r="D529" i="10" s="1"/>
  <c r="C529" i="10"/>
  <c r="E529" i="10" s="1"/>
  <c r="A530" i="10"/>
  <c r="B530" i="10"/>
  <c r="D530" i="10" s="1"/>
  <c r="C530" i="10"/>
  <c r="E530" i="10" s="1"/>
  <c r="A531" i="10"/>
  <c r="B531" i="10"/>
  <c r="D531" i="10" s="1"/>
  <c r="C531" i="10"/>
  <c r="E531" i="10" s="1"/>
  <c r="A532" i="10"/>
  <c r="B532" i="10"/>
  <c r="D532" i="10" s="1"/>
  <c r="C532" i="10"/>
  <c r="E532" i="10" s="1"/>
  <c r="A533" i="10"/>
  <c r="B533" i="10"/>
  <c r="D533" i="10" s="1"/>
  <c r="C533" i="10"/>
  <c r="E533" i="10" s="1"/>
  <c r="A534" i="10"/>
  <c r="B534" i="10"/>
  <c r="D534" i="10" s="1"/>
  <c r="C534" i="10"/>
  <c r="E534" i="10" s="1"/>
  <c r="A535" i="10"/>
  <c r="B535" i="10"/>
  <c r="D535" i="10" s="1"/>
  <c r="C535" i="10"/>
  <c r="E535" i="10" s="1"/>
  <c r="A536" i="10"/>
  <c r="B536" i="10"/>
  <c r="D536" i="10" s="1"/>
  <c r="C536" i="10"/>
  <c r="E536" i="10" s="1"/>
  <c r="A537" i="10"/>
  <c r="B537" i="10"/>
  <c r="D537" i="10" s="1"/>
  <c r="C537" i="10"/>
  <c r="E537" i="10" s="1"/>
  <c r="A538" i="10"/>
  <c r="B538" i="10"/>
  <c r="D538" i="10" s="1"/>
  <c r="C538" i="10"/>
  <c r="E538" i="10" s="1"/>
  <c r="A539" i="10"/>
  <c r="B539" i="10"/>
  <c r="D539" i="10" s="1"/>
  <c r="C539" i="10"/>
  <c r="E539" i="10" s="1"/>
  <c r="A540" i="10"/>
  <c r="B540" i="10"/>
  <c r="D540" i="10" s="1"/>
  <c r="C540" i="10"/>
  <c r="E540" i="10" s="1"/>
  <c r="A541" i="10"/>
  <c r="B541" i="10"/>
  <c r="D541" i="10" s="1"/>
  <c r="C541" i="10"/>
  <c r="E541" i="10" s="1"/>
  <c r="A542" i="10"/>
  <c r="B542" i="10"/>
  <c r="D542" i="10" s="1"/>
  <c r="C542" i="10"/>
  <c r="E542" i="10" s="1"/>
  <c r="A543" i="10"/>
  <c r="B543" i="10"/>
  <c r="D543" i="10" s="1"/>
  <c r="C543" i="10"/>
  <c r="E543" i="10" s="1"/>
  <c r="A544" i="10"/>
  <c r="B544" i="10"/>
  <c r="D544" i="10" s="1"/>
  <c r="C544" i="10"/>
  <c r="E544" i="10" s="1"/>
  <c r="A545" i="10"/>
  <c r="B545" i="10"/>
  <c r="D545" i="10" s="1"/>
  <c r="C545" i="10"/>
  <c r="E545" i="10" s="1"/>
  <c r="A546" i="10"/>
  <c r="B546" i="10"/>
  <c r="D546" i="10" s="1"/>
  <c r="C546" i="10"/>
  <c r="E546" i="10" s="1"/>
  <c r="A547" i="10"/>
  <c r="B547" i="10"/>
  <c r="D547" i="10" s="1"/>
  <c r="C547" i="10"/>
  <c r="E547" i="10" s="1"/>
  <c r="A548" i="10"/>
  <c r="B548" i="10"/>
  <c r="D548" i="10" s="1"/>
  <c r="C548" i="10"/>
  <c r="E548" i="10" s="1"/>
  <c r="A549" i="10"/>
  <c r="B549" i="10"/>
  <c r="D549" i="10" s="1"/>
  <c r="C549" i="10"/>
  <c r="E549" i="10" s="1"/>
  <c r="A550" i="10"/>
  <c r="B550" i="10"/>
  <c r="D550" i="10" s="1"/>
  <c r="C550" i="10"/>
  <c r="E550" i="10" s="1"/>
  <c r="A551" i="10"/>
  <c r="B551" i="10"/>
  <c r="D551" i="10" s="1"/>
  <c r="C551" i="10"/>
  <c r="E551" i="10" s="1"/>
  <c r="A552" i="10"/>
  <c r="B552" i="10"/>
  <c r="D552" i="10" s="1"/>
  <c r="C552" i="10"/>
  <c r="E552" i="10" s="1"/>
  <c r="A553" i="10"/>
  <c r="B553" i="10"/>
  <c r="D553" i="10" s="1"/>
  <c r="C553" i="10"/>
  <c r="E553" i="10" s="1"/>
  <c r="A554" i="10"/>
  <c r="B554" i="10"/>
  <c r="D554" i="10" s="1"/>
  <c r="C554" i="10"/>
  <c r="E554" i="10" s="1"/>
  <c r="A555" i="10"/>
  <c r="B555" i="10"/>
  <c r="D555" i="10" s="1"/>
  <c r="C555" i="10"/>
  <c r="E555" i="10" s="1"/>
  <c r="A556" i="10"/>
  <c r="B556" i="10"/>
  <c r="D556" i="10" s="1"/>
  <c r="C556" i="10"/>
  <c r="E556" i="10" s="1"/>
  <c r="A557" i="10"/>
  <c r="B557" i="10"/>
  <c r="D557" i="10" s="1"/>
  <c r="C557" i="10"/>
  <c r="E557" i="10" s="1"/>
  <c r="A558" i="10"/>
  <c r="B558" i="10"/>
  <c r="D558" i="10" s="1"/>
  <c r="C558" i="10"/>
  <c r="E558" i="10" s="1"/>
  <c r="A559" i="10"/>
  <c r="B559" i="10"/>
  <c r="D559" i="10" s="1"/>
  <c r="C559" i="10"/>
  <c r="E559" i="10" s="1"/>
  <c r="A560" i="10"/>
  <c r="B560" i="10"/>
  <c r="D560" i="10" s="1"/>
  <c r="C560" i="10"/>
  <c r="E560" i="10" s="1"/>
  <c r="A561" i="10"/>
  <c r="B561" i="10"/>
  <c r="D561" i="10" s="1"/>
  <c r="C561" i="10"/>
  <c r="E561" i="10" s="1"/>
  <c r="A562" i="10"/>
  <c r="B562" i="10"/>
  <c r="D562" i="10" s="1"/>
  <c r="C562" i="10"/>
  <c r="E562" i="10" s="1"/>
  <c r="A563" i="10"/>
  <c r="B563" i="10"/>
  <c r="D563" i="10" s="1"/>
  <c r="C563" i="10"/>
  <c r="E563" i="10" s="1"/>
  <c r="A564" i="10"/>
  <c r="B564" i="10"/>
  <c r="D564" i="10" s="1"/>
  <c r="C564" i="10"/>
  <c r="E564" i="10" s="1"/>
  <c r="A565" i="10"/>
  <c r="B565" i="10"/>
  <c r="D565" i="10" s="1"/>
  <c r="C565" i="10"/>
  <c r="E565" i="10" s="1"/>
  <c r="A566" i="10"/>
  <c r="B566" i="10"/>
  <c r="D566" i="10" s="1"/>
  <c r="C566" i="10"/>
  <c r="E566" i="10" s="1"/>
  <c r="A567" i="10"/>
  <c r="B567" i="10"/>
  <c r="D567" i="10" s="1"/>
  <c r="C567" i="10"/>
  <c r="E567" i="10" s="1"/>
  <c r="A568" i="10"/>
  <c r="B568" i="10"/>
  <c r="D568" i="10" s="1"/>
  <c r="C568" i="10"/>
  <c r="E568" i="10" s="1"/>
  <c r="A569" i="10"/>
  <c r="B569" i="10"/>
  <c r="D569" i="10" s="1"/>
  <c r="C569" i="10"/>
  <c r="E569" i="10" s="1"/>
  <c r="A570" i="10"/>
  <c r="B570" i="10"/>
  <c r="D570" i="10" s="1"/>
  <c r="C570" i="10"/>
  <c r="E570" i="10" s="1"/>
  <c r="A571" i="10"/>
  <c r="B571" i="10"/>
  <c r="D571" i="10" s="1"/>
  <c r="C571" i="10"/>
  <c r="E571" i="10" s="1"/>
  <c r="A572" i="10"/>
  <c r="B572" i="10"/>
  <c r="D572" i="10" s="1"/>
  <c r="C572" i="10"/>
  <c r="E572" i="10" s="1"/>
  <c r="A573" i="10"/>
  <c r="B573" i="10"/>
  <c r="D573" i="10" s="1"/>
  <c r="C573" i="10"/>
  <c r="E573" i="10" s="1"/>
  <c r="A574" i="10"/>
  <c r="B574" i="10"/>
  <c r="D574" i="10" s="1"/>
  <c r="C574" i="10"/>
  <c r="E574" i="10" s="1"/>
  <c r="A575" i="10"/>
  <c r="B575" i="10"/>
  <c r="D575" i="10" s="1"/>
  <c r="C575" i="10"/>
  <c r="E575" i="10" s="1"/>
  <c r="A576" i="10"/>
  <c r="B576" i="10"/>
  <c r="D576" i="10" s="1"/>
  <c r="C576" i="10"/>
  <c r="E576" i="10" s="1"/>
  <c r="A577" i="10"/>
  <c r="B577" i="10"/>
  <c r="D577" i="10" s="1"/>
  <c r="C577" i="10"/>
  <c r="E577" i="10" s="1"/>
  <c r="A578" i="10"/>
  <c r="B578" i="10"/>
  <c r="D578" i="10" s="1"/>
  <c r="C578" i="10"/>
  <c r="E578" i="10" s="1"/>
  <c r="A579" i="10"/>
  <c r="B579" i="10"/>
  <c r="D579" i="10" s="1"/>
  <c r="C579" i="10"/>
  <c r="E579" i="10" s="1"/>
  <c r="A580" i="10"/>
  <c r="B580" i="10"/>
  <c r="D580" i="10" s="1"/>
  <c r="C580" i="10"/>
  <c r="E580" i="10" s="1"/>
  <c r="A581" i="10"/>
  <c r="B581" i="10"/>
  <c r="D581" i="10" s="1"/>
  <c r="C581" i="10"/>
  <c r="E581" i="10" s="1"/>
  <c r="A582" i="10"/>
  <c r="B582" i="10"/>
  <c r="D582" i="10" s="1"/>
  <c r="C582" i="10"/>
  <c r="E582" i="10" s="1"/>
  <c r="A583" i="10"/>
  <c r="B583" i="10"/>
  <c r="D583" i="10" s="1"/>
  <c r="C583" i="10"/>
  <c r="E583" i="10" s="1"/>
  <c r="A584" i="10"/>
  <c r="B584" i="10"/>
  <c r="D584" i="10" s="1"/>
  <c r="C584" i="10"/>
  <c r="E584" i="10" s="1"/>
  <c r="A585" i="10"/>
  <c r="B585" i="10"/>
  <c r="D585" i="10" s="1"/>
  <c r="C585" i="10"/>
  <c r="E585" i="10" s="1"/>
  <c r="A586" i="10"/>
  <c r="B586" i="10"/>
  <c r="D586" i="10" s="1"/>
  <c r="C586" i="10"/>
  <c r="E586" i="10" s="1"/>
  <c r="A587" i="10"/>
  <c r="B587" i="10"/>
  <c r="D587" i="10" s="1"/>
  <c r="C587" i="10"/>
  <c r="E587" i="10" s="1"/>
  <c r="A588" i="10"/>
  <c r="B588" i="10"/>
  <c r="D588" i="10" s="1"/>
  <c r="C588" i="10"/>
  <c r="E588" i="10" s="1"/>
  <c r="A589" i="10"/>
  <c r="B589" i="10"/>
  <c r="D589" i="10" s="1"/>
  <c r="C589" i="10"/>
  <c r="E589" i="10" s="1"/>
  <c r="A590" i="10"/>
  <c r="B590" i="10"/>
  <c r="D590" i="10" s="1"/>
  <c r="C590" i="10"/>
  <c r="E590" i="10" s="1"/>
  <c r="A591" i="10"/>
  <c r="B591" i="10"/>
  <c r="D591" i="10" s="1"/>
  <c r="C591" i="10"/>
  <c r="E591" i="10" s="1"/>
  <c r="A592" i="10"/>
  <c r="B592" i="10"/>
  <c r="D592" i="10" s="1"/>
  <c r="C592" i="10"/>
  <c r="E592" i="10" s="1"/>
  <c r="A593" i="10"/>
  <c r="B593" i="10"/>
  <c r="D593" i="10" s="1"/>
  <c r="C593" i="10"/>
  <c r="E593" i="10" s="1"/>
  <c r="A594" i="10"/>
  <c r="B594" i="10"/>
  <c r="D594" i="10" s="1"/>
  <c r="C594" i="10"/>
  <c r="E594" i="10" s="1"/>
  <c r="A595" i="10"/>
  <c r="B595" i="10"/>
  <c r="D595" i="10" s="1"/>
  <c r="C595" i="10"/>
  <c r="E595" i="10" s="1"/>
  <c r="A446" i="10"/>
  <c r="B446" i="10"/>
  <c r="D446" i="10" s="1"/>
  <c r="C446" i="10"/>
  <c r="E446" i="10" s="1"/>
  <c r="A447" i="10"/>
  <c r="B447" i="10"/>
  <c r="D447" i="10" s="1"/>
  <c r="C447" i="10"/>
  <c r="E447" i="10" s="1"/>
  <c r="A448" i="10"/>
  <c r="B448" i="10"/>
  <c r="D448" i="10" s="1"/>
  <c r="C448" i="10"/>
  <c r="E448" i="10" s="1"/>
  <c r="A449" i="10"/>
  <c r="B449" i="10"/>
  <c r="D449" i="10" s="1"/>
  <c r="C449" i="10"/>
  <c r="E449" i="10" s="1"/>
  <c r="A450" i="10"/>
  <c r="B450" i="10"/>
  <c r="D450" i="10" s="1"/>
  <c r="C450" i="10"/>
  <c r="E450" i="10" s="1"/>
  <c r="A451" i="10"/>
  <c r="B451" i="10"/>
  <c r="D451" i="10" s="1"/>
  <c r="C451" i="10"/>
  <c r="E451" i="10" s="1"/>
  <c r="A452" i="10"/>
  <c r="B452" i="10"/>
  <c r="D452" i="10" s="1"/>
  <c r="C452" i="10"/>
  <c r="E452" i="10" s="1"/>
  <c r="A453" i="10"/>
  <c r="B453" i="10"/>
  <c r="D453" i="10" s="1"/>
  <c r="C453" i="10"/>
  <c r="E453" i="10" s="1"/>
  <c r="A454" i="10"/>
  <c r="B454" i="10"/>
  <c r="D454" i="10" s="1"/>
  <c r="C454" i="10"/>
  <c r="E454" i="10" s="1"/>
  <c r="A455" i="10"/>
  <c r="B455" i="10"/>
  <c r="D455" i="10" s="1"/>
  <c r="C455" i="10"/>
  <c r="E455" i="10" s="1"/>
  <c r="A456" i="10"/>
  <c r="B456" i="10"/>
  <c r="D456" i="10" s="1"/>
  <c r="C456" i="10"/>
  <c r="E456" i="10" s="1"/>
  <c r="A457" i="10"/>
  <c r="B457" i="10"/>
  <c r="D457" i="10" s="1"/>
  <c r="C457" i="10"/>
  <c r="E457" i="10" s="1"/>
  <c r="A458" i="10"/>
  <c r="B458" i="10"/>
  <c r="D458" i="10" s="1"/>
  <c r="C458" i="10"/>
  <c r="E458" i="10" s="1"/>
  <c r="A459" i="10"/>
  <c r="B459" i="10"/>
  <c r="D459" i="10" s="1"/>
  <c r="C459" i="10"/>
  <c r="E459" i="10" s="1"/>
  <c r="A460" i="10"/>
  <c r="B460" i="10"/>
  <c r="D460" i="10" s="1"/>
  <c r="C460" i="10"/>
  <c r="E460" i="10" s="1"/>
  <c r="A461" i="10"/>
  <c r="B461" i="10"/>
  <c r="D461" i="10" s="1"/>
  <c r="C461" i="10"/>
  <c r="E461" i="10" s="1"/>
  <c r="A462" i="10"/>
  <c r="B462" i="10"/>
  <c r="D462" i="10" s="1"/>
  <c r="C462" i="10"/>
  <c r="E462" i="10" s="1"/>
  <c r="A463" i="10"/>
  <c r="B463" i="10"/>
  <c r="D463" i="10" s="1"/>
  <c r="C463" i="10"/>
  <c r="E463" i="10" s="1"/>
  <c r="A464" i="10"/>
  <c r="B464" i="10"/>
  <c r="D464" i="10" s="1"/>
  <c r="C464" i="10"/>
  <c r="E464" i="10" s="1"/>
  <c r="A465" i="10"/>
  <c r="B465" i="10"/>
  <c r="D465" i="10" s="1"/>
  <c r="C465" i="10"/>
  <c r="E465" i="10" s="1"/>
  <c r="A466" i="10"/>
  <c r="B466" i="10"/>
  <c r="D466" i="10" s="1"/>
  <c r="C466" i="10"/>
  <c r="E466" i="10" s="1"/>
  <c r="A467" i="10"/>
  <c r="B467" i="10"/>
  <c r="D467" i="10" s="1"/>
  <c r="C467" i="10"/>
  <c r="E467" i="10" s="1"/>
  <c r="A468" i="10"/>
  <c r="B468" i="10"/>
  <c r="D468" i="10" s="1"/>
  <c r="C468" i="10"/>
  <c r="E468" i="10" s="1"/>
  <c r="A469" i="10"/>
  <c r="B469" i="10"/>
  <c r="D469" i="10" s="1"/>
  <c r="C469" i="10"/>
  <c r="E469" i="10" s="1"/>
  <c r="A470" i="10"/>
  <c r="B470" i="10"/>
  <c r="D470" i="10" s="1"/>
  <c r="C470" i="10"/>
  <c r="E470" i="10" s="1"/>
  <c r="A471" i="10"/>
  <c r="B471" i="10"/>
  <c r="D471" i="10" s="1"/>
  <c r="C471" i="10"/>
  <c r="E471" i="10" s="1"/>
  <c r="A472" i="10"/>
  <c r="B472" i="10"/>
  <c r="D472" i="10" s="1"/>
  <c r="C472" i="10"/>
  <c r="E472" i="10" s="1"/>
  <c r="A473" i="10"/>
  <c r="B473" i="10"/>
  <c r="D473" i="10" s="1"/>
  <c r="C473" i="10"/>
  <c r="E473" i="10" s="1"/>
  <c r="A474" i="10"/>
  <c r="B474" i="10"/>
  <c r="D474" i="10" s="1"/>
  <c r="C474" i="10"/>
  <c r="E474" i="10" s="1"/>
  <c r="A475" i="10"/>
  <c r="B475" i="10"/>
  <c r="D475" i="10" s="1"/>
  <c r="C475" i="10"/>
  <c r="E475" i="10" s="1"/>
  <c r="A476" i="10"/>
  <c r="B476" i="10"/>
  <c r="D476" i="10" s="1"/>
  <c r="C476" i="10"/>
  <c r="E476" i="10" s="1"/>
  <c r="A477" i="10"/>
  <c r="B477" i="10"/>
  <c r="D477" i="10" s="1"/>
  <c r="C477" i="10"/>
  <c r="E477" i="10" s="1"/>
  <c r="A478" i="10"/>
  <c r="B478" i="10"/>
  <c r="D478" i="10" s="1"/>
  <c r="C478" i="10"/>
  <c r="E478" i="10" s="1"/>
  <c r="A479" i="10"/>
  <c r="B479" i="10"/>
  <c r="D479" i="10" s="1"/>
  <c r="C479" i="10"/>
  <c r="E479" i="10" s="1"/>
  <c r="A480" i="10"/>
  <c r="B480" i="10"/>
  <c r="D480" i="10" s="1"/>
  <c r="C480" i="10"/>
  <c r="E480" i="10" s="1"/>
  <c r="A481" i="10"/>
  <c r="B481" i="10"/>
  <c r="D481" i="10" s="1"/>
  <c r="C481" i="10"/>
  <c r="E481" i="10" s="1"/>
  <c r="A482" i="10"/>
  <c r="B482" i="10"/>
  <c r="D482" i="10" s="1"/>
  <c r="C482" i="10"/>
  <c r="E482" i="10" s="1"/>
  <c r="A483" i="10"/>
  <c r="B483" i="10"/>
  <c r="D483" i="10" s="1"/>
  <c r="C483" i="10"/>
  <c r="E483" i="10" s="1"/>
  <c r="A484" i="10"/>
  <c r="B484" i="10"/>
  <c r="D484" i="10" s="1"/>
  <c r="C484" i="10"/>
  <c r="E484" i="10" s="1"/>
  <c r="A485" i="10"/>
  <c r="B485" i="10"/>
  <c r="D485" i="10" s="1"/>
  <c r="C485" i="10"/>
  <c r="E485" i="10" s="1"/>
  <c r="A486" i="10"/>
  <c r="B486" i="10"/>
  <c r="D486" i="10" s="1"/>
  <c r="C486" i="10"/>
  <c r="E486" i="10" s="1"/>
  <c r="A487" i="10"/>
  <c r="B487" i="10"/>
  <c r="D487" i="10" s="1"/>
  <c r="C487" i="10"/>
  <c r="E487" i="10" s="1"/>
  <c r="A488" i="10"/>
  <c r="B488" i="10"/>
  <c r="D488" i="10" s="1"/>
  <c r="C488" i="10"/>
  <c r="E488" i="10" s="1"/>
  <c r="A489" i="10"/>
  <c r="B489" i="10"/>
  <c r="D489" i="10" s="1"/>
  <c r="C489" i="10"/>
  <c r="E489" i="10" s="1"/>
  <c r="A490" i="10"/>
  <c r="B490" i="10"/>
  <c r="D490" i="10" s="1"/>
  <c r="C490" i="10"/>
  <c r="E490" i="10" s="1"/>
  <c r="A491" i="10"/>
  <c r="B491" i="10"/>
  <c r="D491" i="10" s="1"/>
  <c r="C491" i="10"/>
  <c r="E491" i="10" s="1"/>
  <c r="A492" i="10"/>
  <c r="B492" i="10"/>
  <c r="D492" i="10" s="1"/>
  <c r="C492" i="10"/>
  <c r="E492" i="10" s="1"/>
  <c r="A493" i="10"/>
  <c r="B493" i="10"/>
  <c r="D493" i="10" s="1"/>
  <c r="C493" i="10"/>
  <c r="E493" i="10" s="1"/>
  <c r="A494" i="10"/>
  <c r="B494" i="10"/>
  <c r="D494" i="10" s="1"/>
  <c r="C494" i="10"/>
  <c r="E494" i="10" s="1"/>
  <c r="A495" i="10"/>
  <c r="B495" i="10"/>
  <c r="D495" i="10" s="1"/>
  <c r="C495" i="10"/>
  <c r="E495" i="10" s="1"/>
  <c r="A496" i="10"/>
  <c r="B496" i="10"/>
  <c r="D496" i="10" s="1"/>
  <c r="C496" i="10"/>
  <c r="E496" i="10" s="1"/>
  <c r="A497" i="10"/>
  <c r="B497" i="10"/>
  <c r="D497" i="10" s="1"/>
  <c r="C497" i="10"/>
  <c r="E497" i="10" s="1"/>
  <c r="A498" i="10"/>
  <c r="B498" i="10"/>
  <c r="D498" i="10" s="1"/>
  <c r="C498" i="10"/>
  <c r="E498" i="10" s="1"/>
  <c r="A499" i="10"/>
  <c r="B499" i="10"/>
  <c r="D499" i="10" s="1"/>
  <c r="C499" i="10"/>
  <c r="E499" i="10" s="1"/>
  <c r="A500" i="10"/>
  <c r="B500" i="10"/>
  <c r="D500" i="10" s="1"/>
  <c r="C500" i="10"/>
  <c r="E500" i="10" s="1"/>
  <c r="A501" i="10"/>
  <c r="B501" i="10"/>
  <c r="D501" i="10" s="1"/>
  <c r="C501" i="10"/>
  <c r="E501" i="10" s="1"/>
  <c r="A502" i="10"/>
  <c r="B502" i="10"/>
  <c r="D502" i="10" s="1"/>
  <c r="C502" i="10"/>
  <c r="E502" i="10" s="1"/>
  <c r="A503" i="10"/>
  <c r="B503" i="10"/>
  <c r="D503" i="10" s="1"/>
  <c r="C503" i="10"/>
  <c r="E503" i="10" s="1"/>
  <c r="A504" i="10"/>
  <c r="B504" i="10"/>
  <c r="D504" i="10" s="1"/>
  <c r="C504" i="10"/>
  <c r="E504" i="10" s="1"/>
  <c r="A505" i="10"/>
  <c r="B505" i="10"/>
  <c r="D505" i="10" s="1"/>
  <c r="C505" i="10"/>
  <c r="E505" i="10" s="1"/>
  <c r="A506" i="10"/>
  <c r="B506" i="10"/>
  <c r="D506" i="10" s="1"/>
  <c r="C506" i="10"/>
  <c r="E506" i="10" s="1"/>
  <c r="A507" i="10"/>
  <c r="B507" i="10"/>
  <c r="D507" i="10" s="1"/>
  <c r="C507" i="10"/>
  <c r="E507" i="10" s="1"/>
  <c r="A508" i="10"/>
  <c r="B508" i="10"/>
  <c r="D508" i="10" s="1"/>
  <c r="C508" i="10"/>
  <c r="E508" i="10" s="1"/>
  <c r="A509" i="10"/>
  <c r="B509" i="10"/>
  <c r="D509" i="10" s="1"/>
  <c r="C509" i="10"/>
  <c r="E509" i="10" s="1"/>
  <c r="A510" i="10"/>
  <c r="B510" i="10"/>
  <c r="D510" i="10" s="1"/>
  <c r="C510" i="10"/>
  <c r="E510" i="10" s="1"/>
  <c r="A511" i="10"/>
  <c r="B511" i="10"/>
  <c r="D511" i="10" s="1"/>
  <c r="C511" i="10"/>
  <c r="E511" i="10" s="1"/>
  <c r="A512" i="10"/>
  <c r="B512" i="10"/>
  <c r="D512" i="10" s="1"/>
  <c r="C512" i="10"/>
  <c r="E512" i="10" s="1"/>
  <c r="A513" i="10"/>
  <c r="B513" i="10"/>
  <c r="D513" i="10" s="1"/>
  <c r="C513" i="10"/>
  <c r="E513" i="10" s="1"/>
  <c r="A514" i="10"/>
  <c r="B514" i="10"/>
  <c r="D514" i="10" s="1"/>
  <c r="C514" i="10"/>
  <c r="E514" i="10" s="1"/>
  <c r="A515" i="10"/>
  <c r="B515" i="10"/>
  <c r="D515" i="10" s="1"/>
  <c r="C515" i="10"/>
  <c r="E515" i="10" s="1"/>
  <c r="A516" i="10"/>
  <c r="B516" i="10"/>
  <c r="D516" i="10" s="1"/>
  <c r="C516" i="10"/>
  <c r="E516" i="10" s="1"/>
  <c r="A517" i="10"/>
  <c r="B517" i="10"/>
  <c r="D517" i="10" s="1"/>
  <c r="C517" i="10"/>
  <c r="E517" i="10" s="1"/>
  <c r="A518" i="10"/>
  <c r="B518" i="10"/>
  <c r="D518" i="10" s="1"/>
  <c r="C518" i="10"/>
  <c r="E518" i="10" s="1"/>
  <c r="A519" i="10"/>
  <c r="B519" i="10"/>
  <c r="D519" i="10" s="1"/>
  <c r="C519" i="10"/>
  <c r="E519" i="10" s="1"/>
  <c r="A520" i="10"/>
  <c r="B520" i="10"/>
  <c r="D520" i="10" s="1"/>
  <c r="C520" i="10"/>
  <c r="E520" i="10" s="1"/>
  <c r="A521" i="10"/>
  <c r="B521" i="10"/>
  <c r="D521" i="10" s="1"/>
  <c r="C521" i="10"/>
  <c r="E521" i="10" s="1"/>
  <c r="A522" i="10"/>
  <c r="B522" i="10"/>
  <c r="D522" i="10" s="1"/>
  <c r="C522" i="10"/>
  <c r="E522" i="10" s="1"/>
  <c r="A369" i="10"/>
  <c r="B369" i="10"/>
  <c r="D369" i="10" s="1"/>
  <c r="C369" i="10"/>
  <c r="E369" i="10" s="1"/>
  <c r="A370" i="10"/>
  <c r="B370" i="10"/>
  <c r="D370" i="10" s="1"/>
  <c r="C370" i="10"/>
  <c r="E370" i="10" s="1"/>
  <c r="A371" i="10"/>
  <c r="B371" i="10"/>
  <c r="D371" i="10" s="1"/>
  <c r="C371" i="10"/>
  <c r="E371" i="10" s="1"/>
  <c r="A372" i="10"/>
  <c r="B372" i="10"/>
  <c r="D372" i="10" s="1"/>
  <c r="C372" i="10"/>
  <c r="E372" i="10" s="1"/>
  <c r="A373" i="10"/>
  <c r="B373" i="10"/>
  <c r="D373" i="10" s="1"/>
  <c r="C373" i="10"/>
  <c r="E373" i="10" s="1"/>
  <c r="A374" i="10"/>
  <c r="B374" i="10"/>
  <c r="D374" i="10" s="1"/>
  <c r="C374" i="10"/>
  <c r="E374" i="10" s="1"/>
  <c r="A375" i="10"/>
  <c r="B375" i="10"/>
  <c r="D375" i="10" s="1"/>
  <c r="C375" i="10"/>
  <c r="E375" i="10" s="1"/>
  <c r="A376" i="10"/>
  <c r="B376" i="10"/>
  <c r="D376" i="10" s="1"/>
  <c r="C376" i="10"/>
  <c r="E376" i="10" s="1"/>
  <c r="A377" i="10"/>
  <c r="B377" i="10"/>
  <c r="D377" i="10" s="1"/>
  <c r="C377" i="10"/>
  <c r="E377" i="10" s="1"/>
  <c r="A378" i="10"/>
  <c r="B378" i="10"/>
  <c r="D378" i="10" s="1"/>
  <c r="C378" i="10"/>
  <c r="E378" i="10" s="1"/>
  <c r="A379" i="10"/>
  <c r="B379" i="10"/>
  <c r="D379" i="10" s="1"/>
  <c r="C379" i="10"/>
  <c r="E379" i="10" s="1"/>
  <c r="A380" i="10"/>
  <c r="B380" i="10"/>
  <c r="D380" i="10" s="1"/>
  <c r="C380" i="10"/>
  <c r="E380" i="10" s="1"/>
  <c r="A381" i="10"/>
  <c r="B381" i="10"/>
  <c r="D381" i="10" s="1"/>
  <c r="C381" i="10"/>
  <c r="E381" i="10" s="1"/>
  <c r="A382" i="10"/>
  <c r="B382" i="10"/>
  <c r="D382" i="10" s="1"/>
  <c r="C382" i="10"/>
  <c r="E382" i="10" s="1"/>
  <c r="A383" i="10"/>
  <c r="B383" i="10"/>
  <c r="D383" i="10" s="1"/>
  <c r="C383" i="10"/>
  <c r="E383" i="10" s="1"/>
  <c r="A384" i="10"/>
  <c r="B384" i="10"/>
  <c r="D384" i="10" s="1"/>
  <c r="C384" i="10"/>
  <c r="E384" i="10" s="1"/>
  <c r="A385" i="10"/>
  <c r="B385" i="10"/>
  <c r="D385" i="10" s="1"/>
  <c r="C385" i="10"/>
  <c r="E385" i="10" s="1"/>
  <c r="A386" i="10"/>
  <c r="B386" i="10"/>
  <c r="D386" i="10" s="1"/>
  <c r="C386" i="10"/>
  <c r="E386" i="10" s="1"/>
  <c r="A387" i="10"/>
  <c r="B387" i="10"/>
  <c r="D387" i="10" s="1"/>
  <c r="C387" i="10"/>
  <c r="E387" i="10" s="1"/>
  <c r="A388" i="10"/>
  <c r="B388" i="10"/>
  <c r="D388" i="10" s="1"/>
  <c r="C388" i="10"/>
  <c r="E388" i="10" s="1"/>
  <c r="A389" i="10"/>
  <c r="B389" i="10"/>
  <c r="D389" i="10" s="1"/>
  <c r="C389" i="10"/>
  <c r="E389" i="10" s="1"/>
  <c r="A390" i="10"/>
  <c r="B390" i="10"/>
  <c r="D390" i="10" s="1"/>
  <c r="C390" i="10"/>
  <c r="E390" i="10" s="1"/>
  <c r="A391" i="10"/>
  <c r="B391" i="10"/>
  <c r="D391" i="10" s="1"/>
  <c r="C391" i="10"/>
  <c r="E391" i="10" s="1"/>
  <c r="A392" i="10"/>
  <c r="B392" i="10"/>
  <c r="D392" i="10" s="1"/>
  <c r="C392" i="10"/>
  <c r="E392" i="10" s="1"/>
  <c r="A393" i="10"/>
  <c r="B393" i="10"/>
  <c r="D393" i="10" s="1"/>
  <c r="C393" i="10"/>
  <c r="E393" i="10" s="1"/>
  <c r="A394" i="10"/>
  <c r="B394" i="10"/>
  <c r="D394" i="10" s="1"/>
  <c r="C394" i="10"/>
  <c r="E394" i="10" s="1"/>
  <c r="A395" i="10"/>
  <c r="B395" i="10"/>
  <c r="D395" i="10" s="1"/>
  <c r="C395" i="10"/>
  <c r="E395" i="10" s="1"/>
  <c r="A396" i="10"/>
  <c r="B396" i="10"/>
  <c r="D396" i="10" s="1"/>
  <c r="C396" i="10"/>
  <c r="E396" i="10" s="1"/>
  <c r="A397" i="10"/>
  <c r="B397" i="10"/>
  <c r="D397" i="10" s="1"/>
  <c r="C397" i="10"/>
  <c r="E397" i="10" s="1"/>
  <c r="A398" i="10"/>
  <c r="B398" i="10"/>
  <c r="D398" i="10" s="1"/>
  <c r="C398" i="10"/>
  <c r="E398" i="10" s="1"/>
  <c r="A399" i="10"/>
  <c r="B399" i="10"/>
  <c r="D399" i="10" s="1"/>
  <c r="C399" i="10"/>
  <c r="E399" i="10" s="1"/>
  <c r="A400" i="10"/>
  <c r="B400" i="10"/>
  <c r="D400" i="10" s="1"/>
  <c r="C400" i="10"/>
  <c r="E400" i="10" s="1"/>
  <c r="A401" i="10"/>
  <c r="B401" i="10"/>
  <c r="D401" i="10" s="1"/>
  <c r="C401" i="10"/>
  <c r="E401" i="10" s="1"/>
  <c r="A402" i="10"/>
  <c r="B402" i="10"/>
  <c r="D402" i="10" s="1"/>
  <c r="C402" i="10"/>
  <c r="E402" i="10" s="1"/>
  <c r="A403" i="10"/>
  <c r="B403" i="10"/>
  <c r="D403" i="10" s="1"/>
  <c r="C403" i="10"/>
  <c r="E403" i="10" s="1"/>
  <c r="A404" i="10"/>
  <c r="B404" i="10"/>
  <c r="D404" i="10" s="1"/>
  <c r="C404" i="10"/>
  <c r="E404" i="10" s="1"/>
  <c r="A405" i="10"/>
  <c r="B405" i="10"/>
  <c r="D405" i="10" s="1"/>
  <c r="C405" i="10"/>
  <c r="E405" i="10" s="1"/>
  <c r="A406" i="10"/>
  <c r="B406" i="10"/>
  <c r="D406" i="10" s="1"/>
  <c r="C406" i="10"/>
  <c r="E406" i="10" s="1"/>
  <c r="A407" i="10"/>
  <c r="B407" i="10"/>
  <c r="D407" i="10" s="1"/>
  <c r="C407" i="10"/>
  <c r="E407" i="10" s="1"/>
  <c r="A408" i="10"/>
  <c r="B408" i="10"/>
  <c r="D408" i="10" s="1"/>
  <c r="C408" i="10"/>
  <c r="E408" i="10" s="1"/>
  <c r="A409" i="10"/>
  <c r="B409" i="10"/>
  <c r="D409" i="10" s="1"/>
  <c r="C409" i="10"/>
  <c r="E409" i="10" s="1"/>
  <c r="A410" i="10"/>
  <c r="B410" i="10"/>
  <c r="D410" i="10" s="1"/>
  <c r="C410" i="10"/>
  <c r="E410" i="10" s="1"/>
  <c r="A411" i="10"/>
  <c r="B411" i="10"/>
  <c r="D411" i="10" s="1"/>
  <c r="C411" i="10"/>
  <c r="E411" i="10" s="1"/>
  <c r="A412" i="10"/>
  <c r="B412" i="10"/>
  <c r="D412" i="10" s="1"/>
  <c r="C412" i="10"/>
  <c r="E412" i="10" s="1"/>
  <c r="A413" i="10"/>
  <c r="B413" i="10"/>
  <c r="D413" i="10" s="1"/>
  <c r="C413" i="10"/>
  <c r="E413" i="10" s="1"/>
  <c r="A414" i="10"/>
  <c r="B414" i="10"/>
  <c r="D414" i="10" s="1"/>
  <c r="C414" i="10"/>
  <c r="E414" i="10" s="1"/>
  <c r="A415" i="10"/>
  <c r="B415" i="10"/>
  <c r="D415" i="10" s="1"/>
  <c r="C415" i="10"/>
  <c r="E415" i="10" s="1"/>
  <c r="A416" i="10"/>
  <c r="B416" i="10"/>
  <c r="D416" i="10" s="1"/>
  <c r="C416" i="10"/>
  <c r="E416" i="10" s="1"/>
  <c r="A417" i="10"/>
  <c r="B417" i="10"/>
  <c r="D417" i="10" s="1"/>
  <c r="C417" i="10"/>
  <c r="E417" i="10" s="1"/>
  <c r="A418" i="10"/>
  <c r="B418" i="10"/>
  <c r="D418" i="10" s="1"/>
  <c r="C418" i="10"/>
  <c r="E418" i="10" s="1"/>
  <c r="A419" i="10"/>
  <c r="B419" i="10"/>
  <c r="D419" i="10" s="1"/>
  <c r="C419" i="10"/>
  <c r="E419" i="10" s="1"/>
  <c r="A420" i="10"/>
  <c r="B420" i="10"/>
  <c r="D420" i="10" s="1"/>
  <c r="C420" i="10"/>
  <c r="E420" i="10" s="1"/>
  <c r="A421" i="10"/>
  <c r="B421" i="10"/>
  <c r="D421" i="10" s="1"/>
  <c r="C421" i="10"/>
  <c r="E421" i="10" s="1"/>
  <c r="A422" i="10"/>
  <c r="B422" i="10"/>
  <c r="D422" i="10" s="1"/>
  <c r="C422" i="10"/>
  <c r="E422" i="10" s="1"/>
  <c r="A423" i="10"/>
  <c r="B423" i="10"/>
  <c r="D423" i="10" s="1"/>
  <c r="C423" i="10"/>
  <c r="E423" i="10" s="1"/>
  <c r="A424" i="10"/>
  <c r="B424" i="10"/>
  <c r="D424" i="10" s="1"/>
  <c r="C424" i="10"/>
  <c r="E424" i="10" s="1"/>
  <c r="A425" i="10"/>
  <c r="B425" i="10"/>
  <c r="D425" i="10" s="1"/>
  <c r="C425" i="10"/>
  <c r="E425" i="10" s="1"/>
  <c r="A426" i="10"/>
  <c r="B426" i="10"/>
  <c r="D426" i="10" s="1"/>
  <c r="C426" i="10"/>
  <c r="E426" i="10" s="1"/>
  <c r="A427" i="10"/>
  <c r="B427" i="10"/>
  <c r="D427" i="10" s="1"/>
  <c r="C427" i="10"/>
  <c r="E427" i="10" s="1"/>
  <c r="A428" i="10"/>
  <c r="B428" i="10"/>
  <c r="D428" i="10" s="1"/>
  <c r="C428" i="10"/>
  <c r="E428" i="10" s="1"/>
  <c r="A429" i="10"/>
  <c r="B429" i="10"/>
  <c r="D429" i="10" s="1"/>
  <c r="C429" i="10"/>
  <c r="E429" i="10" s="1"/>
  <c r="A430" i="10"/>
  <c r="B430" i="10"/>
  <c r="D430" i="10" s="1"/>
  <c r="C430" i="10"/>
  <c r="E430" i="10" s="1"/>
  <c r="A431" i="10"/>
  <c r="B431" i="10"/>
  <c r="D431" i="10" s="1"/>
  <c r="C431" i="10"/>
  <c r="E431" i="10" s="1"/>
  <c r="A432" i="10"/>
  <c r="B432" i="10"/>
  <c r="D432" i="10" s="1"/>
  <c r="C432" i="10"/>
  <c r="E432" i="10" s="1"/>
  <c r="A433" i="10"/>
  <c r="B433" i="10"/>
  <c r="D433" i="10" s="1"/>
  <c r="C433" i="10"/>
  <c r="E433" i="10" s="1"/>
  <c r="A434" i="10"/>
  <c r="B434" i="10"/>
  <c r="D434" i="10" s="1"/>
  <c r="C434" i="10"/>
  <c r="E434" i="10" s="1"/>
  <c r="A435" i="10"/>
  <c r="B435" i="10"/>
  <c r="D435" i="10" s="1"/>
  <c r="C435" i="10"/>
  <c r="E435" i="10" s="1"/>
  <c r="A436" i="10"/>
  <c r="B436" i="10"/>
  <c r="D436" i="10" s="1"/>
  <c r="C436" i="10"/>
  <c r="E436" i="10" s="1"/>
  <c r="A437" i="10"/>
  <c r="B437" i="10"/>
  <c r="D437" i="10" s="1"/>
  <c r="C437" i="10"/>
  <c r="E437" i="10" s="1"/>
  <c r="A438" i="10"/>
  <c r="B438" i="10"/>
  <c r="D438" i="10" s="1"/>
  <c r="C438" i="10"/>
  <c r="E438" i="10" s="1"/>
  <c r="A439" i="10"/>
  <c r="B439" i="10"/>
  <c r="D439" i="10" s="1"/>
  <c r="C439" i="10"/>
  <c r="E439" i="10" s="1"/>
  <c r="A440" i="10"/>
  <c r="B440" i="10"/>
  <c r="D440" i="10" s="1"/>
  <c r="C440" i="10"/>
  <c r="E440" i="10" s="1"/>
  <c r="A441" i="10"/>
  <c r="B441" i="10"/>
  <c r="D441" i="10" s="1"/>
  <c r="C441" i="10"/>
  <c r="E441" i="10" s="1"/>
  <c r="A442" i="10"/>
  <c r="B442" i="10"/>
  <c r="D442" i="10" s="1"/>
  <c r="C442" i="10"/>
  <c r="E442" i="10" s="1"/>
  <c r="A443" i="10"/>
  <c r="B443" i="10"/>
  <c r="D443" i="10" s="1"/>
  <c r="C443" i="10"/>
  <c r="E443" i="10" s="1"/>
  <c r="A444" i="10"/>
  <c r="B444" i="10"/>
  <c r="D444" i="10" s="1"/>
  <c r="C444" i="10"/>
  <c r="E444" i="10" s="1"/>
  <c r="A445" i="10"/>
  <c r="B445" i="10"/>
  <c r="D445" i="10" s="1"/>
  <c r="C445" i="10"/>
  <c r="E445" i="10" s="1"/>
  <c r="C368" i="10"/>
  <c r="E368" i="10" s="1"/>
  <c r="B368" i="10"/>
  <c r="D368" i="10" s="1"/>
  <c r="A368" i="10"/>
  <c r="C367" i="10"/>
  <c r="E367" i="10" s="1"/>
  <c r="B367" i="10"/>
  <c r="D367" i="10" s="1"/>
  <c r="A367" i="10"/>
  <c r="C366" i="10"/>
  <c r="E366" i="10" s="1"/>
  <c r="B366" i="10"/>
  <c r="D366" i="10" s="1"/>
  <c r="A366" i="10"/>
  <c r="C365" i="10"/>
  <c r="E365" i="10" s="1"/>
  <c r="B365" i="10"/>
  <c r="D365" i="10" s="1"/>
  <c r="A365" i="10"/>
  <c r="C364" i="10"/>
  <c r="E364" i="10" s="1"/>
  <c r="B364" i="10"/>
  <c r="D364" i="10" s="1"/>
  <c r="A364" i="10"/>
  <c r="C363" i="10"/>
  <c r="E363" i="10" s="1"/>
  <c r="B363" i="10"/>
  <c r="D363" i="10" s="1"/>
  <c r="A363" i="10"/>
  <c r="C362" i="10"/>
  <c r="E362" i="10" s="1"/>
  <c r="B362" i="10"/>
  <c r="D362" i="10" s="1"/>
  <c r="A362" i="10"/>
  <c r="C361" i="10"/>
  <c r="E361" i="10" s="1"/>
  <c r="B361" i="10"/>
  <c r="D361" i="10" s="1"/>
  <c r="A361" i="10"/>
  <c r="C360" i="10"/>
  <c r="E360" i="10" s="1"/>
  <c r="B360" i="10"/>
  <c r="D360" i="10" s="1"/>
  <c r="A360" i="10"/>
  <c r="C359" i="10"/>
  <c r="E359" i="10" s="1"/>
  <c r="B359" i="10"/>
  <c r="D359" i="10" s="1"/>
  <c r="A359" i="10"/>
  <c r="C358" i="10"/>
  <c r="E358" i="10" s="1"/>
  <c r="B358" i="10"/>
  <c r="D358" i="10" s="1"/>
  <c r="A358" i="10"/>
  <c r="C357" i="10"/>
  <c r="E357" i="10" s="1"/>
  <c r="B357" i="10"/>
  <c r="D357" i="10" s="1"/>
  <c r="A357" i="10"/>
  <c r="C356" i="10"/>
  <c r="E356" i="10" s="1"/>
  <c r="B356" i="10"/>
  <c r="D356" i="10" s="1"/>
  <c r="A356" i="10"/>
  <c r="C355" i="10"/>
  <c r="E355" i="10" s="1"/>
  <c r="B355" i="10"/>
  <c r="D355" i="10" s="1"/>
  <c r="A355" i="10"/>
  <c r="C354" i="10"/>
  <c r="E354" i="10" s="1"/>
  <c r="B354" i="10"/>
  <c r="D354" i="10" s="1"/>
  <c r="A354" i="10"/>
  <c r="C353" i="10"/>
  <c r="E353" i="10" s="1"/>
  <c r="B353" i="10"/>
  <c r="D353" i="10" s="1"/>
  <c r="A353" i="10"/>
  <c r="C352" i="10"/>
  <c r="E352" i="10" s="1"/>
  <c r="B352" i="10"/>
  <c r="D352" i="10" s="1"/>
  <c r="A352" i="10"/>
  <c r="C351" i="10"/>
  <c r="E351" i="10" s="1"/>
  <c r="B351" i="10"/>
  <c r="D351" i="10" s="1"/>
  <c r="A351" i="10"/>
  <c r="C350" i="10"/>
  <c r="E350" i="10" s="1"/>
  <c r="B350" i="10"/>
  <c r="D350" i="10" s="1"/>
  <c r="A350" i="10"/>
  <c r="C349" i="10"/>
  <c r="E349" i="10" s="1"/>
  <c r="B349" i="10"/>
  <c r="D349" i="10" s="1"/>
  <c r="A349" i="10"/>
  <c r="C348" i="10"/>
  <c r="E348" i="10" s="1"/>
  <c r="B348" i="10"/>
  <c r="D348" i="10" s="1"/>
  <c r="A348" i="10"/>
  <c r="C347" i="10"/>
  <c r="E347" i="10" s="1"/>
  <c r="B347" i="10"/>
  <c r="D347" i="10" s="1"/>
  <c r="A347" i="10"/>
  <c r="C346" i="10"/>
  <c r="E346" i="10" s="1"/>
  <c r="B346" i="10"/>
  <c r="D346" i="10" s="1"/>
  <c r="A346" i="10"/>
  <c r="C345" i="10"/>
  <c r="E345" i="10" s="1"/>
  <c r="B345" i="10"/>
  <c r="D345" i="10" s="1"/>
  <c r="A345" i="10"/>
  <c r="C344" i="10"/>
  <c r="E344" i="10" s="1"/>
  <c r="B344" i="10"/>
  <c r="D344" i="10" s="1"/>
  <c r="A344" i="10"/>
  <c r="C343" i="10"/>
  <c r="E343" i="10" s="1"/>
  <c r="B343" i="10"/>
  <c r="D343" i="10" s="1"/>
  <c r="A343" i="10"/>
  <c r="C342" i="10"/>
  <c r="E342" i="10" s="1"/>
  <c r="B342" i="10"/>
  <c r="D342" i="10" s="1"/>
  <c r="A342" i="10"/>
  <c r="C341" i="10"/>
  <c r="E341" i="10" s="1"/>
  <c r="B341" i="10"/>
  <c r="D341" i="10" s="1"/>
  <c r="A341" i="10"/>
  <c r="C340" i="10"/>
  <c r="E340" i="10" s="1"/>
  <c r="B340" i="10"/>
  <c r="D340" i="10" s="1"/>
  <c r="A340" i="10"/>
  <c r="C339" i="10"/>
  <c r="E339" i="10" s="1"/>
  <c r="B339" i="10"/>
  <c r="D339" i="10" s="1"/>
  <c r="A339" i="10"/>
  <c r="C338" i="10"/>
  <c r="E338" i="10" s="1"/>
  <c r="B338" i="10"/>
  <c r="D338" i="10" s="1"/>
  <c r="A338" i="10"/>
  <c r="C337" i="10"/>
  <c r="E337" i="10" s="1"/>
  <c r="B337" i="10"/>
  <c r="D337" i="10" s="1"/>
  <c r="A337" i="10"/>
  <c r="C336" i="10"/>
  <c r="E336" i="10" s="1"/>
  <c r="B336" i="10"/>
  <c r="D336" i="10" s="1"/>
  <c r="A336" i="10"/>
  <c r="C335" i="10"/>
  <c r="E335" i="10" s="1"/>
  <c r="B335" i="10"/>
  <c r="D335" i="10" s="1"/>
  <c r="A335" i="10"/>
  <c r="C334" i="10"/>
  <c r="E334" i="10" s="1"/>
  <c r="B334" i="10"/>
  <c r="D334" i="10" s="1"/>
  <c r="A334" i="10"/>
  <c r="C333" i="10"/>
  <c r="E333" i="10" s="1"/>
  <c r="B333" i="10"/>
  <c r="D333" i="10" s="1"/>
  <c r="A333" i="10"/>
  <c r="C332" i="10"/>
  <c r="E332" i="10" s="1"/>
  <c r="B332" i="10"/>
  <c r="D332" i="10" s="1"/>
  <c r="A332" i="10"/>
  <c r="C331" i="10"/>
  <c r="E331" i="10" s="1"/>
  <c r="B331" i="10"/>
  <c r="D331" i="10" s="1"/>
  <c r="A331" i="10"/>
  <c r="C330" i="10"/>
  <c r="E330" i="10" s="1"/>
  <c r="B330" i="10"/>
  <c r="D330" i="10" s="1"/>
  <c r="A330" i="10"/>
  <c r="C329" i="10"/>
  <c r="E329" i="10" s="1"/>
  <c r="B329" i="10"/>
  <c r="D329" i="10" s="1"/>
  <c r="A329" i="10"/>
  <c r="C328" i="10"/>
  <c r="E328" i="10" s="1"/>
  <c r="B328" i="10"/>
  <c r="D328" i="10" s="1"/>
  <c r="A328" i="10"/>
  <c r="C327" i="10"/>
  <c r="E327" i="10" s="1"/>
  <c r="B327" i="10"/>
  <c r="D327" i="10" s="1"/>
  <c r="A327" i="10"/>
  <c r="C326" i="10"/>
  <c r="E326" i="10" s="1"/>
  <c r="B326" i="10"/>
  <c r="D326" i="10" s="1"/>
  <c r="A326" i="10"/>
  <c r="C325" i="10"/>
  <c r="E325" i="10" s="1"/>
  <c r="B325" i="10"/>
  <c r="D325" i="10" s="1"/>
  <c r="A325" i="10"/>
  <c r="C324" i="10"/>
  <c r="E324" i="10" s="1"/>
  <c r="B324" i="10"/>
  <c r="D324" i="10" s="1"/>
  <c r="A324" i="10"/>
  <c r="C323" i="10"/>
  <c r="E323" i="10" s="1"/>
  <c r="B323" i="10"/>
  <c r="D323" i="10" s="1"/>
  <c r="A323" i="10"/>
  <c r="C322" i="10"/>
  <c r="E322" i="10" s="1"/>
  <c r="B322" i="10"/>
  <c r="D322" i="10" s="1"/>
  <c r="A322" i="10"/>
  <c r="C321" i="10"/>
  <c r="E321" i="10" s="1"/>
  <c r="B321" i="10"/>
  <c r="D321" i="10" s="1"/>
  <c r="A321" i="10"/>
  <c r="C320" i="10"/>
  <c r="E320" i="10" s="1"/>
  <c r="B320" i="10"/>
  <c r="D320" i="10" s="1"/>
  <c r="A320" i="10"/>
  <c r="C319" i="10"/>
  <c r="E319" i="10" s="1"/>
  <c r="B319" i="10"/>
  <c r="D319" i="10" s="1"/>
  <c r="A319" i="10"/>
  <c r="C318" i="10"/>
  <c r="E318" i="10" s="1"/>
  <c r="B318" i="10"/>
  <c r="D318" i="10" s="1"/>
  <c r="A318" i="10"/>
  <c r="C317" i="10"/>
  <c r="E317" i="10" s="1"/>
  <c r="B317" i="10"/>
  <c r="D317" i="10" s="1"/>
  <c r="A317" i="10"/>
  <c r="C316" i="10"/>
  <c r="E316" i="10" s="1"/>
  <c r="B316" i="10"/>
  <c r="D316" i="10" s="1"/>
  <c r="A316" i="10"/>
  <c r="C315" i="10"/>
  <c r="E315" i="10" s="1"/>
  <c r="B315" i="10"/>
  <c r="D315" i="10" s="1"/>
  <c r="A315" i="10"/>
  <c r="C314" i="10"/>
  <c r="E314" i="10" s="1"/>
  <c r="B314" i="10"/>
  <c r="D314" i="10" s="1"/>
  <c r="A314" i="10"/>
  <c r="C313" i="10"/>
  <c r="E313" i="10" s="1"/>
  <c r="B313" i="10"/>
  <c r="D313" i="10" s="1"/>
  <c r="A313" i="10"/>
  <c r="C312" i="10"/>
  <c r="E312" i="10" s="1"/>
  <c r="B312" i="10"/>
  <c r="D312" i="10" s="1"/>
  <c r="A312" i="10"/>
  <c r="C311" i="10"/>
  <c r="E311" i="10" s="1"/>
  <c r="B311" i="10"/>
  <c r="D311" i="10" s="1"/>
  <c r="A311" i="10"/>
  <c r="C310" i="10"/>
  <c r="E310" i="10" s="1"/>
  <c r="B310" i="10"/>
  <c r="D310" i="10" s="1"/>
  <c r="A310" i="10"/>
  <c r="C309" i="10"/>
  <c r="E309" i="10" s="1"/>
  <c r="B309" i="10"/>
  <c r="D309" i="10" s="1"/>
  <c r="A309" i="10"/>
  <c r="C308" i="10"/>
  <c r="E308" i="10" s="1"/>
  <c r="B308" i="10"/>
  <c r="D308" i="10" s="1"/>
  <c r="A308" i="10"/>
  <c r="C307" i="10"/>
  <c r="E307" i="10" s="1"/>
  <c r="B307" i="10"/>
  <c r="D307" i="10" s="1"/>
  <c r="A307" i="10"/>
  <c r="C306" i="10"/>
  <c r="E306" i="10" s="1"/>
  <c r="B306" i="10"/>
  <c r="D306" i="10" s="1"/>
  <c r="A306" i="10"/>
  <c r="C305" i="10"/>
  <c r="E305" i="10" s="1"/>
  <c r="B305" i="10"/>
  <c r="D305" i="10" s="1"/>
  <c r="A305" i="10"/>
  <c r="C304" i="10"/>
  <c r="E304" i="10" s="1"/>
  <c r="B304" i="10"/>
  <c r="D304" i="10" s="1"/>
  <c r="A304" i="10"/>
  <c r="C303" i="10"/>
  <c r="E303" i="10" s="1"/>
  <c r="B303" i="10"/>
  <c r="D303" i="10" s="1"/>
  <c r="A303" i="10"/>
  <c r="C302" i="10"/>
  <c r="E302" i="10" s="1"/>
  <c r="B302" i="10"/>
  <c r="D302" i="10" s="1"/>
  <c r="A302" i="10"/>
  <c r="C301" i="10"/>
  <c r="E301" i="10" s="1"/>
  <c r="B301" i="10"/>
  <c r="D301" i="10" s="1"/>
  <c r="A301" i="10"/>
  <c r="C300" i="10"/>
  <c r="E300" i="10" s="1"/>
  <c r="B300" i="10"/>
  <c r="D300" i="10" s="1"/>
  <c r="A300" i="10"/>
  <c r="C299" i="10"/>
  <c r="E299" i="10" s="1"/>
  <c r="B299" i="10"/>
  <c r="D299" i="10" s="1"/>
  <c r="A299" i="10"/>
  <c r="AB295" i="10"/>
  <c r="AB294" i="10"/>
  <c r="AB293" i="10"/>
  <c r="AB292" i="10"/>
  <c r="AB291" i="10"/>
  <c r="AB290" i="10"/>
  <c r="AB289" i="10"/>
  <c r="AB288" i="10"/>
  <c r="AB287" i="10"/>
  <c r="AB286" i="10"/>
  <c r="AB285" i="10"/>
  <c r="AB284" i="10"/>
  <c r="AB283" i="10"/>
  <c r="AB282" i="10"/>
  <c r="AB281" i="10"/>
  <c r="AB280" i="10"/>
  <c r="AB279" i="10"/>
  <c r="AB278" i="10"/>
  <c r="AB277" i="10"/>
  <c r="AB276" i="10"/>
  <c r="AB275" i="10"/>
  <c r="AB274" i="10"/>
  <c r="AB273" i="10"/>
  <c r="AB272" i="10"/>
  <c r="AB271" i="10"/>
  <c r="AB270" i="10"/>
  <c r="AB269" i="10"/>
  <c r="AB268" i="10"/>
  <c r="AB267" i="10"/>
  <c r="AB266" i="10"/>
  <c r="AB265" i="10"/>
  <c r="AB264" i="10"/>
  <c r="AB263" i="10"/>
  <c r="AB262" i="10"/>
  <c r="AB261" i="10"/>
  <c r="AB260" i="10"/>
  <c r="AB259" i="10"/>
  <c r="AB258" i="10"/>
  <c r="AB257" i="10"/>
  <c r="AB256" i="10"/>
  <c r="AB255" i="10"/>
  <c r="AB254" i="10"/>
  <c r="AB253" i="10"/>
  <c r="AB252" i="10"/>
  <c r="AB251" i="10"/>
  <c r="AB250" i="10"/>
  <c r="AB249" i="10"/>
  <c r="AB248" i="10"/>
  <c r="AB247" i="10"/>
  <c r="AB246" i="10"/>
  <c r="AB245" i="10"/>
  <c r="AB244" i="10"/>
  <c r="AB243" i="10"/>
  <c r="AB242" i="10"/>
  <c r="AB241" i="10"/>
  <c r="AB240" i="10"/>
  <c r="AB239" i="10"/>
  <c r="AB238" i="10"/>
  <c r="AB237" i="10"/>
  <c r="AB236" i="10"/>
  <c r="AB235" i="10"/>
  <c r="AB234" i="10"/>
  <c r="AB233" i="10"/>
  <c r="AB232" i="10"/>
  <c r="AB231" i="10"/>
  <c r="AB230" i="10"/>
  <c r="AB229" i="10"/>
  <c r="AB228" i="10"/>
  <c r="AB227" i="10"/>
  <c r="AB226" i="10"/>
  <c r="AB225" i="10"/>
  <c r="AB224" i="10"/>
  <c r="AB223" i="10"/>
  <c r="C295" i="10"/>
  <c r="E295" i="10" s="1"/>
  <c r="B295" i="10"/>
  <c r="D295" i="10" s="1"/>
  <c r="A295" i="10"/>
  <c r="C294" i="10"/>
  <c r="E294" i="10" s="1"/>
  <c r="B294" i="10"/>
  <c r="D294" i="10" s="1"/>
  <c r="A294" i="10"/>
  <c r="C293" i="10"/>
  <c r="E293" i="10" s="1"/>
  <c r="B293" i="10"/>
  <c r="D293" i="10" s="1"/>
  <c r="A293" i="10"/>
  <c r="C292" i="10"/>
  <c r="E292" i="10" s="1"/>
  <c r="B292" i="10"/>
  <c r="D292" i="10" s="1"/>
  <c r="A292" i="10"/>
  <c r="C291" i="10"/>
  <c r="E291" i="10" s="1"/>
  <c r="B291" i="10"/>
  <c r="D291" i="10" s="1"/>
  <c r="A291" i="10"/>
  <c r="C290" i="10"/>
  <c r="E290" i="10" s="1"/>
  <c r="B290" i="10"/>
  <c r="D290" i="10" s="1"/>
  <c r="A290" i="10"/>
  <c r="C289" i="10"/>
  <c r="E289" i="10" s="1"/>
  <c r="B289" i="10"/>
  <c r="D289" i="10" s="1"/>
  <c r="A289" i="10"/>
  <c r="C288" i="10"/>
  <c r="E288" i="10" s="1"/>
  <c r="B288" i="10"/>
  <c r="D288" i="10" s="1"/>
  <c r="A288" i="10"/>
  <c r="C287" i="10"/>
  <c r="E287" i="10" s="1"/>
  <c r="B287" i="10"/>
  <c r="D287" i="10" s="1"/>
  <c r="A287" i="10"/>
  <c r="C286" i="10"/>
  <c r="E286" i="10" s="1"/>
  <c r="B286" i="10"/>
  <c r="D286" i="10" s="1"/>
  <c r="A286" i="10"/>
  <c r="C285" i="10"/>
  <c r="E285" i="10" s="1"/>
  <c r="B285" i="10"/>
  <c r="D285" i="10" s="1"/>
  <c r="A285" i="10"/>
  <c r="C284" i="10"/>
  <c r="E284" i="10" s="1"/>
  <c r="B284" i="10"/>
  <c r="D284" i="10" s="1"/>
  <c r="A284" i="10"/>
  <c r="C283" i="10"/>
  <c r="E283" i="10" s="1"/>
  <c r="B283" i="10"/>
  <c r="D283" i="10" s="1"/>
  <c r="A283" i="10"/>
  <c r="C282" i="10"/>
  <c r="E282" i="10" s="1"/>
  <c r="D282" i="10"/>
  <c r="A282" i="10"/>
  <c r="C281" i="10"/>
  <c r="E281" i="10" s="1"/>
  <c r="D281" i="10"/>
  <c r="A281" i="10"/>
  <c r="C280" i="10"/>
  <c r="E280" i="10" s="1"/>
  <c r="B280" i="10"/>
  <c r="D280" i="10" s="1"/>
  <c r="A280" i="10"/>
  <c r="C279" i="10"/>
  <c r="E279" i="10" s="1"/>
  <c r="B279" i="10"/>
  <c r="D279" i="10" s="1"/>
  <c r="A279" i="10"/>
  <c r="C278" i="10"/>
  <c r="E278" i="10" s="1"/>
  <c r="B278" i="10"/>
  <c r="D278" i="10" s="1"/>
  <c r="A278" i="10"/>
  <c r="C277" i="10"/>
  <c r="E277" i="10" s="1"/>
  <c r="B277" i="10"/>
  <c r="D277" i="10" s="1"/>
  <c r="A277" i="10"/>
  <c r="C276" i="10"/>
  <c r="E276" i="10" s="1"/>
  <c r="B276" i="10"/>
  <c r="D276" i="10" s="1"/>
  <c r="A276" i="10"/>
  <c r="C275" i="10"/>
  <c r="E275" i="10" s="1"/>
  <c r="B275" i="10"/>
  <c r="D275" i="10" s="1"/>
  <c r="A275" i="10"/>
  <c r="C274" i="10"/>
  <c r="E274" i="10" s="1"/>
  <c r="D274" i="10"/>
  <c r="A274" i="10"/>
  <c r="C273" i="10"/>
  <c r="E273" i="10" s="1"/>
  <c r="B273" i="10"/>
  <c r="D273" i="10" s="1"/>
  <c r="A273" i="10"/>
  <c r="C272" i="10"/>
  <c r="E272" i="10" s="1"/>
  <c r="B272" i="10"/>
  <c r="D272" i="10" s="1"/>
  <c r="A272" i="10"/>
  <c r="C271" i="10"/>
  <c r="E271" i="10" s="1"/>
  <c r="B271" i="10"/>
  <c r="D271" i="10" s="1"/>
  <c r="A271" i="10"/>
  <c r="C270" i="10"/>
  <c r="E270" i="10" s="1"/>
  <c r="B270" i="10"/>
  <c r="D270" i="10" s="1"/>
  <c r="A270" i="10"/>
  <c r="C269" i="10"/>
  <c r="E269" i="10" s="1"/>
  <c r="B269" i="10"/>
  <c r="D269" i="10" s="1"/>
  <c r="A269" i="10"/>
  <c r="C268" i="10"/>
  <c r="E268" i="10" s="1"/>
  <c r="B268" i="10"/>
  <c r="D268" i="10" s="1"/>
  <c r="A268" i="10"/>
  <c r="C267" i="10"/>
  <c r="E267" i="10" s="1"/>
  <c r="B267" i="10"/>
  <c r="D267" i="10" s="1"/>
  <c r="A267" i="10"/>
  <c r="C266" i="10"/>
  <c r="E266" i="10" s="1"/>
  <c r="B266" i="10"/>
  <c r="D266" i="10" s="1"/>
  <c r="A266" i="10"/>
  <c r="C265" i="10"/>
  <c r="E265" i="10" s="1"/>
  <c r="B265" i="10"/>
  <c r="D265" i="10" s="1"/>
  <c r="A265" i="10"/>
  <c r="C264" i="10"/>
  <c r="E264" i="10" s="1"/>
  <c r="B264" i="10"/>
  <c r="D264" i="10" s="1"/>
  <c r="A264" i="10"/>
  <c r="C263" i="10"/>
  <c r="E263" i="10" s="1"/>
  <c r="B263" i="10"/>
  <c r="D263" i="10" s="1"/>
  <c r="A263" i="10"/>
  <c r="C262" i="10"/>
  <c r="E262" i="10" s="1"/>
  <c r="B262" i="10"/>
  <c r="D262" i="10" s="1"/>
  <c r="A262" i="10"/>
  <c r="C261" i="10"/>
  <c r="E261" i="10" s="1"/>
  <c r="B261" i="10"/>
  <c r="D261" i="10" s="1"/>
  <c r="A261" i="10"/>
  <c r="C260" i="10"/>
  <c r="E260" i="10" s="1"/>
  <c r="B260" i="10"/>
  <c r="D260" i="10" s="1"/>
  <c r="A260" i="10"/>
  <c r="C259" i="10"/>
  <c r="E259" i="10" s="1"/>
  <c r="B259" i="10"/>
  <c r="D259" i="10" s="1"/>
  <c r="A259" i="10"/>
  <c r="C258" i="10"/>
  <c r="E258" i="10" s="1"/>
  <c r="B258" i="10"/>
  <c r="D258" i="10" s="1"/>
  <c r="A258" i="10"/>
  <c r="C257" i="10"/>
  <c r="E257" i="10" s="1"/>
  <c r="B257" i="10"/>
  <c r="D257" i="10" s="1"/>
  <c r="A257" i="10"/>
  <c r="C256" i="10"/>
  <c r="E256" i="10" s="1"/>
  <c r="B256" i="10"/>
  <c r="D256" i="10" s="1"/>
  <c r="A256" i="10"/>
  <c r="C255" i="10"/>
  <c r="E255" i="10" s="1"/>
  <c r="B255" i="10"/>
  <c r="D255" i="10" s="1"/>
  <c r="A255" i="10"/>
  <c r="C254" i="10"/>
  <c r="E254" i="10" s="1"/>
  <c r="B254" i="10"/>
  <c r="D254" i="10" s="1"/>
  <c r="A254" i="10"/>
  <c r="C253" i="10"/>
  <c r="E253" i="10" s="1"/>
  <c r="B253" i="10"/>
  <c r="D253" i="10" s="1"/>
  <c r="A253" i="10"/>
  <c r="C252" i="10"/>
  <c r="E252" i="10" s="1"/>
  <c r="B252" i="10"/>
  <c r="D252" i="10" s="1"/>
  <c r="A252" i="10"/>
  <c r="C251" i="10"/>
  <c r="E251" i="10" s="1"/>
  <c r="B251" i="10"/>
  <c r="D251" i="10" s="1"/>
  <c r="A251" i="10"/>
  <c r="C250" i="10"/>
  <c r="E250" i="10" s="1"/>
  <c r="B250" i="10"/>
  <c r="D250" i="10" s="1"/>
  <c r="A250" i="10"/>
  <c r="C249" i="10"/>
  <c r="E249" i="10" s="1"/>
  <c r="B249" i="10"/>
  <c r="D249" i="10" s="1"/>
  <c r="A249" i="10"/>
  <c r="C248" i="10"/>
  <c r="E248" i="10" s="1"/>
  <c r="B248" i="10"/>
  <c r="D248" i="10" s="1"/>
  <c r="A248" i="10"/>
  <c r="C247" i="10"/>
  <c r="E247" i="10" s="1"/>
  <c r="B247" i="10"/>
  <c r="D247" i="10" s="1"/>
  <c r="A247" i="10"/>
  <c r="C246" i="10"/>
  <c r="E246" i="10" s="1"/>
  <c r="B246" i="10"/>
  <c r="D246" i="10" s="1"/>
  <c r="A246" i="10"/>
  <c r="C245" i="10"/>
  <c r="E245" i="10" s="1"/>
  <c r="B245" i="10"/>
  <c r="D245" i="10" s="1"/>
  <c r="A245" i="10"/>
  <c r="C244" i="10"/>
  <c r="E244" i="10" s="1"/>
  <c r="B244" i="10"/>
  <c r="D244" i="10" s="1"/>
  <c r="A244" i="10"/>
  <c r="C243" i="10"/>
  <c r="E243" i="10" s="1"/>
  <c r="B243" i="10"/>
  <c r="D243" i="10" s="1"/>
  <c r="A243" i="10"/>
  <c r="C242" i="10"/>
  <c r="E242" i="10" s="1"/>
  <c r="B242" i="10"/>
  <c r="D242" i="10" s="1"/>
  <c r="A242" i="10"/>
  <c r="C241" i="10"/>
  <c r="E241" i="10" s="1"/>
  <c r="B241" i="10"/>
  <c r="D241" i="10" s="1"/>
  <c r="A241" i="10"/>
  <c r="C240" i="10"/>
  <c r="E240" i="10" s="1"/>
  <c r="B240" i="10"/>
  <c r="D240" i="10" s="1"/>
  <c r="A240" i="10"/>
  <c r="C239" i="10"/>
  <c r="E239" i="10" s="1"/>
  <c r="B239" i="10"/>
  <c r="D239" i="10" s="1"/>
  <c r="A239" i="10"/>
  <c r="C238" i="10"/>
  <c r="E238" i="10" s="1"/>
  <c r="B238" i="10"/>
  <c r="D238" i="10" s="1"/>
  <c r="A238" i="10"/>
  <c r="C237" i="10"/>
  <c r="E237" i="10" s="1"/>
  <c r="B237" i="10"/>
  <c r="D237" i="10" s="1"/>
  <c r="A237" i="10"/>
  <c r="C236" i="10"/>
  <c r="E236" i="10" s="1"/>
  <c r="B236" i="10"/>
  <c r="D236" i="10" s="1"/>
  <c r="A236" i="10"/>
  <c r="C235" i="10"/>
  <c r="E235" i="10" s="1"/>
  <c r="B235" i="10"/>
  <c r="D235" i="10" s="1"/>
  <c r="A235" i="10"/>
  <c r="C234" i="10"/>
  <c r="E234" i="10" s="1"/>
  <c r="B234" i="10"/>
  <c r="D234" i="10" s="1"/>
  <c r="A234" i="10"/>
  <c r="C233" i="10"/>
  <c r="E233" i="10" s="1"/>
  <c r="B233" i="10"/>
  <c r="D233" i="10" s="1"/>
  <c r="A233" i="10"/>
  <c r="C232" i="10"/>
  <c r="E232" i="10" s="1"/>
  <c r="B232" i="10"/>
  <c r="D232" i="10" s="1"/>
  <c r="A232" i="10"/>
  <c r="C231" i="10"/>
  <c r="E231" i="10" s="1"/>
  <c r="B231" i="10"/>
  <c r="D231" i="10" s="1"/>
  <c r="A231" i="10"/>
  <c r="C230" i="10"/>
  <c r="E230" i="10" s="1"/>
  <c r="B230" i="10"/>
  <c r="D230" i="10" s="1"/>
  <c r="A230" i="10"/>
  <c r="C229" i="10"/>
  <c r="E229" i="10" s="1"/>
  <c r="B229" i="10"/>
  <c r="D229" i="10" s="1"/>
  <c r="A229" i="10"/>
  <c r="C228" i="10"/>
  <c r="E228" i="10" s="1"/>
  <c r="B228" i="10"/>
  <c r="D228" i="10" s="1"/>
  <c r="A228" i="10"/>
  <c r="C227" i="10"/>
  <c r="E227" i="10" s="1"/>
  <c r="B227" i="10"/>
  <c r="D227" i="10" s="1"/>
  <c r="A227" i="10"/>
  <c r="C226" i="10"/>
  <c r="E226" i="10" s="1"/>
  <c r="B226" i="10"/>
  <c r="D226" i="10" s="1"/>
  <c r="A226" i="10"/>
  <c r="C225" i="10"/>
  <c r="E225" i="10" s="1"/>
  <c r="B225" i="10"/>
  <c r="D225" i="10" s="1"/>
  <c r="A225" i="10"/>
  <c r="C224" i="10"/>
  <c r="E224" i="10" s="1"/>
  <c r="B224" i="10"/>
  <c r="D224" i="10" s="1"/>
  <c r="A224" i="10"/>
  <c r="C223" i="10"/>
  <c r="E223" i="10" s="1"/>
  <c r="B223" i="10"/>
  <c r="D223" i="10" s="1"/>
  <c r="A223" i="10"/>
  <c r="C222" i="10"/>
  <c r="E222" i="10" s="1"/>
  <c r="B222" i="10"/>
  <c r="D222" i="10" s="1"/>
  <c r="A222" i="10"/>
  <c r="AB221" i="10"/>
  <c r="AB220" i="10"/>
  <c r="AB219" i="10"/>
  <c r="AB218" i="10"/>
  <c r="AB217" i="10"/>
  <c r="AB216" i="10"/>
  <c r="AB215" i="10"/>
  <c r="AB214" i="10"/>
  <c r="AB213" i="10"/>
  <c r="AB212" i="10"/>
  <c r="AB211" i="10"/>
  <c r="AB210" i="10"/>
  <c r="AB209" i="10"/>
  <c r="AB208" i="10"/>
  <c r="AB207" i="10"/>
  <c r="AB206" i="10"/>
  <c r="AB205" i="10"/>
  <c r="AB204" i="10"/>
  <c r="AB203" i="10"/>
  <c r="AB202" i="10"/>
  <c r="AB201" i="10"/>
  <c r="AB200" i="10"/>
  <c r="AB199" i="10"/>
  <c r="AB198" i="10"/>
  <c r="AB197" i="10"/>
  <c r="AB196" i="10"/>
  <c r="AB195" i="10"/>
  <c r="AB194" i="10"/>
  <c r="AB193" i="10"/>
  <c r="AB192" i="10"/>
  <c r="AB191" i="10"/>
  <c r="AB190" i="10"/>
  <c r="AB189" i="10"/>
  <c r="AB188" i="10"/>
  <c r="AB187" i="10"/>
  <c r="AB186" i="10"/>
  <c r="AB185" i="10"/>
  <c r="AB184" i="10"/>
  <c r="AB183" i="10"/>
  <c r="AB182" i="10"/>
  <c r="AB181" i="10"/>
  <c r="AB180" i="10"/>
  <c r="AB179" i="10"/>
  <c r="AB178" i="10"/>
  <c r="AB177" i="10"/>
  <c r="AB176" i="10"/>
  <c r="AB175" i="10"/>
  <c r="AB174" i="10"/>
  <c r="AB173" i="10"/>
  <c r="AB172" i="10"/>
  <c r="AB171" i="10"/>
  <c r="AB170" i="10"/>
  <c r="AB169" i="10"/>
  <c r="AB168" i="10"/>
  <c r="AB167" i="10"/>
  <c r="AB166" i="10"/>
  <c r="AB165" i="10"/>
  <c r="AB164" i="10"/>
  <c r="AB163" i="10"/>
  <c r="AB162" i="10"/>
  <c r="AB161" i="10"/>
  <c r="AB160" i="10"/>
  <c r="AB159" i="10"/>
  <c r="AB158" i="10"/>
  <c r="AB157" i="10"/>
  <c r="AB156" i="10"/>
  <c r="AB155" i="10"/>
  <c r="C221" i="10"/>
  <c r="E221" i="10" s="1"/>
  <c r="B221" i="10"/>
  <c r="D221" i="10" s="1"/>
  <c r="A221" i="10"/>
  <c r="C220" i="10"/>
  <c r="E220" i="10" s="1"/>
  <c r="B220" i="10"/>
  <c r="D220" i="10" s="1"/>
  <c r="A220" i="10"/>
  <c r="C219" i="10"/>
  <c r="E219" i="10" s="1"/>
  <c r="B219" i="10"/>
  <c r="D219" i="10" s="1"/>
  <c r="A219" i="10"/>
  <c r="C218" i="10"/>
  <c r="E218" i="10" s="1"/>
  <c r="B218" i="10"/>
  <c r="D218" i="10" s="1"/>
  <c r="A218" i="10"/>
  <c r="C217" i="10"/>
  <c r="E217" i="10" s="1"/>
  <c r="B217" i="10"/>
  <c r="D217" i="10" s="1"/>
  <c r="A217" i="10"/>
  <c r="C216" i="10"/>
  <c r="E216" i="10" s="1"/>
  <c r="B216" i="10"/>
  <c r="D216" i="10" s="1"/>
  <c r="A216" i="10"/>
  <c r="C215" i="10"/>
  <c r="E215" i="10" s="1"/>
  <c r="B215" i="10"/>
  <c r="D215" i="10" s="1"/>
  <c r="A215" i="10"/>
  <c r="C214" i="10"/>
  <c r="E214" i="10" s="1"/>
  <c r="B214" i="10"/>
  <c r="D214" i="10" s="1"/>
  <c r="A214" i="10"/>
  <c r="C213" i="10"/>
  <c r="E213" i="10" s="1"/>
  <c r="B213" i="10"/>
  <c r="D213" i="10" s="1"/>
  <c r="A213" i="10"/>
  <c r="C212" i="10"/>
  <c r="E212" i="10" s="1"/>
  <c r="B212" i="10"/>
  <c r="D212" i="10" s="1"/>
  <c r="A212" i="10"/>
  <c r="C211" i="10"/>
  <c r="E211" i="10" s="1"/>
  <c r="B211" i="10"/>
  <c r="D211" i="10" s="1"/>
  <c r="A211" i="10"/>
  <c r="C210" i="10"/>
  <c r="E210" i="10" s="1"/>
  <c r="B210" i="10"/>
  <c r="D210" i="10" s="1"/>
  <c r="A210" i="10"/>
  <c r="C209" i="10"/>
  <c r="E209" i="10" s="1"/>
  <c r="B209" i="10"/>
  <c r="D209" i="10" s="1"/>
  <c r="A209" i="10"/>
  <c r="C208" i="10"/>
  <c r="E208" i="10" s="1"/>
  <c r="B208" i="10"/>
  <c r="D208" i="10" s="1"/>
  <c r="A208" i="10"/>
  <c r="C207" i="10"/>
  <c r="E207" i="10" s="1"/>
  <c r="B207" i="10"/>
  <c r="D207" i="10" s="1"/>
  <c r="A207" i="10"/>
  <c r="C206" i="10"/>
  <c r="E206" i="10" s="1"/>
  <c r="B206" i="10"/>
  <c r="D206" i="10" s="1"/>
  <c r="A206" i="10"/>
  <c r="C205" i="10"/>
  <c r="E205" i="10" s="1"/>
  <c r="B205" i="10"/>
  <c r="D205" i="10" s="1"/>
  <c r="A205" i="10"/>
  <c r="C204" i="10"/>
  <c r="E204" i="10" s="1"/>
  <c r="B204" i="10"/>
  <c r="D204" i="10" s="1"/>
  <c r="A204" i="10"/>
  <c r="C203" i="10"/>
  <c r="E203" i="10" s="1"/>
  <c r="B203" i="10"/>
  <c r="D203" i="10" s="1"/>
  <c r="A203" i="10"/>
  <c r="C202" i="10"/>
  <c r="E202" i="10" s="1"/>
  <c r="B202" i="10"/>
  <c r="D202" i="10" s="1"/>
  <c r="A202" i="10"/>
  <c r="C201" i="10"/>
  <c r="E201" i="10" s="1"/>
  <c r="B201" i="10"/>
  <c r="D201" i="10" s="1"/>
  <c r="A201" i="10"/>
  <c r="C200" i="10"/>
  <c r="E200" i="10" s="1"/>
  <c r="B200" i="10"/>
  <c r="D200" i="10" s="1"/>
  <c r="A200" i="10"/>
  <c r="C199" i="10"/>
  <c r="E199" i="10" s="1"/>
  <c r="B199" i="10"/>
  <c r="D199" i="10" s="1"/>
  <c r="A199" i="10"/>
  <c r="C198" i="10"/>
  <c r="E198" i="10" s="1"/>
  <c r="B198" i="10"/>
  <c r="D198" i="10" s="1"/>
  <c r="A198" i="10"/>
  <c r="C197" i="10"/>
  <c r="E197" i="10" s="1"/>
  <c r="B197" i="10"/>
  <c r="D197" i="10" s="1"/>
  <c r="A197" i="10"/>
  <c r="C196" i="10"/>
  <c r="E196" i="10" s="1"/>
  <c r="B196" i="10"/>
  <c r="D196" i="10" s="1"/>
  <c r="A196" i="10"/>
  <c r="C195" i="10"/>
  <c r="E195" i="10" s="1"/>
  <c r="B195" i="10"/>
  <c r="D195" i="10" s="1"/>
  <c r="A195" i="10"/>
  <c r="C194" i="10"/>
  <c r="E194" i="10" s="1"/>
  <c r="B194" i="10"/>
  <c r="D194" i="10" s="1"/>
  <c r="A194" i="10"/>
  <c r="C193" i="10"/>
  <c r="E193" i="10" s="1"/>
  <c r="B193" i="10"/>
  <c r="D193" i="10" s="1"/>
  <c r="A193" i="10"/>
  <c r="C192" i="10"/>
  <c r="E192" i="10" s="1"/>
  <c r="B192" i="10"/>
  <c r="D192" i="10" s="1"/>
  <c r="A192" i="10"/>
  <c r="C191" i="10"/>
  <c r="E191" i="10" s="1"/>
  <c r="B191" i="10"/>
  <c r="D191" i="10" s="1"/>
  <c r="A191" i="10"/>
  <c r="C190" i="10"/>
  <c r="E190" i="10" s="1"/>
  <c r="B190" i="10"/>
  <c r="D190" i="10" s="1"/>
  <c r="A190" i="10"/>
  <c r="C189" i="10"/>
  <c r="E189" i="10" s="1"/>
  <c r="B189" i="10"/>
  <c r="D189" i="10" s="1"/>
  <c r="A189" i="10"/>
  <c r="C188" i="10"/>
  <c r="E188" i="10" s="1"/>
  <c r="B188" i="10"/>
  <c r="D188" i="10" s="1"/>
  <c r="A188" i="10"/>
  <c r="C187" i="10"/>
  <c r="E187" i="10" s="1"/>
  <c r="B187" i="10"/>
  <c r="D187" i="10" s="1"/>
  <c r="A187" i="10"/>
  <c r="C186" i="10"/>
  <c r="E186" i="10" s="1"/>
  <c r="B186" i="10"/>
  <c r="D186" i="10" s="1"/>
  <c r="A186" i="10"/>
  <c r="C185" i="10"/>
  <c r="E185" i="10" s="1"/>
  <c r="B185" i="10"/>
  <c r="D185" i="10" s="1"/>
  <c r="A185" i="10"/>
  <c r="C184" i="10"/>
  <c r="E184" i="10" s="1"/>
  <c r="B184" i="10"/>
  <c r="D184" i="10" s="1"/>
  <c r="A184" i="10"/>
  <c r="C183" i="10"/>
  <c r="E183" i="10" s="1"/>
  <c r="B183" i="10"/>
  <c r="D183" i="10" s="1"/>
  <c r="A183" i="10"/>
  <c r="C182" i="10"/>
  <c r="E182" i="10" s="1"/>
  <c r="B182" i="10"/>
  <c r="D182" i="10" s="1"/>
  <c r="A182" i="10"/>
  <c r="C181" i="10"/>
  <c r="E181" i="10" s="1"/>
  <c r="B181" i="10"/>
  <c r="D181" i="10" s="1"/>
  <c r="A181" i="10"/>
  <c r="C180" i="10"/>
  <c r="E180" i="10" s="1"/>
  <c r="B180" i="10"/>
  <c r="D180" i="10" s="1"/>
  <c r="A180" i="10"/>
  <c r="C179" i="10"/>
  <c r="E179" i="10" s="1"/>
  <c r="B179" i="10"/>
  <c r="D179" i="10" s="1"/>
  <c r="A179" i="10"/>
  <c r="C178" i="10"/>
  <c r="E178" i="10" s="1"/>
  <c r="B178" i="10"/>
  <c r="D178" i="10" s="1"/>
  <c r="A178" i="10"/>
  <c r="C177" i="10"/>
  <c r="E177" i="10" s="1"/>
  <c r="B177" i="10"/>
  <c r="D177" i="10" s="1"/>
  <c r="A177" i="10"/>
  <c r="C176" i="10"/>
  <c r="E176" i="10" s="1"/>
  <c r="B176" i="10"/>
  <c r="D176" i="10" s="1"/>
  <c r="A176" i="10"/>
  <c r="C175" i="10"/>
  <c r="E175" i="10" s="1"/>
  <c r="B175" i="10"/>
  <c r="D175" i="10" s="1"/>
  <c r="A175" i="10"/>
  <c r="C174" i="10"/>
  <c r="E174" i="10" s="1"/>
  <c r="B174" i="10"/>
  <c r="D174" i="10" s="1"/>
  <c r="A174" i="10"/>
  <c r="C173" i="10"/>
  <c r="E173" i="10" s="1"/>
  <c r="B173" i="10"/>
  <c r="D173" i="10" s="1"/>
  <c r="A173" i="10"/>
  <c r="C172" i="10"/>
  <c r="E172" i="10" s="1"/>
  <c r="B172" i="10"/>
  <c r="D172" i="10" s="1"/>
  <c r="A172" i="10"/>
  <c r="C171" i="10"/>
  <c r="E171" i="10" s="1"/>
  <c r="B171" i="10"/>
  <c r="D171" i="10" s="1"/>
  <c r="A171" i="10"/>
  <c r="C170" i="10"/>
  <c r="E170" i="10" s="1"/>
  <c r="B170" i="10"/>
  <c r="D170" i="10" s="1"/>
  <c r="A170" i="10"/>
  <c r="C169" i="10"/>
  <c r="E169" i="10" s="1"/>
  <c r="B169" i="10"/>
  <c r="D169" i="10" s="1"/>
  <c r="A169" i="10"/>
  <c r="C168" i="10"/>
  <c r="E168" i="10" s="1"/>
  <c r="B168" i="10"/>
  <c r="D168" i="10" s="1"/>
  <c r="A168" i="10"/>
  <c r="C167" i="10"/>
  <c r="E167" i="10" s="1"/>
  <c r="B167" i="10"/>
  <c r="D167" i="10" s="1"/>
  <c r="A167" i="10"/>
  <c r="C166" i="10"/>
  <c r="E166" i="10" s="1"/>
  <c r="B166" i="10"/>
  <c r="D166" i="10" s="1"/>
  <c r="A166" i="10"/>
  <c r="C165" i="10"/>
  <c r="E165" i="10" s="1"/>
  <c r="B165" i="10"/>
  <c r="D165" i="10" s="1"/>
  <c r="A165" i="10"/>
  <c r="C164" i="10"/>
  <c r="E164" i="10" s="1"/>
  <c r="B164" i="10"/>
  <c r="D164" i="10" s="1"/>
  <c r="A164" i="10"/>
  <c r="C163" i="10"/>
  <c r="E163" i="10" s="1"/>
  <c r="B163" i="10"/>
  <c r="D163" i="10" s="1"/>
  <c r="A163" i="10"/>
  <c r="C162" i="10"/>
  <c r="E162" i="10" s="1"/>
  <c r="B162" i="10"/>
  <c r="D162" i="10" s="1"/>
  <c r="A162" i="10"/>
  <c r="C161" i="10"/>
  <c r="E161" i="10" s="1"/>
  <c r="B161" i="10"/>
  <c r="D161" i="10" s="1"/>
  <c r="A161" i="10"/>
  <c r="C160" i="10"/>
  <c r="E160" i="10" s="1"/>
  <c r="B160" i="10"/>
  <c r="D160" i="10" s="1"/>
  <c r="A160" i="10"/>
  <c r="C159" i="10"/>
  <c r="E159" i="10" s="1"/>
  <c r="B159" i="10"/>
  <c r="D159" i="10" s="1"/>
  <c r="A159" i="10"/>
  <c r="C158" i="10"/>
  <c r="E158" i="10" s="1"/>
  <c r="B158" i="10"/>
  <c r="D158" i="10" s="1"/>
  <c r="A158" i="10"/>
  <c r="C157" i="10"/>
  <c r="E157" i="10" s="1"/>
  <c r="B157" i="10"/>
  <c r="D157" i="10" s="1"/>
  <c r="A157" i="10"/>
  <c r="C156" i="10"/>
  <c r="E156" i="10" s="1"/>
  <c r="B156" i="10"/>
  <c r="D156" i="10" s="1"/>
  <c r="A156" i="10"/>
  <c r="C155" i="10"/>
  <c r="E155" i="10" s="1"/>
  <c r="B155" i="10"/>
  <c r="D155" i="10" s="1"/>
  <c r="A155" i="10"/>
  <c r="C154" i="10"/>
  <c r="E154" i="10" s="1"/>
  <c r="B154" i="10"/>
  <c r="D154" i="10" s="1"/>
  <c r="A154" i="10"/>
  <c r="C153" i="10"/>
  <c r="E153" i="10" s="1"/>
  <c r="B153" i="10"/>
  <c r="D153" i="10" s="1"/>
  <c r="A153" i="10"/>
  <c r="C152" i="10"/>
  <c r="E152" i="10" s="1"/>
  <c r="B152" i="10"/>
  <c r="D152" i="10" s="1"/>
  <c r="A152" i="10"/>
  <c r="C151" i="10"/>
  <c r="E151" i="10" s="1"/>
  <c r="B151" i="10"/>
  <c r="D151" i="10" s="1"/>
  <c r="A151" i="10"/>
  <c r="C150" i="10"/>
  <c r="E150" i="10" s="1"/>
  <c r="B150" i="10"/>
  <c r="D150" i="10" s="1"/>
  <c r="A150" i="10"/>
  <c r="C149" i="10"/>
  <c r="E149" i="10" s="1"/>
  <c r="B149" i="10"/>
  <c r="D149" i="10" s="1"/>
  <c r="A149" i="10"/>
  <c r="C148" i="10"/>
  <c r="E148" i="10" s="1"/>
  <c r="B148" i="10"/>
  <c r="D148" i="10" s="1"/>
  <c r="A148" i="10"/>
  <c r="C147" i="10"/>
  <c r="E147" i="10" s="1"/>
  <c r="B147" i="10"/>
  <c r="D147" i="10" s="1"/>
  <c r="A147" i="10"/>
  <c r="C146" i="10"/>
  <c r="E146" i="10" s="1"/>
  <c r="B146" i="10"/>
  <c r="D146" i="10" s="1"/>
  <c r="A146" i="10"/>
  <c r="C145" i="10"/>
  <c r="E145" i="10" s="1"/>
  <c r="B145" i="10"/>
  <c r="D145" i="10" s="1"/>
  <c r="A145" i="10"/>
  <c r="C144" i="10"/>
  <c r="E144" i="10" s="1"/>
  <c r="B144" i="10"/>
  <c r="D144" i="10" s="1"/>
  <c r="A144" i="10"/>
  <c r="C143" i="10"/>
  <c r="E143" i="10" s="1"/>
  <c r="B143" i="10"/>
  <c r="D143" i="10" s="1"/>
  <c r="A143" i="10"/>
  <c r="C142" i="10"/>
  <c r="E142" i="10" s="1"/>
  <c r="B142" i="10"/>
  <c r="D142" i="10" s="1"/>
  <c r="A142" i="10"/>
  <c r="C141" i="10"/>
  <c r="E141" i="10" s="1"/>
  <c r="B141" i="10"/>
  <c r="D141" i="10" s="1"/>
  <c r="A141" i="10"/>
  <c r="C140" i="10"/>
  <c r="E140" i="10" s="1"/>
  <c r="B140" i="10"/>
  <c r="D140" i="10" s="1"/>
  <c r="A140" i="10"/>
  <c r="C139" i="10"/>
  <c r="E139" i="10" s="1"/>
  <c r="B139" i="10"/>
  <c r="D139" i="10" s="1"/>
  <c r="A139" i="10"/>
  <c r="C138" i="10"/>
  <c r="E138" i="10" s="1"/>
  <c r="B138" i="10"/>
  <c r="D138" i="10" s="1"/>
  <c r="A138" i="10"/>
  <c r="C137" i="10"/>
  <c r="E137" i="10" s="1"/>
  <c r="B137" i="10"/>
  <c r="D137" i="10" s="1"/>
  <c r="A137" i="10"/>
  <c r="C136" i="10"/>
  <c r="E136" i="10" s="1"/>
  <c r="B136" i="10"/>
  <c r="D136" i="10" s="1"/>
  <c r="A136" i="10"/>
  <c r="C135" i="10"/>
  <c r="E135" i="10" s="1"/>
  <c r="B135" i="10"/>
  <c r="D135" i="10" s="1"/>
  <c r="A135" i="10"/>
  <c r="C134" i="10"/>
  <c r="E134" i="10" s="1"/>
  <c r="B134" i="10"/>
  <c r="D134" i="10" s="1"/>
  <c r="A134" i="10"/>
  <c r="C133" i="10"/>
  <c r="E133" i="10" s="1"/>
  <c r="B133" i="10"/>
  <c r="D133" i="10" s="1"/>
  <c r="A133" i="10"/>
  <c r="C132" i="10"/>
  <c r="E132" i="10" s="1"/>
  <c r="B132" i="10"/>
  <c r="D132" i="10" s="1"/>
  <c r="A132" i="10"/>
  <c r="C131" i="10"/>
  <c r="E131" i="10" s="1"/>
  <c r="B131" i="10"/>
  <c r="D131" i="10" s="1"/>
  <c r="A131" i="10"/>
  <c r="C130" i="10"/>
  <c r="E130" i="10" s="1"/>
  <c r="B130" i="10"/>
  <c r="D130" i="10" s="1"/>
  <c r="A130" i="10"/>
  <c r="C129" i="10"/>
  <c r="E129" i="10" s="1"/>
  <c r="B129" i="10"/>
  <c r="D129" i="10" s="1"/>
  <c r="A129" i="10"/>
  <c r="C128" i="10"/>
  <c r="E128" i="10" s="1"/>
  <c r="B128" i="10"/>
  <c r="D128" i="10" s="1"/>
  <c r="A128" i="10"/>
  <c r="C127" i="10"/>
  <c r="E127" i="10" s="1"/>
  <c r="B127" i="10"/>
  <c r="D127" i="10" s="1"/>
  <c r="A127" i="10"/>
  <c r="C126" i="10"/>
  <c r="E126" i="10" s="1"/>
  <c r="B126" i="10"/>
  <c r="D126" i="10" s="1"/>
  <c r="A126" i="10"/>
  <c r="C125" i="10"/>
  <c r="E125" i="10" s="1"/>
  <c r="B125" i="10"/>
  <c r="D125" i="10" s="1"/>
  <c r="A125" i="10"/>
  <c r="C124" i="10"/>
  <c r="E124" i="10" s="1"/>
  <c r="B124" i="10"/>
  <c r="D124" i="10" s="1"/>
  <c r="A124" i="10"/>
  <c r="C123" i="10"/>
  <c r="E123" i="10" s="1"/>
  <c r="B123" i="10"/>
  <c r="D123" i="10" s="1"/>
  <c r="A123" i="10"/>
  <c r="C122" i="10"/>
  <c r="E122" i="10" s="1"/>
  <c r="B122" i="10"/>
  <c r="D122" i="10" s="1"/>
  <c r="A122" i="10"/>
  <c r="C121" i="10"/>
  <c r="E121" i="10" s="1"/>
  <c r="B121" i="10"/>
  <c r="D121" i="10" s="1"/>
  <c r="A121" i="10"/>
  <c r="C120" i="10"/>
  <c r="E120" i="10" s="1"/>
  <c r="B120" i="10"/>
  <c r="D120" i="10" s="1"/>
  <c r="A120" i="10"/>
  <c r="C119" i="10"/>
  <c r="E119" i="10" s="1"/>
  <c r="B119" i="10"/>
  <c r="D119" i="10" s="1"/>
  <c r="A119" i="10"/>
  <c r="C118" i="10"/>
  <c r="E118" i="10" s="1"/>
  <c r="B118" i="10"/>
  <c r="D118" i="10" s="1"/>
  <c r="A118" i="10"/>
  <c r="C117" i="10"/>
  <c r="E117" i="10" s="1"/>
  <c r="B117" i="10"/>
  <c r="D117" i="10" s="1"/>
  <c r="A117" i="10"/>
  <c r="C116" i="10"/>
  <c r="E116" i="10" s="1"/>
  <c r="B116" i="10"/>
  <c r="D116" i="10" s="1"/>
  <c r="A116" i="10"/>
  <c r="C115" i="10"/>
  <c r="E115" i="10" s="1"/>
  <c r="B115" i="10"/>
  <c r="D115" i="10" s="1"/>
  <c r="A115" i="10"/>
  <c r="C114" i="10"/>
  <c r="E114" i="10" s="1"/>
  <c r="B114" i="10"/>
  <c r="D114" i="10" s="1"/>
  <c r="A114" i="10"/>
  <c r="C113" i="10"/>
  <c r="E113" i="10" s="1"/>
  <c r="B113" i="10"/>
  <c r="D113" i="10" s="1"/>
  <c r="A113" i="10"/>
  <c r="C112" i="10"/>
  <c r="E112" i="10" s="1"/>
  <c r="B112" i="10"/>
  <c r="D112" i="10" s="1"/>
  <c r="A112" i="10"/>
  <c r="C111" i="10"/>
  <c r="E111" i="10" s="1"/>
  <c r="B111" i="10"/>
  <c r="D111" i="10" s="1"/>
  <c r="A111" i="10"/>
  <c r="C110" i="10"/>
  <c r="E110" i="10" s="1"/>
  <c r="B110" i="10"/>
  <c r="D110" i="10" s="1"/>
  <c r="A110" i="10"/>
  <c r="C109" i="10"/>
  <c r="E109" i="10" s="1"/>
  <c r="B109" i="10"/>
  <c r="D109" i="10" s="1"/>
  <c r="A109" i="10"/>
  <c r="C108" i="10"/>
  <c r="E108" i="10" s="1"/>
  <c r="B108" i="10"/>
  <c r="D108" i="10" s="1"/>
  <c r="A108" i="10"/>
  <c r="C107" i="10"/>
  <c r="E107" i="10" s="1"/>
  <c r="B107" i="10"/>
  <c r="D107" i="10" s="1"/>
  <c r="A107" i="10"/>
  <c r="C106" i="10"/>
  <c r="E106" i="10" s="1"/>
  <c r="B106" i="10"/>
  <c r="D106" i="10" s="1"/>
  <c r="A106" i="10"/>
  <c r="C105" i="10"/>
  <c r="E105" i="10" s="1"/>
  <c r="B105" i="10"/>
  <c r="D105" i="10" s="1"/>
  <c r="A105" i="10"/>
  <c r="C104" i="10"/>
  <c r="E104" i="10" s="1"/>
  <c r="B104" i="10"/>
  <c r="D104" i="10" s="1"/>
  <c r="A104" i="10"/>
  <c r="C103" i="10"/>
  <c r="E103" i="10" s="1"/>
  <c r="B103" i="10"/>
  <c r="D103" i="10" s="1"/>
  <c r="A103" i="10"/>
  <c r="C102" i="10"/>
  <c r="E102" i="10" s="1"/>
  <c r="B102" i="10"/>
  <c r="D102" i="10" s="1"/>
  <c r="A102" i="10"/>
  <c r="C101" i="10"/>
  <c r="E101" i="10" s="1"/>
  <c r="B101" i="10"/>
  <c r="D101" i="10" s="1"/>
  <c r="A101" i="10"/>
  <c r="C100" i="10"/>
  <c r="E100" i="10" s="1"/>
  <c r="B100" i="10"/>
  <c r="D100" i="10" s="1"/>
  <c r="A100" i="10"/>
  <c r="C99" i="10"/>
  <c r="E99" i="10" s="1"/>
  <c r="B99" i="10"/>
  <c r="D99" i="10" s="1"/>
  <c r="A99" i="10"/>
  <c r="C98" i="10"/>
  <c r="E98" i="10" s="1"/>
  <c r="B98" i="10"/>
  <c r="D98" i="10" s="1"/>
  <c r="A98" i="10"/>
  <c r="C97" i="10"/>
  <c r="E97" i="10" s="1"/>
  <c r="B97" i="10"/>
  <c r="D97" i="10" s="1"/>
  <c r="A97" i="10"/>
  <c r="C96" i="10"/>
  <c r="E96" i="10" s="1"/>
  <c r="B96" i="10"/>
  <c r="D96" i="10" s="1"/>
  <c r="A96" i="10"/>
  <c r="C95" i="10"/>
  <c r="E95" i="10" s="1"/>
  <c r="B95" i="10"/>
  <c r="D95" i="10" s="1"/>
  <c r="A95" i="10"/>
  <c r="C94" i="10"/>
  <c r="E94" i="10" s="1"/>
  <c r="B94" i="10"/>
  <c r="D94" i="10" s="1"/>
  <c r="A94" i="10"/>
  <c r="C93" i="10"/>
  <c r="E93" i="10" s="1"/>
  <c r="B93" i="10"/>
  <c r="D93" i="10" s="1"/>
  <c r="A93" i="10"/>
  <c r="C92" i="10"/>
  <c r="E92" i="10" s="1"/>
  <c r="B92" i="10"/>
  <c r="D92" i="10" s="1"/>
  <c r="A92" i="10"/>
  <c r="C91" i="10"/>
  <c r="E91" i="10" s="1"/>
  <c r="B91" i="10"/>
  <c r="D91" i="10" s="1"/>
  <c r="A91" i="10"/>
  <c r="C90" i="10"/>
  <c r="E90" i="10" s="1"/>
  <c r="B90" i="10"/>
  <c r="D90" i="10" s="1"/>
  <c r="A90" i="10"/>
  <c r="C89" i="10"/>
  <c r="E89" i="10" s="1"/>
  <c r="B89" i="10"/>
  <c r="D89" i="10" s="1"/>
  <c r="A89" i="10"/>
  <c r="C88" i="10"/>
  <c r="E88" i="10" s="1"/>
  <c r="B88" i="10"/>
  <c r="D88" i="10" s="1"/>
  <c r="A88" i="10"/>
  <c r="C87" i="10"/>
  <c r="E87" i="10" s="1"/>
  <c r="B87" i="10"/>
  <c r="D87" i="10" s="1"/>
  <c r="A87" i="10"/>
  <c r="C86" i="10"/>
  <c r="E86" i="10" s="1"/>
  <c r="B86" i="10"/>
  <c r="D86" i="10" s="1"/>
  <c r="A86" i="10"/>
  <c r="C85" i="10"/>
  <c r="E85" i="10" s="1"/>
  <c r="B85" i="10"/>
  <c r="D85" i="10" s="1"/>
  <c r="A85" i="10"/>
  <c r="C84" i="10"/>
  <c r="E84" i="10" s="1"/>
  <c r="B84" i="10"/>
  <c r="D84" i="10" s="1"/>
  <c r="A84" i="10"/>
  <c r="C83" i="10"/>
  <c r="E83" i="10" s="1"/>
  <c r="B83" i="10"/>
  <c r="D83" i="10" s="1"/>
  <c r="A83" i="10"/>
  <c r="C82" i="10"/>
  <c r="E82" i="10" s="1"/>
  <c r="B82" i="10"/>
  <c r="D82" i="10" s="1"/>
  <c r="A82" i="10"/>
  <c r="C81" i="10"/>
  <c r="E81" i="10" s="1"/>
  <c r="B81" i="10"/>
  <c r="D81" i="10" s="1"/>
  <c r="A81" i="10"/>
  <c r="C80" i="10"/>
  <c r="E80" i="10" s="1"/>
  <c r="B80" i="10"/>
  <c r="D80" i="10" s="1"/>
  <c r="A80" i="10"/>
  <c r="C79" i="10"/>
  <c r="E79" i="10" s="1"/>
  <c r="B79" i="10"/>
  <c r="D79" i="10" s="1"/>
  <c r="A79" i="10"/>
  <c r="C78" i="10"/>
  <c r="E78" i="10" s="1"/>
  <c r="B78" i="10"/>
  <c r="D78" i="10" s="1"/>
  <c r="A78" i="10"/>
  <c r="C77" i="10"/>
  <c r="E77" i="10" s="1"/>
  <c r="B77" i="10"/>
  <c r="D77" i="10" s="1"/>
  <c r="A77" i="10"/>
  <c r="C76" i="10"/>
  <c r="E76" i="10" s="1"/>
  <c r="B76" i="10"/>
  <c r="D76" i="10" s="1"/>
  <c r="A76" i="10"/>
  <c r="C75" i="10"/>
  <c r="E75" i="10" s="1"/>
  <c r="B75" i="10"/>
  <c r="D75" i="10" s="1"/>
  <c r="A75" i="10"/>
  <c r="C74" i="10"/>
  <c r="E74" i="10" s="1"/>
  <c r="B74" i="10"/>
  <c r="D74" i="10" s="1"/>
  <c r="A74" i="10"/>
  <c r="AB153" i="10"/>
  <c r="AB152" i="10"/>
  <c r="AB151" i="10"/>
  <c r="AB150" i="10"/>
  <c r="AB149" i="10"/>
  <c r="AB148" i="10"/>
  <c r="AB147" i="10"/>
  <c r="AB146" i="10"/>
  <c r="AB145" i="10"/>
  <c r="AB144" i="10"/>
  <c r="AB143" i="10"/>
  <c r="AB142" i="10"/>
  <c r="AB141" i="10"/>
  <c r="AB140" i="10"/>
  <c r="AB139" i="10"/>
  <c r="AB138" i="10"/>
  <c r="AB137" i="10"/>
  <c r="AB136" i="10"/>
  <c r="AB135" i="10"/>
  <c r="AB134" i="10"/>
  <c r="AB133" i="10"/>
  <c r="AB132" i="10"/>
  <c r="AB131" i="10"/>
  <c r="AB130" i="10"/>
  <c r="AB129" i="10"/>
  <c r="AB128" i="10"/>
  <c r="AB127" i="10"/>
  <c r="AB126" i="10"/>
  <c r="AB125" i="10"/>
  <c r="AB124" i="10"/>
  <c r="AB123" i="10"/>
  <c r="AB122" i="10"/>
  <c r="AB121" i="10"/>
  <c r="AB120" i="10"/>
  <c r="AB119" i="10"/>
  <c r="AB118" i="10"/>
  <c r="AB117" i="10"/>
  <c r="AB116" i="10"/>
  <c r="AB115" i="10"/>
  <c r="AB114" i="10"/>
  <c r="AB113" i="10"/>
  <c r="AB112" i="10"/>
  <c r="AB111" i="10"/>
  <c r="AB110" i="10"/>
  <c r="AB109" i="10"/>
  <c r="AB108" i="10"/>
  <c r="AB107" i="10"/>
  <c r="AB106" i="10"/>
  <c r="AB105" i="10"/>
  <c r="AB104" i="10"/>
  <c r="AB103" i="10"/>
  <c r="AB102" i="10"/>
  <c r="AB101" i="10"/>
  <c r="AB100" i="10"/>
  <c r="AB99" i="10"/>
  <c r="AB98" i="10"/>
  <c r="AB97" i="10"/>
  <c r="AB96" i="10"/>
  <c r="AB95" i="10"/>
  <c r="AB94" i="10"/>
  <c r="AB93" i="10"/>
  <c r="AB92" i="10"/>
  <c r="AB91" i="10"/>
  <c r="AB90" i="10"/>
  <c r="AB89" i="10"/>
  <c r="AB88" i="10"/>
  <c r="AB87" i="10"/>
  <c r="AB86" i="10"/>
  <c r="AB85" i="10"/>
  <c r="AB84" i="10"/>
  <c r="AB83" i="10"/>
  <c r="AB82" i="10"/>
  <c r="AB81" i="10"/>
  <c r="AB80" i="10"/>
  <c r="AB79" i="10"/>
  <c r="AB78" i="10"/>
  <c r="AB77" i="10"/>
  <c r="AB76" i="10"/>
  <c r="AB75" i="10"/>
  <c r="AB74" i="10"/>
  <c r="C72" i="10"/>
  <c r="E72" i="10" s="1"/>
  <c r="B72" i="10"/>
  <c r="D72" i="10" s="1"/>
  <c r="A72" i="10"/>
  <c r="C71" i="10"/>
  <c r="E71" i="10" s="1"/>
  <c r="B71" i="10"/>
  <c r="D71" i="10" s="1"/>
  <c r="A71" i="10"/>
  <c r="C70" i="10"/>
  <c r="E70" i="10" s="1"/>
  <c r="B70" i="10"/>
  <c r="D70" i="10" s="1"/>
  <c r="A70" i="10"/>
  <c r="C69" i="10"/>
  <c r="E69" i="10" s="1"/>
  <c r="B69" i="10"/>
  <c r="D69" i="10" s="1"/>
  <c r="A69" i="10"/>
  <c r="C68" i="10"/>
  <c r="E68" i="10" s="1"/>
  <c r="B68" i="10"/>
  <c r="D68" i="10" s="1"/>
  <c r="A68" i="10"/>
  <c r="C67" i="10"/>
  <c r="E67" i="10" s="1"/>
  <c r="B67" i="10"/>
  <c r="D67" i="10" s="1"/>
  <c r="A67" i="10"/>
  <c r="C66" i="10"/>
  <c r="E66" i="10" s="1"/>
  <c r="B66" i="10"/>
  <c r="D66" i="10" s="1"/>
  <c r="A66" i="10"/>
  <c r="C65" i="10"/>
  <c r="E65" i="10" s="1"/>
  <c r="B65" i="10"/>
  <c r="D65" i="10" s="1"/>
  <c r="A65" i="10"/>
  <c r="C64" i="10"/>
  <c r="E64" i="10" s="1"/>
  <c r="B64" i="10"/>
  <c r="D64" i="10" s="1"/>
  <c r="A64" i="10"/>
  <c r="C63" i="10"/>
  <c r="E63" i="10" s="1"/>
  <c r="B63" i="10"/>
  <c r="D63" i="10" s="1"/>
  <c r="A63" i="10"/>
  <c r="C62" i="10"/>
  <c r="E62" i="10" s="1"/>
  <c r="B62" i="10"/>
  <c r="D62" i="10" s="1"/>
  <c r="A62" i="10"/>
  <c r="C61" i="10"/>
  <c r="E61" i="10" s="1"/>
  <c r="B61" i="10"/>
  <c r="D61" i="10" s="1"/>
  <c r="A61" i="10"/>
  <c r="C60" i="10"/>
  <c r="E60" i="10" s="1"/>
  <c r="B60" i="10"/>
  <c r="D60" i="10" s="1"/>
  <c r="A60" i="10"/>
  <c r="C59" i="10"/>
  <c r="E59" i="10" s="1"/>
  <c r="B59" i="10"/>
  <c r="D59" i="10" s="1"/>
  <c r="A59" i="10"/>
  <c r="C58" i="10"/>
  <c r="E58" i="10" s="1"/>
  <c r="B58" i="10"/>
  <c r="D58" i="10" s="1"/>
  <c r="A58" i="10"/>
  <c r="C57" i="10"/>
  <c r="E57" i="10" s="1"/>
  <c r="B57" i="10"/>
  <c r="D57" i="10" s="1"/>
  <c r="A57" i="10"/>
  <c r="C56" i="10"/>
  <c r="E56" i="10" s="1"/>
  <c r="B56" i="10"/>
  <c r="D56" i="10" s="1"/>
  <c r="A56" i="10"/>
  <c r="C55" i="10"/>
  <c r="E55" i="10" s="1"/>
  <c r="B55" i="10"/>
  <c r="D55" i="10" s="1"/>
  <c r="A55" i="10"/>
  <c r="C54" i="10"/>
  <c r="E54" i="10" s="1"/>
  <c r="B54" i="10"/>
  <c r="D54" i="10" s="1"/>
  <c r="A54" i="10"/>
  <c r="C53" i="10"/>
  <c r="E53" i="10" s="1"/>
  <c r="B53" i="10"/>
  <c r="D53" i="10" s="1"/>
  <c r="A53" i="10"/>
  <c r="C52" i="10"/>
  <c r="E52" i="10" s="1"/>
  <c r="B52" i="10"/>
  <c r="D52" i="10" s="1"/>
  <c r="A52" i="10"/>
  <c r="C51" i="10"/>
  <c r="E51" i="10" s="1"/>
  <c r="B51" i="10"/>
  <c r="D51" i="10" s="1"/>
  <c r="A51" i="10"/>
  <c r="C50" i="10"/>
  <c r="E50" i="10" s="1"/>
  <c r="B50" i="10"/>
  <c r="D50" i="10" s="1"/>
  <c r="A50" i="10"/>
  <c r="C49" i="10"/>
  <c r="E49" i="10" s="1"/>
  <c r="B49" i="10"/>
  <c r="D49" i="10" s="1"/>
  <c r="A49" i="10"/>
  <c r="C48" i="10"/>
  <c r="E48" i="10" s="1"/>
  <c r="B48" i="10"/>
  <c r="D48" i="10" s="1"/>
  <c r="A48" i="10"/>
  <c r="C47" i="10"/>
  <c r="E47" i="10" s="1"/>
  <c r="B47" i="10"/>
  <c r="D47" i="10" s="1"/>
  <c r="A47" i="10"/>
  <c r="C46" i="10"/>
  <c r="E46" i="10" s="1"/>
  <c r="B46" i="10"/>
  <c r="D46" i="10" s="1"/>
  <c r="A46" i="10"/>
  <c r="C45" i="10"/>
  <c r="E45" i="10" s="1"/>
  <c r="B45" i="10"/>
  <c r="D45" i="10" s="1"/>
  <c r="A45" i="10"/>
  <c r="C44" i="10"/>
  <c r="E44" i="10" s="1"/>
  <c r="B44" i="10"/>
  <c r="D44" i="10" s="1"/>
  <c r="A44" i="10"/>
  <c r="C43" i="10"/>
  <c r="E43" i="10" s="1"/>
  <c r="B43" i="10"/>
  <c r="D43" i="10" s="1"/>
  <c r="A43" i="10"/>
  <c r="C42" i="10"/>
  <c r="E42" i="10" s="1"/>
  <c r="B42" i="10"/>
  <c r="D42" i="10" s="1"/>
  <c r="A42" i="10"/>
  <c r="C41" i="10"/>
  <c r="E41" i="10" s="1"/>
  <c r="B41" i="10"/>
  <c r="D41" i="10" s="1"/>
  <c r="A41" i="10"/>
  <c r="C40" i="10"/>
  <c r="E40" i="10" s="1"/>
  <c r="B40" i="10"/>
  <c r="D40" i="10" s="1"/>
  <c r="A40" i="10"/>
  <c r="C39" i="10"/>
  <c r="E39" i="10" s="1"/>
  <c r="B39" i="10"/>
  <c r="D39" i="10" s="1"/>
  <c r="A39" i="10"/>
  <c r="C38" i="10"/>
  <c r="E38" i="10" s="1"/>
  <c r="B38" i="10"/>
  <c r="D38" i="10" s="1"/>
  <c r="A38" i="10"/>
  <c r="C37" i="10"/>
  <c r="E37" i="10" s="1"/>
  <c r="B37" i="10"/>
  <c r="D37" i="10" s="1"/>
  <c r="A37" i="10"/>
  <c r="C36" i="10"/>
  <c r="E36" i="10" s="1"/>
  <c r="B36" i="10"/>
  <c r="D36" i="10" s="1"/>
  <c r="A36" i="10"/>
  <c r="C35" i="10"/>
  <c r="E35" i="10" s="1"/>
  <c r="B35" i="10"/>
  <c r="D35" i="10" s="1"/>
  <c r="A35" i="10"/>
  <c r="C34" i="10"/>
  <c r="E34" i="10" s="1"/>
  <c r="B34" i="10"/>
  <c r="D34" i="10" s="1"/>
  <c r="A34" i="10"/>
  <c r="C33" i="10"/>
  <c r="E33" i="10" s="1"/>
  <c r="B33" i="10"/>
  <c r="D33" i="10" s="1"/>
  <c r="A33" i="10"/>
  <c r="C32" i="10"/>
  <c r="E32" i="10" s="1"/>
  <c r="B32" i="10"/>
  <c r="D32" i="10" s="1"/>
  <c r="A32" i="10"/>
  <c r="C31" i="10"/>
  <c r="E31" i="10" s="1"/>
  <c r="B31" i="10"/>
  <c r="D31" i="10" s="1"/>
  <c r="A31" i="10"/>
  <c r="C30" i="10"/>
  <c r="E30" i="10" s="1"/>
  <c r="B30" i="10"/>
  <c r="D30" i="10" s="1"/>
  <c r="A30" i="10"/>
  <c r="C29" i="10"/>
  <c r="E29" i="10" s="1"/>
  <c r="B29" i="10"/>
  <c r="D29" i="10" s="1"/>
  <c r="A29" i="10"/>
  <c r="C28" i="10"/>
  <c r="E28" i="10" s="1"/>
  <c r="B28" i="10"/>
  <c r="D28" i="10" s="1"/>
  <c r="A28" i="10"/>
  <c r="C27" i="10"/>
  <c r="E27" i="10" s="1"/>
  <c r="B27" i="10"/>
  <c r="D27" i="10" s="1"/>
  <c r="A27" i="10"/>
  <c r="C26" i="10"/>
  <c r="E26" i="10" s="1"/>
  <c r="B26" i="10"/>
  <c r="D26" i="10" s="1"/>
  <c r="A26" i="10"/>
  <c r="C25" i="10"/>
  <c r="E25" i="10" s="1"/>
  <c r="B25" i="10"/>
  <c r="D25" i="10" s="1"/>
  <c r="A25" i="10"/>
  <c r="C24" i="10"/>
  <c r="E24" i="10" s="1"/>
  <c r="B24" i="10"/>
  <c r="D24" i="10" s="1"/>
  <c r="A24" i="10"/>
  <c r="C23" i="10"/>
  <c r="E23" i="10" s="1"/>
  <c r="B23" i="10"/>
  <c r="D23" i="10" s="1"/>
  <c r="A23" i="10"/>
  <c r="C22" i="10"/>
  <c r="E22" i="10" s="1"/>
  <c r="B22" i="10"/>
  <c r="D22" i="10" s="1"/>
  <c r="A22" i="10"/>
  <c r="C21" i="10"/>
  <c r="E21" i="10" s="1"/>
  <c r="B21" i="10"/>
  <c r="D21" i="10" s="1"/>
  <c r="A21" i="10"/>
  <c r="C20" i="10"/>
  <c r="E20" i="10" s="1"/>
  <c r="B20" i="10"/>
  <c r="D20" i="10" s="1"/>
  <c r="A20" i="10"/>
  <c r="C19" i="10"/>
  <c r="E19" i="10" s="1"/>
  <c r="B19" i="10"/>
  <c r="D19" i="10" s="1"/>
  <c r="A19" i="10"/>
  <c r="C18" i="10"/>
  <c r="E18" i="10" s="1"/>
  <c r="B18" i="10"/>
  <c r="D18" i="10" s="1"/>
  <c r="A18" i="10"/>
  <c r="C17" i="10"/>
  <c r="E17" i="10" s="1"/>
  <c r="B17" i="10"/>
  <c r="D17" i="10" s="1"/>
  <c r="A17" i="10"/>
  <c r="C16" i="10"/>
  <c r="E16" i="10" s="1"/>
  <c r="B16" i="10"/>
  <c r="D16" i="10" s="1"/>
  <c r="A16" i="10"/>
  <c r="C15" i="10"/>
  <c r="E15" i="10" s="1"/>
  <c r="B15" i="10"/>
  <c r="D15" i="10" s="1"/>
  <c r="A15" i="10"/>
  <c r="C14" i="10"/>
  <c r="E14" i="10" s="1"/>
  <c r="B14" i="10"/>
  <c r="D14" i="10" s="1"/>
  <c r="A14" i="10"/>
  <c r="C13" i="10"/>
  <c r="E13" i="10" s="1"/>
  <c r="B13" i="10"/>
  <c r="D13" i="10" s="1"/>
  <c r="A13" i="10"/>
  <c r="C12" i="10"/>
  <c r="E12" i="10" s="1"/>
  <c r="B12" i="10"/>
  <c r="D12" i="10" s="1"/>
  <c r="A12" i="10"/>
  <c r="C11" i="10"/>
  <c r="E11" i="10" s="1"/>
  <c r="B11" i="10"/>
  <c r="D11" i="10" s="1"/>
  <c r="A11" i="10"/>
  <c r="C10" i="10"/>
  <c r="E10" i="10" s="1"/>
  <c r="B10" i="10"/>
  <c r="D10" i="10" s="1"/>
  <c r="A10" i="10"/>
  <c r="C9" i="10"/>
  <c r="E9" i="10" s="1"/>
  <c r="B9" i="10"/>
  <c r="D9" i="10" s="1"/>
  <c r="A9" i="10"/>
  <c r="C8" i="10"/>
  <c r="E8" i="10" s="1"/>
  <c r="B8" i="10"/>
  <c r="D8" i="10" s="1"/>
  <c r="A8" i="10"/>
  <c r="C7" i="10"/>
  <c r="E7" i="10" s="1"/>
  <c r="B7" i="10"/>
  <c r="D7" i="10" s="1"/>
  <c r="A7" i="10"/>
  <c r="C6" i="10"/>
  <c r="E6" i="10" s="1"/>
  <c r="B6" i="10"/>
  <c r="D6" i="10" s="1"/>
  <c r="A6" i="10"/>
  <c r="C5" i="10"/>
  <c r="E5" i="10" s="1"/>
  <c r="B5" i="10"/>
  <c r="D5" i="10" s="1"/>
  <c r="A5" i="10"/>
  <c r="C4" i="10"/>
  <c r="E4" i="10" s="1"/>
  <c r="B4" i="10"/>
  <c r="D4" i="10" s="1"/>
  <c r="A4" i="10"/>
  <c r="C3" i="10"/>
  <c r="E3" i="10" s="1"/>
  <c r="B3" i="10"/>
  <c r="D3" i="10" s="1"/>
  <c r="A3" i="10"/>
  <c r="C2" i="10"/>
  <c r="E2" i="10" s="1"/>
  <c r="B2" i="10"/>
  <c r="D2" i="10" s="1"/>
  <c r="A2" i="10"/>
  <c r="AB72" i="10"/>
  <c r="AB71" i="10"/>
  <c r="AB70" i="10"/>
  <c r="AB69" i="10"/>
  <c r="AB68" i="10"/>
  <c r="AB67" i="10"/>
  <c r="AB66" i="10"/>
  <c r="AB65" i="10"/>
  <c r="AB64" i="10"/>
  <c r="AB63" i="10"/>
  <c r="AB62" i="10"/>
  <c r="AB61" i="10"/>
  <c r="AB60" i="10"/>
  <c r="AB59" i="10"/>
  <c r="AB58" i="10"/>
  <c r="AB57" i="10"/>
  <c r="AB56" i="10"/>
  <c r="AB55" i="10"/>
  <c r="AB54" i="10"/>
  <c r="AB53" i="10"/>
  <c r="AB52" i="10"/>
  <c r="AB51" i="10"/>
  <c r="AB50" i="10"/>
  <c r="AB49" i="10"/>
  <c r="AB48" i="10"/>
  <c r="AB47" i="10"/>
  <c r="AB46" i="10"/>
  <c r="AB45" i="10"/>
  <c r="AB44" i="10"/>
  <c r="AB43" i="10"/>
  <c r="AB42" i="10"/>
  <c r="AB41" i="10"/>
  <c r="AB40" i="10"/>
  <c r="AB39" i="10"/>
  <c r="AB38" i="10"/>
  <c r="AB37" i="10"/>
  <c r="AB36" i="10"/>
  <c r="AB35" i="10"/>
  <c r="AB34" i="10"/>
  <c r="AB33" i="10"/>
  <c r="AB32" i="10"/>
  <c r="AB31" i="10"/>
  <c r="AB30" i="10"/>
  <c r="AB29" i="10"/>
  <c r="AB28" i="10"/>
  <c r="AB27" i="10"/>
  <c r="AB26" i="10"/>
  <c r="AB25" i="10"/>
  <c r="AB24" i="10"/>
  <c r="AB23" i="10"/>
  <c r="AB22" i="10"/>
  <c r="AB21" i="10"/>
  <c r="AB20" i="10"/>
  <c r="AB19" i="10"/>
  <c r="AB18" i="10"/>
  <c r="AB17" i="10"/>
  <c r="AB16" i="10"/>
  <c r="AB15" i="10"/>
  <c r="AB14" i="10"/>
  <c r="AB13" i="10"/>
  <c r="AB12" i="10"/>
  <c r="AB11" i="10"/>
  <c r="AB10" i="10"/>
  <c r="AB9" i="10"/>
  <c r="AB8" i="10"/>
  <c r="AB7" i="10"/>
  <c r="AB6" i="10"/>
  <c r="AB5" i="10"/>
  <c r="AB4" i="10"/>
  <c r="AB3" i="10"/>
  <c r="AB2" i="10"/>
  <c r="AE758" i="10"/>
  <c r="F112" i="13" l="1"/>
  <c r="E115" i="13"/>
  <c r="F115" i="13" s="1"/>
  <c r="F116" i="13" s="1"/>
  <c r="F119" i="13" s="1"/>
  <c r="AI98" i="1"/>
  <c r="AH98" i="1"/>
  <c r="AG98" i="1"/>
  <c r="AF98" i="1"/>
  <c r="AE98" i="1"/>
  <c r="AD98" i="1"/>
  <c r="AC98" i="1"/>
  <c r="AB98" i="1"/>
  <c r="Z98" i="1"/>
  <c r="Y98" i="1"/>
  <c r="X98" i="1"/>
  <c r="AI97" i="1"/>
  <c r="AH97" i="1"/>
  <c r="AG97" i="1"/>
  <c r="AF97" i="1"/>
  <c r="AE97" i="1"/>
  <c r="AD97" i="1"/>
  <c r="AC97" i="1"/>
  <c r="AB97" i="1"/>
  <c r="Z97" i="1"/>
  <c r="Y97" i="1"/>
  <c r="X97" i="1"/>
  <c r="Q41" i="15"/>
  <c r="P41" i="15"/>
  <c r="Q40" i="15"/>
  <c r="P40" i="15"/>
  <c r="Q39" i="15"/>
  <c r="P39" i="15"/>
  <c r="Q38" i="15"/>
  <c r="P38" i="15"/>
  <c r="Q37" i="15"/>
  <c r="P37" i="15"/>
  <c r="Q35" i="15"/>
  <c r="P35" i="15"/>
  <c r="Q34" i="15"/>
  <c r="P34" i="15"/>
  <c r="Q33" i="15"/>
  <c r="P33" i="15"/>
  <c r="Q32" i="15"/>
  <c r="P32" i="15"/>
  <c r="AB595" i="10"/>
  <c r="AB594" i="10"/>
  <c r="AB593" i="10"/>
  <c r="AB592" i="10"/>
  <c r="AB591" i="10"/>
  <c r="AB590" i="10"/>
  <c r="AB589" i="10"/>
  <c r="AB588" i="10"/>
  <c r="AB587" i="10"/>
  <c r="AB586" i="10"/>
  <c r="AB585" i="10"/>
  <c r="AB584" i="10"/>
  <c r="AB583" i="10"/>
  <c r="AB582" i="10"/>
  <c r="AB581" i="10"/>
  <c r="AB580" i="10"/>
  <c r="AB579" i="10"/>
  <c r="AB578" i="10"/>
  <c r="AB577" i="10"/>
  <c r="AB576" i="10"/>
  <c r="AB575" i="10"/>
  <c r="AB574" i="10"/>
  <c r="AB573" i="10"/>
  <c r="AB572" i="10"/>
  <c r="AB571" i="10"/>
  <c r="AB570" i="10"/>
  <c r="AB569" i="10"/>
  <c r="AB568" i="10"/>
  <c r="AB567" i="10"/>
  <c r="AB566" i="10"/>
  <c r="AB565" i="10"/>
  <c r="AB564" i="10"/>
  <c r="AB563" i="10"/>
  <c r="AB562" i="10"/>
  <c r="AB561" i="10"/>
  <c r="AB560" i="10"/>
  <c r="AB559" i="10"/>
  <c r="AB558" i="10"/>
  <c r="AB557" i="10"/>
  <c r="AB556" i="10"/>
  <c r="AB555" i="10"/>
  <c r="AB554" i="10"/>
  <c r="AB553" i="10"/>
  <c r="AB552" i="10"/>
  <c r="AB551" i="10"/>
  <c r="AB550" i="10"/>
  <c r="AB549" i="10"/>
  <c r="AB548" i="10"/>
  <c r="AB547" i="10"/>
  <c r="AB546" i="10"/>
  <c r="AB545" i="10"/>
  <c r="AB544" i="10"/>
  <c r="AB543" i="10"/>
  <c r="AB542" i="10"/>
  <c r="AB541" i="10"/>
  <c r="AB540" i="10"/>
  <c r="AB539" i="10"/>
  <c r="AB538" i="10"/>
  <c r="AB537" i="10"/>
  <c r="AB536" i="10"/>
  <c r="AB535" i="10"/>
  <c r="AB534" i="10"/>
  <c r="AB533" i="10"/>
  <c r="AB532" i="10"/>
  <c r="AB531" i="10"/>
  <c r="AB530" i="10"/>
  <c r="AB529" i="10"/>
  <c r="AB528" i="10"/>
  <c r="AB527" i="10"/>
  <c r="AB526" i="10"/>
  <c r="AB525" i="10"/>
  <c r="AB522" i="10"/>
  <c r="AB521" i="10"/>
  <c r="AB520" i="10"/>
  <c r="AB519" i="10"/>
  <c r="AB518" i="10"/>
  <c r="AB517" i="10"/>
  <c r="AB516" i="10"/>
  <c r="AB515" i="10"/>
  <c r="AB514" i="10"/>
  <c r="AB513" i="10"/>
  <c r="AB512" i="10"/>
  <c r="AB511" i="10"/>
  <c r="AB510" i="10"/>
  <c r="AB509" i="10"/>
  <c r="AB508" i="10"/>
  <c r="AB507" i="10"/>
  <c r="AB506" i="10"/>
  <c r="AB505" i="10"/>
  <c r="AB504" i="10"/>
  <c r="AB503" i="10"/>
  <c r="AB502" i="10"/>
  <c r="AB501" i="10"/>
  <c r="AB500" i="10"/>
  <c r="AB499" i="10"/>
  <c r="AB498" i="10"/>
  <c r="AB497" i="10"/>
  <c r="AB496" i="10"/>
  <c r="AB495" i="10"/>
  <c r="AB494" i="10"/>
  <c r="AB493" i="10"/>
  <c r="AB492" i="10"/>
  <c r="AB491" i="10"/>
  <c r="AB490" i="10"/>
  <c r="AB489" i="10"/>
  <c r="AB488" i="10"/>
  <c r="AB487" i="10"/>
  <c r="AB486" i="10"/>
  <c r="AB485" i="10"/>
  <c r="AB484" i="10"/>
  <c r="AB483" i="10"/>
  <c r="AB482" i="10"/>
  <c r="AB481" i="10"/>
  <c r="AB480" i="10"/>
  <c r="AB479" i="10"/>
  <c r="AB478" i="10"/>
  <c r="AB477" i="10"/>
  <c r="AB476" i="10"/>
  <c r="AB475" i="10"/>
  <c r="AB474" i="10"/>
  <c r="AB473" i="10"/>
  <c r="AB472" i="10"/>
  <c r="AB471" i="10"/>
  <c r="AB470" i="10"/>
  <c r="AB469" i="10"/>
  <c r="AB468" i="10"/>
  <c r="AB467" i="10"/>
  <c r="AB466" i="10"/>
  <c r="AB465" i="10"/>
  <c r="AB464" i="10"/>
  <c r="AB463" i="10"/>
  <c r="AB462" i="10"/>
  <c r="AB461" i="10"/>
  <c r="AB460" i="10"/>
  <c r="AB459" i="10"/>
  <c r="AB458" i="10"/>
  <c r="AB457" i="10"/>
  <c r="AB456" i="10"/>
  <c r="AB455" i="10"/>
  <c r="AB454" i="10"/>
  <c r="AB453" i="10"/>
  <c r="AB452" i="10"/>
  <c r="AB451" i="10"/>
  <c r="AB450" i="10"/>
  <c r="AB449" i="10"/>
  <c r="AB448" i="10"/>
  <c r="AB447" i="10"/>
  <c r="AB445" i="10"/>
  <c r="AB444" i="10"/>
  <c r="AB443" i="10"/>
  <c r="AB442" i="10"/>
  <c r="AB441" i="10"/>
  <c r="AB440" i="10"/>
  <c r="AB439" i="10"/>
  <c r="AB438" i="10"/>
  <c r="AB437" i="10"/>
  <c r="AB436" i="10"/>
  <c r="AB435" i="10"/>
  <c r="AB434" i="10"/>
  <c r="AB433" i="10"/>
  <c r="AB432" i="10"/>
  <c r="AB431" i="10"/>
  <c r="AB430" i="10"/>
  <c r="AB429" i="10"/>
  <c r="AB428" i="10"/>
  <c r="AB427" i="10"/>
  <c r="AB426" i="10"/>
  <c r="AB425" i="10"/>
  <c r="AB424" i="10"/>
  <c r="AB423" i="10"/>
  <c r="AB422" i="10"/>
  <c r="AB421" i="10"/>
  <c r="AB420" i="10"/>
  <c r="AB419" i="10"/>
  <c r="AB418" i="10"/>
  <c r="AB417" i="10"/>
  <c r="AB416" i="10"/>
  <c r="AB415" i="10"/>
  <c r="AB414" i="10"/>
  <c r="AB413" i="10"/>
  <c r="AB412" i="10"/>
  <c r="AB411" i="10"/>
  <c r="AB410" i="10"/>
  <c r="AB409" i="10"/>
  <c r="AB408" i="10"/>
  <c r="AB407" i="10"/>
  <c r="AB406" i="10"/>
  <c r="AB405" i="10"/>
  <c r="AB404" i="10"/>
  <c r="AB403" i="10"/>
  <c r="AB402" i="10"/>
  <c r="AB401" i="10"/>
  <c r="AB400" i="10"/>
  <c r="AB399" i="10"/>
  <c r="AB398" i="10"/>
  <c r="AB397" i="10"/>
  <c r="AB396" i="10"/>
  <c r="AB395" i="10"/>
  <c r="AB394" i="10"/>
  <c r="AB393" i="10"/>
  <c r="AB392" i="10"/>
  <c r="AB391" i="10"/>
  <c r="AB390" i="10"/>
  <c r="AB389" i="10"/>
  <c r="AB388" i="10"/>
  <c r="AB387" i="10"/>
  <c r="AB386" i="10"/>
  <c r="AB385" i="10"/>
  <c r="AB384" i="10"/>
  <c r="AB383" i="10"/>
  <c r="AB382" i="10"/>
  <c r="AB381" i="10"/>
  <c r="AB380" i="10"/>
  <c r="AB379" i="10"/>
  <c r="AB378" i="10"/>
  <c r="AB377" i="10"/>
  <c r="AB376" i="10"/>
  <c r="AB375" i="10"/>
  <c r="AB374" i="10"/>
  <c r="AB373" i="10"/>
  <c r="AB372" i="10"/>
  <c r="AB371" i="10"/>
  <c r="AB370" i="10"/>
  <c r="AB368" i="10"/>
  <c r="AB367" i="10"/>
  <c r="AB366" i="10"/>
  <c r="AB365" i="10"/>
  <c r="AB364" i="10"/>
  <c r="AB363" i="10"/>
  <c r="AB362" i="10"/>
  <c r="AB361" i="10"/>
  <c r="AB360" i="10"/>
  <c r="AB359" i="10"/>
  <c r="AB358" i="10"/>
  <c r="AB357" i="10"/>
  <c r="AB356" i="10"/>
  <c r="AB355" i="10"/>
  <c r="AB354" i="10"/>
  <c r="AB353" i="10"/>
  <c r="AB352" i="10"/>
  <c r="AB351" i="10"/>
  <c r="AB350" i="10"/>
  <c r="AB349" i="10"/>
  <c r="AB348" i="10"/>
  <c r="AB347" i="10"/>
  <c r="AB346" i="10"/>
  <c r="AB345" i="10"/>
  <c r="AB344" i="10"/>
  <c r="AB343" i="10"/>
  <c r="AB342" i="10"/>
  <c r="AB341" i="10"/>
  <c r="AB340" i="10"/>
  <c r="AB339" i="10"/>
  <c r="AB338" i="10"/>
  <c r="AB337" i="10"/>
  <c r="AB336" i="10"/>
  <c r="AB335" i="10"/>
  <c r="AB334" i="10"/>
  <c r="AB333" i="10"/>
  <c r="AB332" i="10"/>
  <c r="AB331" i="10"/>
  <c r="AB330" i="10"/>
  <c r="AB329" i="10"/>
  <c r="AB328" i="10"/>
  <c r="AB327" i="10"/>
  <c r="AB326" i="10"/>
  <c r="AB325" i="10"/>
  <c r="AB324" i="10"/>
  <c r="AB323" i="10"/>
  <c r="AB322" i="10"/>
  <c r="AB321" i="10"/>
  <c r="AB320" i="10"/>
  <c r="AB319" i="10"/>
  <c r="AB318" i="10"/>
  <c r="AB317" i="10"/>
  <c r="AB316" i="10"/>
  <c r="AB315" i="10"/>
  <c r="AB314" i="10"/>
  <c r="AB313" i="10"/>
  <c r="AB312" i="10"/>
  <c r="AB311" i="10"/>
  <c r="AB310" i="10"/>
  <c r="AB309" i="10"/>
  <c r="AB308" i="10"/>
  <c r="AB307" i="10"/>
  <c r="AB306" i="10"/>
  <c r="AB305" i="10"/>
  <c r="AB304" i="10"/>
  <c r="AB303" i="10"/>
  <c r="AB302" i="10"/>
  <c r="AB301" i="10"/>
  <c r="AB300" i="10"/>
  <c r="AB299" i="10"/>
  <c r="AB688" i="10"/>
  <c r="AB687" i="10"/>
  <c r="AB686" i="10"/>
  <c r="AB685" i="10"/>
  <c r="AB684" i="10"/>
  <c r="AB683" i="10"/>
  <c r="AB682" i="10"/>
  <c r="AB681" i="10"/>
  <c r="AB680" i="10"/>
  <c r="AB679" i="10"/>
  <c r="AB678" i="10"/>
  <c r="AB677" i="10"/>
  <c r="AB676" i="10"/>
  <c r="AB675" i="10"/>
  <c r="AB674" i="10"/>
  <c r="AB673" i="10"/>
  <c r="AB672" i="10"/>
  <c r="AB671" i="10"/>
  <c r="AB670" i="10"/>
  <c r="AB669" i="10"/>
  <c r="AB668" i="10"/>
  <c r="AB667" i="10"/>
  <c r="AB666" i="10"/>
  <c r="AB665" i="10"/>
  <c r="AB664" i="10"/>
  <c r="AB663" i="10"/>
  <c r="AB662" i="10"/>
  <c r="AB661" i="10"/>
  <c r="AB660" i="10"/>
  <c r="AB659" i="10"/>
  <c r="AB658" i="10"/>
  <c r="AB657" i="10"/>
  <c r="AB656" i="10"/>
  <c r="AB655" i="10"/>
  <c r="AB654" i="10"/>
  <c r="AB653" i="10"/>
  <c r="AB652" i="10"/>
  <c r="AB651" i="10"/>
  <c r="AB650" i="10"/>
  <c r="AB649" i="10"/>
  <c r="AB648" i="10"/>
  <c r="AB647" i="10"/>
  <c r="AB646" i="10"/>
  <c r="AB645" i="10"/>
  <c r="AB644" i="10"/>
  <c r="AB643" i="10"/>
  <c r="AB642" i="10"/>
  <c r="AB641" i="10"/>
  <c r="AB640" i="10"/>
  <c r="AB639" i="10"/>
  <c r="AB638" i="10"/>
  <c r="AB637" i="10"/>
  <c r="AB636" i="10"/>
  <c r="AB635" i="10"/>
  <c r="AB634" i="10"/>
  <c r="AB633" i="10"/>
  <c r="AB632" i="10"/>
  <c r="AB631" i="10"/>
  <c r="AB630" i="10"/>
  <c r="AB629" i="10"/>
  <c r="AB628" i="10"/>
  <c r="AB627" i="10"/>
  <c r="AB626" i="10"/>
  <c r="AB625" i="10"/>
  <c r="AB624" i="10"/>
  <c r="AB623" i="10"/>
  <c r="AB622" i="10"/>
  <c r="AB621" i="10"/>
  <c r="AB620" i="10"/>
  <c r="AB619" i="10"/>
  <c r="AB618" i="10"/>
  <c r="AB617" i="10"/>
  <c r="AB616" i="10"/>
  <c r="AB615" i="10"/>
  <c r="AB614" i="10"/>
  <c r="AB613" i="10"/>
  <c r="AB612" i="10"/>
  <c r="AB611" i="10"/>
  <c r="AB610" i="10"/>
  <c r="AB609" i="10"/>
  <c r="AB608" i="10"/>
  <c r="AB607" i="10"/>
  <c r="AB606" i="10"/>
  <c r="AB605" i="10"/>
  <c r="AB604" i="10"/>
  <c r="AB603" i="10"/>
  <c r="AB602" i="10"/>
  <c r="AB601" i="10"/>
  <c r="AB600" i="10"/>
  <c r="AB599" i="10"/>
  <c r="AB3203" i="10"/>
  <c r="AB3202" i="10"/>
  <c r="AB3201" i="10"/>
  <c r="AB3200" i="10"/>
  <c r="AB3199" i="10"/>
  <c r="AB3198" i="10"/>
  <c r="AB3197" i="10"/>
  <c r="AB3196" i="10"/>
  <c r="AB3195" i="10"/>
  <c r="AB3194" i="10"/>
  <c r="AB3193" i="10"/>
  <c r="AB3192" i="10"/>
  <c r="AB3191" i="10"/>
  <c r="AB3190" i="10"/>
  <c r="AB3189" i="10"/>
  <c r="AB3188" i="10"/>
  <c r="AB3187" i="10"/>
  <c r="AB3186" i="10"/>
  <c r="AB3185" i="10"/>
  <c r="AB3184" i="10"/>
  <c r="AB3183" i="10"/>
  <c r="AB3182" i="10"/>
  <c r="AB3181" i="10"/>
  <c r="AB3180" i="10"/>
  <c r="AB3179" i="10"/>
  <c r="AB3178" i="10"/>
  <c r="AB3177" i="10"/>
  <c r="AB3176" i="10"/>
  <c r="AB3175" i="10"/>
  <c r="AB3174" i="10"/>
  <c r="AB3173" i="10"/>
  <c r="AB3172" i="10"/>
  <c r="AB3171" i="10"/>
  <c r="AB3170" i="10"/>
  <c r="AB3169" i="10"/>
  <c r="AB3168" i="10"/>
  <c r="AB3167" i="10"/>
  <c r="AB3166" i="10"/>
  <c r="AB3165" i="10"/>
  <c r="AB3164" i="10"/>
  <c r="AB3163" i="10"/>
  <c r="AB3162" i="10"/>
  <c r="AB3161" i="10"/>
  <c r="AB3160" i="10"/>
  <c r="AB3159" i="10"/>
  <c r="AB3158" i="10"/>
  <c r="AB3157" i="10"/>
  <c r="AB3156" i="10"/>
  <c r="AB3155" i="10"/>
  <c r="AB3154" i="10"/>
  <c r="AB3153" i="10"/>
  <c r="AB3152" i="10"/>
  <c r="AB3151" i="10"/>
  <c r="AB3150" i="10"/>
  <c r="AB3149" i="10"/>
  <c r="AB3148" i="10"/>
  <c r="AB3147" i="10"/>
  <c r="AB3146" i="10"/>
  <c r="AB3145" i="10"/>
  <c r="AB3144" i="10"/>
  <c r="AB3143" i="10"/>
  <c r="AB3142" i="10"/>
  <c r="AB3141" i="10"/>
  <c r="AB3140" i="10"/>
  <c r="AB3139" i="10"/>
  <c r="AB3138" i="10"/>
  <c r="AB3137" i="10"/>
  <c r="AB3136" i="10"/>
  <c r="AB3135" i="10"/>
  <c r="AB3134" i="10"/>
  <c r="AB3133" i="10"/>
  <c r="AB3132" i="10"/>
  <c r="AB3131" i="10"/>
  <c r="AB3130" i="10"/>
  <c r="AB3129" i="10"/>
  <c r="AB3128" i="10"/>
  <c r="AB3127" i="10"/>
  <c r="AB3126" i="10"/>
  <c r="AB3125" i="10"/>
  <c r="AB3124" i="10"/>
  <c r="AB3123" i="10"/>
  <c r="AB3122" i="10"/>
  <c r="AB3121" i="10"/>
  <c r="AB3120" i="10"/>
  <c r="AB3119" i="10"/>
  <c r="AB3118" i="10"/>
  <c r="AB3117" i="10"/>
  <c r="AB3116" i="10"/>
  <c r="AB3115" i="10"/>
  <c r="AB3114" i="10"/>
  <c r="AB3113" i="10"/>
  <c r="AB3112" i="10"/>
  <c r="AB3111" i="10"/>
  <c r="AB3110" i="10"/>
  <c r="AB3109" i="10"/>
  <c r="AB3108" i="10"/>
  <c r="AB3107" i="10"/>
  <c r="AB3106" i="10"/>
  <c r="AB3105" i="10"/>
  <c r="AB3104" i="10"/>
  <c r="AB3103" i="10"/>
  <c r="AB3102" i="10"/>
  <c r="AB3101" i="10"/>
  <c r="AB3100" i="10"/>
  <c r="AB3099" i="10"/>
  <c r="AB3098" i="10"/>
  <c r="AB3097" i="10"/>
  <c r="AB3096" i="10"/>
  <c r="AB3095" i="10"/>
  <c r="AB3094" i="10"/>
  <c r="AB3093" i="10"/>
  <c r="AB3092" i="10"/>
  <c r="AB3091" i="10"/>
  <c r="AB3090" i="10"/>
  <c r="AB3089" i="10"/>
  <c r="AB3088" i="10"/>
  <c r="AB3087" i="10"/>
  <c r="AB3086" i="10"/>
  <c r="AB3085" i="10"/>
  <c r="AB3084" i="10"/>
  <c r="AB3083" i="10"/>
  <c r="AB3082" i="10"/>
  <c r="AB3081" i="10"/>
  <c r="AB3080" i="10"/>
  <c r="AB3079" i="10"/>
  <c r="AB3078" i="10"/>
  <c r="AB3077" i="10"/>
  <c r="AB3076" i="10"/>
  <c r="AB3075" i="10"/>
  <c r="AB3074" i="10"/>
  <c r="AB3073" i="10"/>
  <c r="AB3072" i="10"/>
  <c r="AB3071" i="10"/>
  <c r="AB3070" i="10"/>
  <c r="AB3069" i="10"/>
  <c r="AB3068" i="10"/>
  <c r="AB3067" i="10"/>
  <c r="AB3066" i="10"/>
  <c r="AB3065" i="10"/>
  <c r="AB3064" i="10"/>
  <c r="AB3063" i="10"/>
  <c r="AB3062" i="10"/>
  <c r="AB3061" i="10"/>
  <c r="AB3060" i="10"/>
  <c r="AB3059" i="10"/>
  <c r="AB3058" i="10"/>
  <c r="AB3057" i="10"/>
  <c r="AB3056" i="10"/>
  <c r="AB3055" i="10"/>
  <c r="AB3054" i="10"/>
  <c r="AB3053" i="10"/>
  <c r="AB3052" i="10"/>
  <c r="AB3051" i="10"/>
  <c r="AB3050" i="10"/>
  <c r="AB3049" i="10"/>
  <c r="AB3048" i="10"/>
  <c r="AB3047" i="10"/>
  <c r="AB3046" i="10"/>
  <c r="AB3045" i="10"/>
  <c r="AB3044" i="10"/>
  <c r="AB3043" i="10"/>
  <c r="AB3042" i="10"/>
  <c r="AB3041" i="10"/>
  <c r="AB3040" i="10"/>
  <c r="AB3039" i="10"/>
  <c r="AB3038" i="10"/>
  <c r="AB3037" i="10"/>
  <c r="AB3036" i="10"/>
  <c r="AB3035" i="10"/>
  <c r="AB3034" i="10"/>
  <c r="AB3033" i="10"/>
  <c r="AB3032" i="10"/>
  <c r="AB3031" i="10"/>
  <c r="AB3030" i="10"/>
  <c r="AB3029" i="10"/>
  <c r="AB3028" i="10"/>
  <c r="AB3027" i="10"/>
  <c r="AB3026" i="10"/>
  <c r="AB3025" i="10"/>
  <c r="AB3024" i="10"/>
  <c r="AB3023" i="10"/>
  <c r="AB3022" i="10"/>
  <c r="AB3021" i="10"/>
  <c r="AB3020" i="10"/>
  <c r="AB3019" i="10"/>
  <c r="AB3018" i="10"/>
  <c r="AB3017" i="10"/>
  <c r="AB3016" i="10"/>
  <c r="AB3015" i="10"/>
  <c r="AB3014" i="10"/>
  <c r="AB3013" i="10"/>
  <c r="AB3012" i="10"/>
  <c r="AB3011" i="10"/>
  <c r="AB3010" i="10"/>
  <c r="AB3009" i="10"/>
  <c r="AB3008" i="10"/>
  <c r="AB3007" i="10"/>
  <c r="AB3006" i="10"/>
  <c r="AB3005" i="10"/>
  <c r="AB3004" i="10"/>
  <c r="AB3003" i="10"/>
  <c r="AB3002" i="10"/>
  <c r="AB3001" i="10"/>
  <c r="AB3000" i="10"/>
  <c r="AB2999" i="10"/>
  <c r="AB2998" i="10"/>
  <c r="AB2997" i="10"/>
  <c r="AB2996" i="10"/>
  <c r="AB2995" i="10"/>
  <c r="AB2994" i="10"/>
  <c r="AB2993" i="10"/>
  <c r="AB2992" i="10"/>
  <c r="AB2991" i="10"/>
  <c r="AB2990" i="10"/>
  <c r="AB2989" i="10"/>
  <c r="AB2988" i="10"/>
  <c r="AB2987" i="10"/>
  <c r="AB2986" i="10"/>
  <c r="AB2985" i="10"/>
  <c r="AB2984" i="10"/>
  <c r="AB2983" i="10"/>
  <c r="AB2982" i="10"/>
  <c r="AB2981" i="10"/>
  <c r="AB2980" i="10"/>
  <c r="AB2979" i="10"/>
  <c r="AB2978" i="10"/>
  <c r="AB2977" i="10"/>
  <c r="AB2976" i="10"/>
  <c r="AB2975" i="10"/>
  <c r="AB2974" i="10"/>
  <c r="AB2973" i="10"/>
  <c r="AB2972" i="10"/>
  <c r="AB2971" i="10"/>
  <c r="AB2970" i="10"/>
  <c r="AB2969" i="10"/>
  <c r="AB2968" i="10"/>
  <c r="AB2967" i="10"/>
  <c r="AB2966" i="10"/>
  <c r="AB2965" i="10"/>
  <c r="AB2964" i="10"/>
  <c r="AB2963" i="10"/>
  <c r="AB2962" i="10"/>
  <c r="AB2961" i="10"/>
  <c r="AB2960" i="10"/>
  <c r="AB2959" i="10"/>
  <c r="AB2958" i="10"/>
  <c r="AB2957" i="10"/>
  <c r="AB2956" i="10"/>
  <c r="AB2955" i="10"/>
  <c r="AB2954" i="10"/>
  <c r="AB2953" i="10"/>
  <c r="AB2952" i="10"/>
  <c r="AB2951" i="10"/>
  <c r="AB2950" i="10"/>
  <c r="AB2949" i="10"/>
  <c r="AB2948" i="10"/>
  <c r="AB2947" i="10"/>
  <c r="AB2946" i="10"/>
  <c r="AB2945" i="10"/>
  <c r="AB2944" i="10"/>
  <c r="AB2943" i="10"/>
  <c r="AB2942" i="10"/>
  <c r="AB2941" i="10"/>
  <c r="AB2940" i="10"/>
  <c r="AB2939" i="10"/>
  <c r="AB2938" i="10"/>
  <c r="AB2937" i="10"/>
  <c r="AB2936" i="10"/>
  <c r="AB2935" i="10"/>
  <c r="AB2934" i="10"/>
  <c r="AB2933" i="10"/>
  <c r="AB2932" i="10"/>
  <c r="AB2931" i="10"/>
  <c r="AB2930" i="10"/>
  <c r="AB2929" i="10"/>
  <c r="AB2928" i="10"/>
  <c r="AB2927" i="10"/>
  <c r="AB2926" i="10"/>
  <c r="AB2925" i="10"/>
  <c r="AB2924" i="10"/>
  <c r="AB2923" i="10"/>
  <c r="AB2922" i="10"/>
  <c r="AB2921" i="10"/>
  <c r="AB2920" i="10"/>
  <c r="AB2919" i="10"/>
  <c r="AB2918" i="10"/>
  <c r="AB2917" i="10"/>
  <c r="AB2916" i="10"/>
  <c r="AB2915" i="10"/>
  <c r="AB2914" i="10"/>
  <c r="AB2913" i="10"/>
  <c r="AB2912" i="10"/>
  <c r="AB2911" i="10"/>
  <c r="AB2910" i="10"/>
  <c r="AB2909" i="10"/>
  <c r="AB2908" i="10"/>
  <c r="AB2907" i="10"/>
  <c r="AB2906" i="10"/>
  <c r="AB2905" i="10"/>
  <c r="AB2904" i="10"/>
  <c r="AB2903" i="10"/>
  <c r="AB2902" i="10"/>
  <c r="AB2901" i="10"/>
  <c r="AB2900" i="10"/>
  <c r="AB2899" i="10"/>
  <c r="AB2898" i="10"/>
  <c r="AB2897" i="10"/>
  <c r="AB2896" i="10"/>
  <c r="AB2895" i="10"/>
  <c r="AB2894" i="10"/>
  <c r="AB2893" i="10"/>
  <c r="AB2892" i="10"/>
  <c r="AB2891" i="10"/>
  <c r="AB2890" i="10"/>
  <c r="AB2889" i="10"/>
  <c r="AB2888" i="10"/>
  <c r="AB2887" i="10"/>
  <c r="AB2886" i="10"/>
  <c r="AB2885" i="10"/>
  <c r="AB2884" i="10"/>
  <c r="AB2883" i="10"/>
  <c r="AB2882" i="10"/>
  <c r="AB2881" i="10"/>
  <c r="AB2880" i="10"/>
  <c r="AB2879" i="10"/>
  <c r="AB2878" i="10"/>
  <c r="AB2877" i="10"/>
  <c r="AB2876" i="10"/>
  <c r="AB2875" i="10"/>
  <c r="AB2874" i="10"/>
  <c r="AB2873" i="10"/>
  <c r="AB2872" i="10"/>
  <c r="AB2871" i="10"/>
  <c r="AB2870" i="10"/>
  <c r="AB2869" i="10"/>
  <c r="AB2868" i="10"/>
  <c r="AB2867" i="10"/>
  <c r="AB2866" i="10"/>
  <c r="AB2865" i="10"/>
  <c r="AB2864" i="10"/>
  <c r="AB2863" i="10"/>
  <c r="AB2862" i="10"/>
  <c r="AB2861" i="10"/>
  <c r="AB2860" i="10"/>
  <c r="AB2859" i="10"/>
  <c r="AB2858" i="10"/>
  <c r="AB2857" i="10"/>
  <c r="AB2856" i="10"/>
  <c r="AB2855" i="10"/>
  <c r="AB2854" i="10"/>
  <c r="AB2853" i="10"/>
  <c r="AB2852" i="10"/>
  <c r="AB2851" i="10"/>
  <c r="AB2850" i="10"/>
  <c r="AB2849" i="10"/>
  <c r="AB2848" i="10"/>
  <c r="AB2847" i="10"/>
  <c r="AB2846" i="10"/>
  <c r="AB2845" i="10"/>
  <c r="AB2844" i="10"/>
  <c r="AB2843" i="10"/>
  <c r="AB2842" i="10"/>
  <c r="AB2841" i="10"/>
  <c r="AB2840" i="10"/>
  <c r="AB2839" i="10"/>
  <c r="AB2838" i="10"/>
  <c r="AB2837" i="10"/>
  <c r="AB2836" i="10"/>
  <c r="AB2835" i="10"/>
  <c r="AB2834" i="10"/>
  <c r="AB2833" i="10"/>
  <c r="AB2832" i="10"/>
  <c r="AB2831" i="10"/>
  <c r="AB2830" i="10"/>
  <c r="AB2829" i="10"/>
  <c r="AB2828" i="10"/>
  <c r="AB2827" i="10"/>
  <c r="AB2826" i="10"/>
  <c r="AB2825" i="10"/>
  <c r="AB2824" i="10"/>
  <c r="AB2823" i="10"/>
  <c r="AB2822" i="10"/>
  <c r="AB2821" i="10"/>
  <c r="AB2820" i="10"/>
  <c r="AB2819" i="10"/>
  <c r="AB2818" i="10"/>
  <c r="AB2817" i="10"/>
  <c r="AB2816" i="10"/>
  <c r="AB2815" i="10"/>
  <c r="AB2814" i="10"/>
  <c r="AB2813" i="10"/>
  <c r="AB2812" i="10"/>
  <c r="AB2811" i="10"/>
  <c r="AB2810" i="10"/>
  <c r="AB2809" i="10"/>
  <c r="AB2808" i="10"/>
  <c r="AB2807" i="10"/>
  <c r="AB2806" i="10"/>
  <c r="AB2805" i="10"/>
  <c r="AB2804" i="10"/>
  <c r="AB2803" i="10"/>
  <c r="AB2802" i="10"/>
  <c r="AB2801" i="10"/>
  <c r="AB2800" i="10"/>
  <c r="AB2799" i="10"/>
  <c r="AB2798" i="10"/>
  <c r="AB2797" i="10"/>
  <c r="AB2796" i="10"/>
  <c r="AB2795" i="10"/>
  <c r="AB2794" i="10"/>
  <c r="AB2793" i="10"/>
  <c r="AB2792" i="10"/>
  <c r="AB2791" i="10"/>
  <c r="AB2790" i="10"/>
  <c r="AB2789" i="10"/>
  <c r="AB2788" i="10"/>
  <c r="AB2787" i="10"/>
  <c r="AB2786" i="10"/>
  <c r="AB2785" i="10"/>
  <c r="AB2784" i="10"/>
  <c r="AB2783" i="10"/>
  <c r="AB2782" i="10"/>
  <c r="AB2781" i="10"/>
  <c r="AB2780" i="10"/>
  <c r="AB2779" i="10"/>
  <c r="AB2778" i="10"/>
  <c r="AB2777" i="10"/>
  <c r="AB2776" i="10"/>
  <c r="AB2775" i="10"/>
  <c r="AB2774" i="10"/>
  <c r="AB2773" i="10"/>
  <c r="AB2772" i="10"/>
  <c r="AB2771" i="10"/>
  <c r="AB2770" i="10"/>
  <c r="AB2769" i="10"/>
  <c r="AB2768" i="10"/>
  <c r="AB2767" i="10"/>
  <c r="AB2766" i="10"/>
  <c r="AB2765" i="10"/>
  <c r="AB2764" i="10"/>
  <c r="AB2763" i="10"/>
  <c r="AB2762" i="10"/>
  <c r="AB2761" i="10"/>
  <c r="AB2760" i="10"/>
  <c r="AB2759" i="10"/>
  <c r="AB2758" i="10"/>
  <c r="AB2757" i="10"/>
  <c r="AB2756" i="10"/>
  <c r="AB2755" i="10"/>
  <c r="AB2754" i="10"/>
  <c r="AB2753" i="10"/>
  <c r="AB2752" i="10"/>
  <c r="AB2751" i="10"/>
  <c r="AB2750" i="10"/>
  <c r="AB2749" i="10"/>
  <c r="AB2748" i="10"/>
  <c r="AB2747" i="10"/>
  <c r="AB2746" i="10"/>
  <c r="AB2745" i="10"/>
  <c r="AB2744" i="10"/>
  <c r="AB2743" i="10"/>
  <c r="AB2742" i="10"/>
  <c r="AB2741" i="10"/>
  <c r="AB2740" i="10"/>
  <c r="AB2739" i="10"/>
  <c r="AB2738" i="10"/>
  <c r="AB2737" i="10"/>
  <c r="AB2736" i="10"/>
  <c r="AB2735" i="10"/>
  <c r="AB2734" i="10"/>
  <c r="AB2733" i="10"/>
  <c r="AB2732" i="10"/>
  <c r="AB2731" i="10"/>
  <c r="AB2730" i="10"/>
  <c r="AB2729" i="10"/>
  <c r="AB2728" i="10"/>
  <c r="AB2727" i="10"/>
  <c r="AB2726" i="10"/>
  <c r="AB2725" i="10"/>
  <c r="AB2724" i="10"/>
  <c r="AB2723" i="10"/>
  <c r="AB2722" i="10"/>
  <c r="AB2721" i="10"/>
  <c r="AB2720" i="10"/>
  <c r="AB2719" i="10"/>
  <c r="AB2718" i="10"/>
  <c r="AB2717" i="10"/>
  <c r="AB2716" i="10"/>
  <c r="AB2715" i="10"/>
  <c r="AB2714" i="10"/>
  <c r="AB2713" i="10"/>
  <c r="AB2712" i="10"/>
  <c r="AB2711" i="10"/>
  <c r="AB2710" i="10"/>
  <c r="AB2709" i="10"/>
  <c r="AB2708" i="10"/>
  <c r="AB2707" i="10"/>
  <c r="AB2706" i="10"/>
  <c r="AB2705" i="10"/>
  <c r="AB2704" i="10"/>
  <c r="AB2703" i="10"/>
  <c r="AB2702" i="10"/>
  <c r="AB2701" i="10"/>
  <c r="AB2700" i="10"/>
  <c r="AB2699" i="10"/>
  <c r="AB2698" i="10"/>
  <c r="AB2697" i="10"/>
  <c r="AB2696" i="10"/>
  <c r="AB2695" i="10"/>
  <c r="AB2694" i="10"/>
  <c r="AB2693" i="10"/>
  <c r="AB2692" i="10"/>
  <c r="AB2691" i="10"/>
  <c r="AB2690" i="10"/>
  <c r="AB2689" i="10"/>
  <c r="AB2688" i="10"/>
  <c r="AB2687" i="10"/>
  <c r="AB2686" i="10"/>
  <c r="AB2685" i="10"/>
  <c r="AB2684" i="10"/>
  <c r="AB2683" i="10"/>
  <c r="AB2682" i="10"/>
  <c r="AB2681" i="10"/>
  <c r="AB2680" i="10"/>
  <c r="AB2679" i="10"/>
  <c r="AB2678" i="10"/>
  <c r="AB2677" i="10"/>
  <c r="AB2676" i="10"/>
  <c r="AB2675" i="10"/>
  <c r="AB2674" i="10"/>
  <c r="AB2673" i="10"/>
  <c r="AB2672" i="10"/>
  <c r="AB2671" i="10"/>
  <c r="AB2670" i="10"/>
  <c r="AB2669" i="10"/>
  <c r="AB2668" i="10"/>
  <c r="AB2667" i="10"/>
  <c r="AB2666" i="10"/>
  <c r="AB2665" i="10"/>
  <c r="AB2664" i="10"/>
  <c r="AB2663" i="10"/>
  <c r="AB2662" i="10"/>
  <c r="AB2661" i="10"/>
  <c r="AB2660" i="10"/>
  <c r="AB2659" i="10"/>
  <c r="AB2658" i="10"/>
  <c r="AB2657" i="10"/>
  <c r="AB2656" i="10"/>
  <c r="AB2655" i="10"/>
  <c r="AB2654" i="10"/>
  <c r="AB2653" i="10"/>
  <c r="AB2652" i="10"/>
  <c r="AB2651" i="10"/>
  <c r="AB2650" i="10"/>
  <c r="AB2649" i="10"/>
  <c r="AB2648" i="10"/>
  <c r="AB2647" i="10"/>
  <c r="AB2646" i="10"/>
  <c r="AB2645" i="10"/>
  <c r="AB2644" i="10"/>
  <c r="AB2643" i="10"/>
  <c r="AB2642" i="10"/>
  <c r="AB2641" i="10"/>
  <c r="AB2640" i="10"/>
  <c r="AB2639" i="10"/>
  <c r="AB2638" i="10"/>
  <c r="AB2637" i="10"/>
  <c r="AB2636" i="10"/>
  <c r="AB2635" i="10"/>
  <c r="AB2634" i="10"/>
  <c r="AB2633" i="10"/>
  <c r="AB2632" i="10"/>
  <c r="AB2631" i="10"/>
  <c r="AB2630" i="10"/>
  <c r="AB2629" i="10"/>
  <c r="AB2628" i="10"/>
  <c r="AB2627" i="10"/>
  <c r="AB2626" i="10"/>
  <c r="AB2625" i="10"/>
  <c r="AB2624" i="10"/>
  <c r="AB2623" i="10"/>
  <c r="AB2622" i="10"/>
  <c r="AB2621" i="10"/>
  <c r="AB2620" i="10"/>
  <c r="AB2619" i="10"/>
  <c r="AB2618" i="10"/>
  <c r="AB2617" i="10"/>
  <c r="AB2616" i="10"/>
  <c r="AB2615" i="10"/>
  <c r="AB2614" i="10"/>
  <c r="AB2613" i="10"/>
  <c r="AB2612" i="10"/>
  <c r="AB2611" i="10"/>
  <c r="AB2610" i="10"/>
  <c r="AB2609" i="10"/>
  <c r="AB2608" i="10"/>
  <c r="AB2607" i="10"/>
  <c r="AB2606" i="10"/>
  <c r="AB2605" i="10"/>
  <c r="AB2604" i="10"/>
  <c r="AB2603" i="10"/>
  <c r="AB2602" i="10"/>
  <c r="AB2601" i="10"/>
  <c r="AB2600" i="10"/>
  <c r="AB2599" i="10"/>
  <c r="AB2598" i="10"/>
  <c r="AB2597" i="10"/>
  <c r="AB2596" i="10"/>
  <c r="AB2595" i="10"/>
  <c r="AB2594" i="10"/>
  <c r="AB2593" i="10"/>
  <c r="AB2592" i="10"/>
  <c r="AB2591" i="10"/>
  <c r="AB2590" i="10"/>
  <c r="AB2589" i="10"/>
  <c r="AB2588" i="10"/>
  <c r="AB2587" i="10"/>
  <c r="AB2586" i="10"/>
  <c r="AB2585" i="10"/>
  <c r="AB2584" i="10"/>
  <c r="AB2583" i="10"/>
  <c r="AB2582" i="10"/>
  <c r="AB2581" i="10"/>
  <c r="AB2580" i="10"/>
  <c r="AB2579" i="10"/>
  <c r="AB2578" i="10"/>
  <c r="AB2577" i="10"/>
  <c r="AB2576" i="10"/>
  <c r="AB2575" i="10"/>
  <c r="AB2574" i="10"/>
  <c r="AB2573" i="10"/>
  <c r="AB2572" i="10"/>
  <c r="AB2571" i="10"/>
  <c r="AB2570" i="10"/>
  <c r="AB2569" i="10"/>
  <c r="AB2568" i="10"/>
  <c r="AB2567" i="10"/>
  <c r="AB2566" i="10"/>
  <c r="AB2565" i="10"/>
  <c r="AB2564" i="10"/>
  <c r="AB2563" i="10"/>
  <c r="AB2562" i="10"/>
  <c r="AB2561" i="10"/>
  <c r="AB2560" i="10"/>
  <c r="AB2559" i="10"/>
  <c r="AB2558" i="10"/>
  <c r="AB2557" i="10"/>
  <c r="AB2556" i="10"/>
  <c r="AB2555" i="10"/>
  <c r="AB2554" i="10"/>
  <c r="AB2553" i="10"/>
  <c r="AB2552" i="10"/>
  <c r="AB2551" i="10"/>
  <c r="AB2550" i="10"/>
  <c r="AB2549" i="10"/>
  <c r="AB2548" i="10"/>
  <c r="AB2547" i="10"/>
  <c r="AB2546" i="10"/>
  <c r="AB2545" i="10"/>
  <c r="AB2544" i="10"/>
  <c r="AB2543" i="10"/>
  <c r="AB2542" i="10"/>
  <c r="AB2541" i="10"/>
  <c r="AB2540" i="10"/>
  <c r="AB2539" i="10"/>
  <c r="AB2538" i="10"/>
  <c r="AB2537" i="10"/>
  <c r="AB2536" i="10"/>
  <c r="AB2535" i="10"/>
  <c r="AB2534" i="10"/>
  <c r="AB2533" i="10"/>
  <c r="AB2532" i="10"/>
  <c r="AB2531" i="10"/>
  <c r="AB2530" i="10"/>
  <c r="AB2529" i="10"/>
  <c r="AB2528" i="10"/>
  <c r="AB2527" i="10"/>
  <c r="AB2526" i="10"/>
  <c r="AB2525" i="10"/>
  <c r="AB2524" i="10"/>
  <c r="AB2523" i="10"/>
  <c r="AB2522" i="10"/>
  <c r="AB2521" i="10"/>
  <c r="AB2520" i="10"/>
  <c r="AB2519" i="10"/>
  <c r="AB2518" i="10"/>
  <c r="AB2517" i="10"/>
  <c r="AB2516" i="10"/>
  <c r="AB2515" i="10"/>
  <c r="AB2514" i="10"/>
  <c r="AB2513" i="10"/>
  <c r="AB2512" i="10"/>
  <c r="AB2511" i="10"/>
  <c r="AB2510" i="10"/>
  <c r="AB2509" i="10"/>
  <c r="AB2508" i="10"/>
  <c r="AB2507" i="10"/>
  <c r="AB2506" i="10"/>
  <c r="AB2505" i="10"/>
  <c r="AB2504" i="10"/>
  <c r="AB2503" i="10"/>
  <c r="AB2502" i="10"/>
  <c r="AB2501" i="10"/>
  <c r="AB2500" i="10"/>
  <c r="AB2499" i="10"/>
  <c r="AB2498" i="10"/>
  <c r="AB2497" i="10"/>
  <c r="AB2496" i="10"/>
  <c r="AB2495" i="10"/>
  <c r="AB2494" i="10"/>
  <c r="AB2493" i="10"/>
  <c r="AB2492" i="10"/>
  <c r="AB2491" i="10"/>
  <c r="AB2490" i="10"/>
  <c r="AB2489" i="10"/>
  <c r="AB2488" i="10"/>
  <c r="AB2487" i="10"/>
  <c r="AB2486" i="10"/>
  <c r="AB2485" i="10"/>
  <c r="AB2484" i="10"/>
  <c r="AB2483" i="10"/>
  <c r="AB2482" i="10"/>
  <c r="AB2481" i="10"/>
  <c r="AB2480" i="10"/>
  <c r="AB2479" i="10"/>
  <c r="AB2478" i="10"/>
  <c r="AB2477" i="10"/>
  <c r="AB2476" i="10"/>
  <c r="AB2475" i="10"/>
  <c r="AB2474" i="10"/>
  <c r="AB2473" i="10"/>
  <c r="AB2472" i="10"/>
  <c r="AB2471" i="10"/>
  <c r="AB2470" i="10"/>
  <c r="AB2469" i="10"/>
  <c r="AB2468" i="10"/>
  <c r="AB2467" i="10"/>
  <c r="AB2466" i="10"/>
  <c r="AB2465" i="10"/>
  <c r="AB2464" i="10"/>
  <c r="AB2463" i="10"/>
  <c r="AB2462" i="10"/>
  <c r="AB2461" i="10"/>
  <c r="AB2460" i="10"/>
  <c r="AB2459" i="10"/>
  <c r="AB2458" i="10"/>
  <c r="AB2457" i="10"/>
  <c r="AB2456" i="10"/>
  <c r="AB2455" i="10"/>
  <c r="AB2454" i="10"/>
  <c r="AB2453" i="10"/>
  <c r="AB2452" i="10"/>
  <c r="AB2451" i="10"/>
  <c r="AB2450" i="10"/>
  <c r="AB2449" i="10"/>
  <c r="AB2448" i="10"/>
  <c r="AB2447" i="10"/>
  <c r="AB2446" i="10"/>
  <c r="AB2445" i="10"/>
  <c r="AB2444" i="10"/>
  <c r="AB2443" i="10"/>
  <c r="AB2442" i="10"/>
  <c r="AB2441" i="10"/>
  <c r="AB2440" i="10"/>
  <c r="AB2439" i="10"/>
  <c r="AB2438" i="10"/>
  <c r="AB2437" i="10"/>
  <c r="AB2436" i="10"/>
  <c r="AB2435" i="10"/>
  <c r="AB2434" i="10"/>
  <c r="AB2433" i="10"/>
  <c r="AB2432" i="10"/>
  <c r="AB2431" i="10"/>
  <c r="AB2430" i="10"/>
  <c r="AB2429" i="10"/>
  <c r="AB2428" i="10"/>
  <c r="AB2427" i="10"/>
  <c r="AB2426" i="10"/>
  <c r="AB2425" i="10"/>
  <c r="AB2424" i="10"/>
  <c r="AB2423" i="10"/>
  <c r="AB2422" i="10"/>
  <c r="AB2421" i="10"/>
  <c r="AB2420" i="10"/>
  <c r="AB2419" i="10"/>
  <c r="AB2418" i="10"/>
  <c r="AB2417" i="10"/>
  <c r="AB2416" i="10"/>
  <c r="AB2415" i="10"/>
  <c r="AB2414" i="10"/>
  <c r="AB2413" i="10"/>
  <c r="AB2412" i="10"/>
  <c r="AB2411" i="10"/>
  <c r="AB2410" i="10"/>
  <c r="AB2409" i="10"/>
  <c r="AB2408" i="10"/>
  <c r="AB2407" i="10"/>
  <c r="AB2406" i="10"/>
  <c r="AB2405" i="10"/>
  <c r="AB2404" i="10"/>
  <c r="AB2403" i="10"/>
  <c r="AB2402" i="10"/>
  <c r="AB2401" i="10"/>
  <c r="AB2400" i="10"/>
  <c r="AB2399" i="10"/>
  <c r="AB2398" i="10"/>
  <c r="AB2397" i="10"/>
  <c r="AB2396" i="10"/>
  <c r="AB2395" i="10"/>
  <c r="AB2394" i="10"/>
  <c r="AB2393" i="10"/>
  <c r="AB2392" i="10"/>
  <c r="AB2391" i="10"/>
  <c r="AB2390" i="10"/>
  <c r="AB2389" i="10"/>
  <c r="AB2388" i="10"/>
  <c r="AB2387" i="10"/>
  <c r="AB2386" i="10"/>
  <c r="AB2385" i="10"/>
  <c r="AB2384" i="10"/>
  <c r="AB2383" i="10"/>
  <c r="AB2382" i="10"/>
  <c r="AB2381" i="10"/>
  <c r="AB2380" i="10"/>
  <c r="AB2379" i="10"/>
  <c r="AB2378" i="10"/>
  <c r="AB2377" i="10"/>
  <c r="AB2376" i="10"/>
  <c r="AB2375" i="10"/>
  <c r="AB2374" i="10"/>
  <c r="AB2373" i="10"/>
  <c r="AB2372" i="10"/>
  <c r="AB2371" i="10"/>
  <c r="AB2370" i="10"/>
  <c r="AB2369" i="10"/>
  <c r="AB2368" i="10"/>
  <c r="AB2367" i="10"/>
  <c r="AB2366" i="10"/>
  <c r="AB2365" i="10"/>
  <c r="AB2364" i="10"/>
  <c r="AB2363" i="10"/>
  <c r="AB2362" i="10"/>
  <c r="AB2361" i="10"/>
  <c r="AB2360" i="10"/>
  <c r="AB2359" i="10"/>
  <c r="AB2358" i="10"/>
  <c r="AB2357" i="10"/>
  <c r="AB2356" i="10"/>
  <c r="AB2355" i="10"/>
  <c r="AB2354" i="10"/>
  <c r="AB2353" i="10"/>
  <c r="AB2352" i="10"/>
  <c r="AB2351" i="10"/>
  <c r="AB2350" i="10"/>
  <c r="AB2349" i="10"/>
  <c r="AB2348" i="10"/>
  <c r="AB2347" i="10"/>
  <c r="AB2346" i="10"/>
  <c r="AB2345" i="10"/>
  <c r="AB2344" i="10"/>
  <c r="AB2343" i="10"/>
  <c r="AB2342" i="10"/>
  <c r="AB2341" i="10"/>
  <c r="AB2340" i="10"/>
  <c r="AB2339" i="10"/>
  <c r="AB2338" i="10"/>
  <c r="AB2337" i="10"/>
  <c r="AB2336" i="10"/>
  <c r="AB2335" i="10"/>
  <c r="AB2334" i="10"/>
  <c r="AB2333" i="10"/>
  <c r="AB2332" i="10"/>
  <c r="AB2331" i="10"/>
  <c r="AB2330" i="10"/>
  <c r="AB2329" i="10"/>
  <c r="AB2328" i="10"/>
  <c r="AB2327" i="10"/>
  <c r="AB2326" i="10"/>
  <c r="AB2325" i="10"/>
  <c r="AB2324" i="10"/>
  <c r="AB2323" i="10"/>
  <c r="AB2322" i="10"/>
  <c r="AB2321" i="10"/>
  <c r="AB2320" i="10"/>
  <c r="AB2319" i="10"/>
  <c r="AB2318" i="10"/>
  <c r="AB2317" i="10"/>
  <c r="AB2316" i="10"/>
  <c r="AB2315" i="10"/>
  <c r="AB2314" i="10"/>
  <c r="AB2313" i="10"/>
  <c r="AB2312" i="10"/>
  <c r="AB2311" i="10"/>
  <c r="AB2310" i="10"/>
  <c r="AB2309" i="10"/>
  <c r="AB2308" i="10"/>
  <c r="AB2307" i="10"/>
  <c r="AB2306" i="10"/>
  <c r="AB2305" i="10"/>
  <c r="AB2304" i="10"/>
  <c r="AB2303" i="10"/>
  <c r="AB2302" i="10"/>
  <c r="AB2301" i="10"/>
  <c r="AB2300" i="10"/>
  <c r="AB2299" i="10"/>
  <c r="AB2298" i="10"/>
  <c r="AB2297" i="10"/>
  <c r="AB2296" i="10"/>
  <c r="AB2295" i="10"/>
  <c r="AB2294" i="10"/>
  <c r="AB2293" i="10"/>
  <c r="AB2292" i="10"/>
  <c r="AB2291" i="10"/>
  <c r="AB2290" i="10"/>
  <c r="AB2289" i="10"/>
  <c r="AB2288" i="10"/>
  <c r="AB2287" i="10"/>
  <c r="AB2286" i="10"/>
  <c r="AB2285" i="10"/>
  <c r="AB2284" i="10"/>
  <c r="AB2283" i="10"/>
  <c r="AB2282" i="10"/>
  <c r="AB2281" i="10"/>
  <c r="AB2280" i="10"/>
  <c r="AB2279" i="10"/>
  <c r="AB2278" i="10"/>
  <c r="AB2277" i="10"/>
  <c r="AB2276" i="10"/>
  <c r="AB2275" i="10"/>
  <c r="AB2274" i="10"/>
  <c r="AB2273" i="10"/>
  <c r="AB2272" i="10"/>
  <c r="AB2271" i="10"/>
  <c r="AB2270" i="10"/>
  <c r="AB2269" i="10"/>
  <c r="AB2268" i="10"/>
  <c r="AB2267" i="10"/>
  <c r="AB2266" i="10"/>
  <c r="AB2265" i="10"/>
  <c r="AB2264" i="10"/>
  <c r="AB2263" i="10"/>
  <c r="AB2262" i="10"/>
  <c r="AB2261" i="10"/>
  <c r="AB2260" i="10"/>
  <c r="AB2259" i="10"/>
  <c r="AB2258" i="10"/>
  <c r="AB2257" i="10"/>
  <c r="AB2256" i="10"/>
  <c r="AB2255" i="10"/>
  <c r="AB2254" i="10"/>
  <c r="AB2253" i="10"/>
  <c r="AB2252" i="10"/>
  <c r="AB2251" i="10"/>
  <c r="AB2250" i="10"/>
  <c r="AB2249" i="10"/>
  <c r="AB2248" i="10"/>
  <c r="AB2247" i="10"/>
  <c r="AB2246" i="10"/>
  <c r="AB2245" i="10"/>
  <c r="AB2244" i="10"/>
  <c r="AB2243" i="10"/>
  <c r="AB2242" i="10"/>
  <c r="AB2241" i="10"/>
  <c r="AB2240" i="10"/>
  <c r="AB2239" i="10"/>
  <c r="AB2238" i="10"/>
  <c r="AB2237" i="10"/>
  <c r="AB2236" i="10"/>
  <c r="AB2235" i="10"/>
  <c r="AB2234" i="10"/>
  <c r="AB2233" i="10"/>
  <c r="AB2232" i="10"/>
  <c r="AB2231" i="10"/>
  <c r="AB2230" i="10"/>
  <c r="AB2229" i="10"/>
  <c r="AB2228" i="10"/>
  <c r="AB2227" i="10"/>
  <c r="AB2226" i="10"/>
  <c r="AB2225" i="10"/>
  <c r="AB2224" i="10"/>
  <c r="AB2223" i="10"/>
  <c r="AB2222" i="10"/>
  <c r="AB2221" i="10"/>
  <c r="AB2220" i="10"/>
  <c r="AB2219" i="10"/>
  <c r="AB2218" i="10"/>
  <c r="AB2217" i="10"/>
  <c r="AB2216" i="10"/>
  <c r="AB2215" i="10"/>
  <c r="AB2214" i="10"/>
  <c r="AB2213" i="10"/>
  <c r="AB2212" i="10"/>
  <c r="AB2211" i="10"/>
  <c r="AB2210" i="10"/>
  <c r="AB2209" i="10"/>
  <c r="AB2208" i="10"/>
  <c r="AB2207" i="10"/>
  <c r="AB2206" i="10"/>
  <c r="AB2205" i="10"/>
  <c r="AB2204" i="10"/>
  <c r="AB2203" i="10"/>
  <c r="AB2202" i="10"/>
  <c r="AB2201" i="10"/>
  <c r="AB2200" i="10"/>
  <c r="AB2199" i="10"/>
  <c r="AB2198" i="10"/>
  <c r="AB2197" i="10"/>
  <c r="AB2196" i="10"/>
  <c r="AB2195" i="10"/>
  <c r="AB2194" i="10"/>
  <c r="AB2193" i="10"/>
  <c r="AB2192" i="10"/>
  <c r="AB2191" i="10"/>
  <c r="AB2190" i="10"/>
  <c r="AB2189" i="10"/>
  <c r="AB2188" i="10"/>
  <c r="AB2187" i="10"/>
  <c r="AB2186" i="10"/>
  <c r="AB2185" i="10"/>
  <c r="AB2184" i="10"/>
  <c r="AB2183" i="10"/>
  <c r="AB2182" i="10"/>
  <c r="AB2181" i="10"/>
  <c r="AB2180" i="10"/>
  <c r="AB2179" i="10"/>
  <c r="AB2178" i="10"/>
  <c r="AB2177" i="10"/>
  <c r="AB2176" i="10"/>
  <c r="AB2175" i="10"/>
  <c r="AB2174" i="10"/>
  <c r="AB2173" i="10"/>
  <c r="AB2172" i="10"/>
  <c r="AB2171" i="10"/>
  <c r="AB2170" i="10"/>
  <c r="AB2169" i="10"/>
  <c r="AB2168" i="10"/>
  <c r="AB2167" i="10"/>
  <c r="AB2166" i="10"/>
  <c r="AB2165" i="10"/>
  <c r="AB2164" i="10"/>
  <c r="AB2163" i="10"/>
  <c r="AB2162" i="10"/>
  <c r="AB2161" i="10"/>
  <c r="AB2160" i="10"/>
  <c r="AB2159" i="10"/>
  <c r="AB2158" i="10"/>
  <c r="AB2157" i="10"/>
  <c r="AB2156" i="10"/>
  <c r="AB2155" i="10"/>
  <c r="AB2154" i="10"/>
  <c r="AB2153" i="10"/>
  <c r="AB2152" i="10"/>
  <c r="AB2151" i="10"/>
  <c r="AB2150" i="10"/>
  <c r="AB2149" i="10"/>
  <c r="AB2148" i="10"/>
  <c r="AB2147" i="10"/>
  <c r="AB2146" i="10"/>
  <c r="AB2145" i="10"/>
  <c r="AB2144" i="10"/>
  <c r="AB2143" i="10"/>
  <c r="AB2142" i="10"/>
  <c r="AB2141" i="10"/>
  <c r="AB2140" i="10"/>
  <c r="AB2139" i="10"/>
  <c r="AB2138" i="10"/>
  <c r="AB2137" i="10"/>
  <c r="AB2136" i="10"/>
  <c r="AB2135" i="10"/>
  <c r="AB2134" i="10"/>
  <c r="AB2133" i="10"/>
  <c r="AB2132" i="10"/>
  <c r="AB2131" i="10"/>
  <c r="AB2130" i="10"/>
  <c r="AB2129" i="10"/>
  <c r="AB2128" i="10"/>
  <c r="AB2127" i="10"/>
  <c r="AB2126" i="10"/>
  <c r="AB2125" i="10"/>
  <c r="AB2124" i="10"/>
  <c r="AB2123" i="10"/>
  <c r="AB2122" i="10"/>
  <c r="AB2121" i="10"/>
  <c r="AB2120" i="10"/>
  <c r="AB2119" i="10"/>
  <c r="AB2118" i="10"/>
  <c r="AB2117" i="10"/>
  <c r="AB2116" i="10"/>
  <c r="AB2115" i="10"/>
  <c r="AB2114" i="10"/>
  <c r="AB2113" i="10"/>
  <c r="AB2112" i="10"/>
  <c r="AB2111" i="10"/>
  <c r="AB2110" i="10"/>
  <c r="AB2109" i="10"/>
  <c r="AB2108" i="10"/>
  <c r="AB2107" i="10"/>
  <c r="AB2106" i="10"/>
  <c r="AB2105" i="10"/>
  <c r="AB2104" i="10"/>
  <c r="AB2103" i="10"/>
  <c r="AB2102" i="10"/>
  <c r="AB2101" i="10"/>
  <c r="AB2100" i="10"/>
  <c r="AB2099" i="10"/>
  <c r="AB2098" i="10"/>
  <c r="AB2097" i="10"/>
  <c r="AB2096" i="10"/>
  <c r="AB2095" i="10"/>
  <c r="AB2094" i="10"/>
  <c r="AB2093" i="10"/>
  <c r="AB2092" i="10"/>
  <c r="AB2091" i="10"/>
  <c r="AB2090" i="10"/>
  <c r="AB2089" i="10"/>
  <c r="AB2088" i="10"/>
  <c r="AB2087" i="10"/>
  <c r="AB2086" i="10"/>
  <c r="AB2085" i="10"/>
  <c r="AB2084" i="10"/>
  <c r="AB2083" i="10"/>
  <c r="AB2082" i="10"/>
  <c r="AB2081" i="10"/>
  <c r="AB2080" i="10"/>
  <c r="AB2079" i="10"/>
  <c r="AB2078" i="10"/>
  <c r="AB2077" i="10"/>
  <c r="AB2076" i="10"/>
  <c r="AB2075" i="10"/>
  <c r="AB2074" i="10"/>
  <c r="AB2073" i="10"/>
  <c r="AB2072" i="10"/>
  <c r="AB2071" i="10"/>
  <c r="AB2070" i="10"/>
  <c r="AB2069" i="10"/>
  <c r="AB2068" i="10"/>
  <c r="AB2067" i="10"/>
  <c r="AB2066" i="10"/>
  <c r="AB2065" i="10"/>
  <c r="AB2064" i="10"/>
  <c r="AB2063" i="10"/>
  <c r="AB2062" i="10"/>
  <c r="AB2061" i="10"/>
  <c r="AB2060" i="10"/>
  <c r="AB2059" i="10"/>
  <c r="AB2058" i="10"/>
  <c r="AB2057" i="10"/>
  <c r="AB2056" i="10"/>
  <c r="AB2055" i="10"/>
  <c r="AB2054" i="10"/>
  <c r="AB2053" i="10"/>
  <c r="AB2052" i="10"/>
  <c r="AB2051" i="10"/>
  <c r="AB2050" i="10"/>
  <c r="AB2049" i="10"/>
  <c r="AB2048" i="10"/>
  <c r="AB2047" i="10"/>
  <c r="AB2046" i="10"/>
  <c r="AB2045" i="10"/>
  <c r="AB2044" i="10"/>
  <c r="AB2043" i="10"/>
  <c r="AB2042" i="10"/>
  <c r="AB2041" i="10"/>
  <c r="AB2040" i="10"/>
  <c r="AB2039" i="10"/>
  <c r="AB2038" i="10"/>
  <c r="AB2037" i="10"/>
  <c r="AB2036" i="10"/>
  <c r="AB2035" i="10"/>
  <c r="AB2034" i="10"/>
  <c r="AB2033" i="10"/>
  <c r="AB2032" i="10"/>
  <c r="AB2031" i="10"/>
  <c r="AB2030" i="10"/>
  <c r="AB2029" i="10"/>
  <c r="AB2028" i="10"/>
  <c r="AB2027" i="10"/>
  <c r="AB2026" i="10"/>
  <c r="AB2025" i="10"/>
  <c r="AB2024" i="10"/>
  <c r="AB2023" i="10"/>
  <c r="AB2022" i="10"/>
  <c r="AB2021" i="10"/>
  <c r="AB2020" i="10"/>
  <c r="AB2019" i="10"/>
  <c r="AB2018" i="10"/>
  <c r="AB2017" i="10"/>
  <c r="AB2016" i="10"/>
  <c r="AB2015" i="10"/>
  <c r="AB2014" i="10"/>
  <c r="AB2013" i="10"/>
  <c r="AB2012" i="10"/>
  <c r="AB2011" i="10"/>
  <c r="AB2010" i="10"/>
  <c r="AB2009" i="10"/>
  <c r="AB2008" i="10"/>
  <c r="AB2007" i="10"/>
  <c r="AB2006" i="10"/>
  <c r="AB2005" i="10"/>
  <c r="AB2004" i="10"/>
  <c r="AB2003" i="10"/>
  <c r="AB2002" i="10"/>
  <c r="AB2001" i="10"/>
  <c r="AB2000" i="10"/>
  <c r="AB1999" i="10"/>
  <c r="AB1998" i="10"/>
  <c r="AB1997" i="10"/>
  <c r="AB1996" i="10"/>
  <c r="AB1995" i="10"/>
  <c r="AB1994" i="10"/>
  <c r="AB1993" i="10"/>
  <c r="AB1992" i="10"/>
  <c r="AB1991" i="10"/>
  <c r="AB1990" i="10"/>
  <c r="AB1989" i="10"/>
  <c r="AB1988" i="10"/>
  <c r="AB1987" i="10"/>
  <c r="AB1986" i="10"/>
  <c r="AB1985" i="10"/>
  <c r="AB1984" i="10"/>
  <c r="AB1983" i="10"/>
  <c r="AB1982" i="10"/>
  <c r="AB1981" i="10"/>
  <c r="AB1980" i="10"/>
  <c r="AB1979" i="10"/>
  <c r="AB1978" i="10"/>
  <c r="AB1977" i="10"/>
  <c r="AB1976" i="10"/>
  <c r="AB1975" i="10"/>
  <c r="AB1974" i="10"/>
  <c r="AB1973" i="10"/>
  <c r="AB1972" i="10"/>
  <c r="AB1971" i="10"/>
  <c r="AB1970" i="10"/>
  <c r="AB1969" i="10"/>
  <c r="AB1968" i="10"/>
  <c r="AB1967" i="10"/>
  <c r="AB1966" i="10"/>
  <c r="AB1965" i="10"/>
  <c r="AB1964" i="10"/>
  <c r="AB1963" i="10"/>
  <c r="AB1962" i="10"/>
  <c r="AB1961" i="10"/>
  <c r="AB1960" i="10"/>
  <c r="AB1959" i="10"/>
  <c r="AB1958" i="10"/>
  <c r="AB1957" i="10"/>
  <c r="AB1956" i="10"/>
  <c r="AB1955" i="10"/>
  <c r="AB1954" i="10"/>
  <c r="AB1953" i="10"/>
  <c r="AB1952" i="10"/>
  <c r="AB1951" i="10"/>
  <c r="AB1950" i="10"/>
  <c r="AB1949" i="10"/>
  <c r="AB1948" i="10"/>
  <c r="AB1947" i="10"/>
  <c r="AB1946" i="10"/>
  <c r="AB1945" i="10"/>
  <c r="AB1944" i="10"/>
  <c r="AB1943" i="10"/>
  <c r="AB1942" i="10"/>
  <c r="AB1941" i="10"/>
  <c r="AB1940" i="10"/>
  <c r="AB1939" i="10"/>
  <c r="AB1938" i="10"/>
  <c r="AB1937" i="10"/>
  <c r="AB1936" i="10"/>
  <c r="AB1935" i="10"/>
  <c r="AB1934" i="10"/>
  <c r="AB1933" i="10"/>
  <c r="AB1932" i="10"/>
  <c r="AB1931" i="10"/>
  <c r="AB1930" i="10"/>
  <c r="AB1929" i="10"/>
  <c r="AB1928" i="10"/>
  <c r="AB1927" i="10"/>
  <c r="AB1926" i="10"/>
  <c r="AB1925" i="10"/>
  <c r="AB1924" i="10"/>
  <c r="AB1923" i="10"/>
  <c r="AB1922" i="10"/>
  <c r="AB1921" i="10"/>
  <c r="AB1920" i="10"/>
  <c r="AB1919" i="10"/>
  <c r="AB1918" i="10"/>
  <c r="AB1917" i="10"/>
  <c r="AB1916" i="10"/>
  <c r="AB1915" i="10"/>
  <c r="AB1914" i="10"/>
  <c r="AB1913" i="10"/>
  <c r="AB1912" i="10"/>
  <c r="AB1911" i="10"/>
  <c r="AB1910" i="10"/>
  <c r="AB1909" i="10"/>
  <c r="AB1908" i="10"/>
  <c r="AB1907" i="10"/>
  <c r="AB1906" i="10"/>
  <c r="AB1905" i="10"/>
  <c r="AB1904" i="10"/>
  <c r="AB1903" i="10"/>
  <c r="AB1902" i="10"/>
  <c r="AB1901" i="10"/>
  <c r="AB1900" i="10"/>
  <c r="AB1899" i="10"/>
  <c r="AB1898" i="10"/>
  <c r="AB1897" i="10"/>
  <c r="AB1896" i="10"/>
  <c r="AB1895" i="10"/>
  <c r="AB1894" i="10"/>
  <c r="AB1893" i="10"/>
  <c r="AB1892" i="10"/>
  <c r="AB1891" i="10"/>
  <c r="AB1890" i="10"/>
  <c r="AB1889" i="10"/>
  <c r="AB1888" i="10"/>
  <c r="AB1887" i="10"/>
  <c r="AB1886" i="10"/>
  <c r="AB1885" i="10"/>
  <c r="AB1884" i="10"/>
  <c r="AB1883" i="10"/>
  <c r="AB1882" i="10"/>
  <c r="AB1881" i="10"/>
  <c r="AB1880" i="10"/>
  <c r="AB1879" i="10"/>
  <c r="AB1878" i="10"/>
  <c r="AB1877" i="10"/>
  <c r="AB1876" i="10"/>
  <c r="AB1875" i="10"/>
  <c r="AB1874" i="10"/>
  <c r="AB1873" i="10"/>
  <c r="AB1872" i="10"/>
  <c r="AB1871" i="10"/>
  <c r="AB1870" i="10"/>
  <c r="AB1869" i="10"/>
  <c r="AB1868" i="10"/>
  <c r="AB1867" i="10"/>
  <c r="AB1866" i="10"/>
  <c r="AB1865" i="10"/>
  <c r="AB1864" i="10"/>
  <c r="AB1863" i="10"/>
  <c r="AB1862" i="10"/>
  <c r="AB1861" i="10"/>
  <c r="AB1860" i="10"/>
  <c r="AB1859" i="10"/>
  <c r="AB1858" i="10"/>
  <c r="AB1857" i="10"/>
  <c r="AB1856" i="10"/>
  <c r="AB1855" i="10"/>
  <c r="AB1854" i="10"/>
  <c r="AB1853" i="10"/>
  <c r="AB1852" i="10"/>
  <c r="AB1851" i="10"/>
  <c r="AB1850" i="10"/>
  <c r="AB1849" i="10"/>
  <c r="AB1848" i="10"/>
  <c r="AB1847" i="10"/>
  <c r="AB1846" i="10"/>
  <c r="AB1845" i="10"/>
  <c r="AB1844" i="10"/>
  <c r="AB1843" i="10"/>
  <c r="AB1842" i="10"/>
  <c r="AB1841" i="10"/>
  <c r="AB1840" i="10"/>
  <c r="AB1839" i="10"/>
  <c r="AB1838" i="10"/>
  <c r="AB1837" i="10"/>
  <c r="AB1836" i="10"/>
  <c r="AB1835" i="10"/>
  <c r="AB1834" i="10"/>
  <c r="AB1833" i="10"/>
  <c r="AB1832" i="10"/>
  <c r="AB1831" i="10"/>
  <c r="AB1830" i="10"/>
  <c r="AB1829" i="10"/>
  <c r="AB1828" i="10"/>
  <c r="AB1827" i="10"/>
  <c r="AB1826" i="10"/>
  <c r="AB1825" i="10"/>
  <c r="AB1824" i="10"/>
  <c r="AB1823" i="10"/>
  <c r="AB1822" i="10"/>
  <c r="AB1821" i="10"/>
  <c r="AB1820" i="10"/>
  <c r="AB1819" i="10"/>
  <c r="AB1818" i="10"/>
  <c r="AB1817" i="10"/>
  <c r="AB1816" i="10"/>
  <c r="AB1815" i="10"/>
  <c r="AB1814" i="10"/>
  <c r="AB1813" i="10"/>
  <c r="AB1812" i="10"/>
  <c r="AB1811" i="10"/>
  <c r="AB1810" i="10"/>
  <c r="AB1809" i="10"/>
  <c r="AB1808" i="10"/>
  <c r="AB1807" i="10"/>
  <c r="AB1806" i="10"/>
  <c r="AB1805" i="10"/>
  <c r="AB1804" i="10"/>
  <c r="AB1803" i="10"/>
  <c r="AB1802" i="10"/>
  <c r="AB1801" i="10"/>
  <c r="AB1800" i="10"/>
  <c r="AB1799" i="10"/>
  <c r="AB1798" i="10"/>
  <c r="AB1797" i="10"/>
  <c r="AB1796" i="10"/>
  <c r="AB1795" i="10"/>
  <c r="AB1794" i="10"/>
  <c r="AB1793" i="10"/>
  <c r="AB1792" i="10"/>
  <c r="AB1791" i="10"/>
  <c r="AB1790" i="10"/>
  <c r="AB1789" i="10"/>
  <c r="AB1788" i="10"/>
  <c r="AB1787" i="10"/>
  <c r="AB1786" i="10"/>
  <c r="AB1785" i="10"/>
  <c r="AB1784" i="10"/>
  <c r="AB1783" i="10"/>
  <c r="AB1782" i="10"/>
  <c r="AB1781" i="10"/>
  <c r="AB1780" i="10"/>
  <c r="AB1779" i="10"/>
  <c r="AB1778" i="10"/>
  <c r="AB1777" i="10"/>
  <c r="AB1776" i="10"/>
  <c r="AB1775" i="10"/>
  <c r="AB1774" i="10"/>
  <c r="AB1773" i="10"/>
  <c r="AB1772" i="10"/>
  <c r="AB1771" i="10"/>
  <c r="AB1770" i="10"/>
  <c r="AB1769" i="10"/>
  <c r="AB1768" i="10"/>
  <c r="AB1767" i="10"/>
  <c r="AB1766" i="10"/>
  <c r="AB1765" i="10"/>
  <c r="AB1764" i="10"/>
  <c r="AB1763" i="10"/>
  <c r="AB1762" i="10"/>
  <c r="AB1761" i="10"/>
  <c r="AB1760" i="10"/>
  <c r="AB1759" i="10"/>
  <c r="AB1758" i="10"/>
  <c r="AB1757" i="10"/>
  <c r="AB1756" i="10"/>
  <c r="AB1755" i="10"/>
  <c r="AB1754" i="10"/>
  <c r="AB1753" i="10"/>
  <c r="AB1752" i="10"/>
  <c r="AB1751" i="10"/>
  <c r="AB1750" i="10"/>
  <c r="AB1749" i="10"/>
  <c r="AB1748" i="10"/>
  <c r="AB1747" i="10"/>
  <c r="AB1746" i="10"/>
  <c r="AB1745" i="10"/>
  <c r="AB1744" i="10"/>
  <c r="AB1743" i="10"/>
  <c r="AB1742" i="10"/>
  <c r="AB1741" i="10"/>
  <c r="AB1740" i="10"/>
  <c r="AB1739" i="10"/>
  <c r="AB1738" i="10"/>
  <c r="AB1737" i="10"/>
  <c r="AB1736" i="10"/>
  <c r="AB1735" i="10"/>
  <c r="AB1734" i="10"/>
  <c r="AB1733" i="10"/>
  <c r="AB1732" i="10"/>
  <c r="AB1731" i="10"/>
  <c r="AB1730" i="10"/>
  <c r="AB1729" i="10"/>
  <c r="AB1728" i="10"/>
  <c r="AB1727" i="10"/>
  <c r="AB1726" i="10"/>
  <c r="AB1725" i="10"/>
  <c r="AB1724" i="10"/>
  <c r="AB1723" i="10"/>
  <c r="AB1722" i="10"/>
  <c r="AB1721" i="10"/>
  <c r="AB1720" i="10"/>
  <c r="AB1719" i="10"/>
  <c r="AB1718" i="10"/>
  <c r="AB1717" i="10"/>
  <c r="AB1716" i="10"/>
  <c r="AB1715" i="10"/>
  <c r="AB1714" i="10"/>
  <c r="AB1713" i="10"/>
  <c r="AB1712" i="10"/>
  <c r="AB1711" i="10"/>
  <c r="AB1710" i="10"/>
  <c r="AB1709" i="10"/>
  <c r="AB1708" i="10"/>
  <c r="AB1707" i="10"/>
  <c r="AB1706" i="10"/>
  <c r="AB1705" i="10"/>
  <c r="AB1704" i="10"/>
  <c r="AB1703" i="10"/>
  <c r="AB1702" i="10"/>
  <c r="AB1701" i="10"/>
  <c r="AB1700" i="10"/>
  <c r="AB1699" i="10"/>
  <c r="AB1698" i="10"/>
  <c r="AB1697" i="10"/>
  <c r="AB1696" i="10"/>
  <c r="AB1695" i="10"/>
  <c r="AB1694" i="10"/>
  <c r="AB1693" i="10"/>
  <c r="AB1692" i="10"/>
  <c r="AB1691" i="10"/>
  <c r="AB1690" i="10"/>
  <c r="AB1689" i="10"/>
  <c r="AB1688" i="10"/>
  <c r="AB1687" i="10"/>
  <c r="AB1686" i="10"/>
  <c r="AB1685" i="10"/>
  <c r="AB1684" i="10"/>
  <c r="AB1683" i="10"/>
  <c r="AB1682" i="10"/>
  <c r="AB1681" i="10"/>
  <c r="AB1680" i="10"/>
  <c r="AB1679" i="10"/>
  <c r="AB1678" i="10"/>
  <c r="AB1677" i="10"/>
  <c r="AB1676" i="10"/>
  <c r="AB1675" i="10"/>
  <c r="AB1674" i="10"/>
  <c r="AB1673" i="10"/>
  <c r="AB1672" i="10"/>
  <c r="AB1671" i="10"/>
  <c r="AB1670" i="10"/>
  <c r="AB1669" i="10"/>
  <c r="AB1668" i="10"/>
  <c r="AB1667" i="10"/>
  <c r="AB1666" i="10"/>
  <c r="AB1665" i="10"/>
  <c r="AB1664" i="10"/>
  <c r="AB1663" i="10"/>
  <c r="AB1662" i="10"/>
  <c r="AB1661" i="10"/>
  <c r="AB1660" i="10"/>
  <c r="AB1659" i="10"/>
  <c r="AB1658" i="10"/>
  <c r="AB1657" i="10"/>
  <c r="AB1656" i="10"/>
  <c r="AB1655" i="10"/>
  <c r="AB1654" i="10"/>
  <c r="AB1653" i="10"/>
  <c r="AB1652" i="10"/>
  <c r="AB1651" i="10"/>
  <c r="AB1650" i="10"/>
  <c r="AB1649" i="10"/>
  <c r="AB1648" i="10"/>
  <c r="AB1647" i="10"/>
  <c r="AB1646" i="10"/>
  <c r="AB1645" i="10"/>
  <c r="AB1644" i="10"/>
  <c r="AB1643" i="10"/>
  <c r="AB1642" i="10"/>
  <c r="AB1641" i="10"/>
  <c r="AB1640" i="10"/>
  <c r="AB1639" i="10"/>
  <c r="AB1638" i="10"/>
  <c r="AB1637" i="10"/>
  <c r="AB1636" i="10"/>
  <c r="AB1635" i="10"/>
  <c r="AB1634" i="10"/>
  <c r="AB1633" i="10"/>
  <c r="AB1632" i="10"/>
  <c r="AB1631" i="10"/>
  <c r="AB1630" i="10"/>
  <c r="AB1629" i="10"/>
  <c r="AB1628" i="10"/>
  <c r="AB1627" i="10"/>
  <c r="AB1626" i="10"/>
  <c r="AB1625" i="10"/>
  <c r="AB1624" i="10"/>
  <c r="AB1623" i="10"/>
  <c r="AB1622" i="10"/>
  <c r="AB1621" i="10"/>
  <c r="AB1620" i="10"/>
  <c r="AB1619" i="10"/>
  <c r="AB1618" i="10"/>
  <c r="AB1617" i="10"/>
  <c r="AB1616" i="10"/>
  <c r="AB1615" i="10"/>
  <c r="AB1614" i="10"/>
  <c r="AB1613" i="10"/>
  <c r="AB1612" i="10"/>
  <c r="AB1611" i="10"/>
  <c r="AB1610" i="10"/>
  <c r="AB1609" i="10"/>
  <c r="AB1608" i="10"/>
  <c r="AB1607" i="10"/>
  <c r="AB1606" i="10"/>
  <c r="AB1605" i="10"/>
  <c r="AB1604" i="10"/>
  <c r="AB1603" i="10"/>
  <c r="AB1602" i="10"/>
  <c r="AB1601" i="10"/>
  <c r="AB1600" i="10"/>
  <c r="AB1599" i="10"/>
  <c r="AB1598" i="10"/>
  <c r="AB1597" i="10"/>
  <c r="AB1596" i="10"/>
  <c r="AB1595" i="10"/>
  <c r="AB1594" i="10"/>
  <c r="AB1593" i="10"/>
  <c r="AB1592" i="10"/>
  <c r="AB1591" i="10"/>
  <c r="AB1590" i="10"/>
  <c r="AB1589" i="10"/>
  <c r="AB1588" i="10"/>
  <c r="AB1587" i="10"/>
  <c r="AB1586" i="10"/>
  <c r="AB1585" i="10"/>
  <c r="AB1584" i="10"/>
  <c r="AB1583" i="10"/>
  <c r="AB1582" i="10"/>
  <c r="AB1581" i="10"/>
  <c r="AB1580" i="10"/>
  <c r="AB1579" i="10"/>
  <c r="AB1578" i="10"/>
  <c r="AB1577" i="10"/>
  <c r="AB1576" i="10"/>
  <c r="AB1575" i="10"/>
  <c r="AB1574" i="10"/>
  <c r="AB1573" i="10"/>
  <c r="AB1572" i="10"/>
  <c r="AB1571" i="10"/>
  <c r="AB1570" i="10"/>
  <c r="AB1569" i="10"/>
  <c r="AB1568" i="10"/>
  <c r="AB1567" i="10"/>
  <c r="AB1566" i="10"/>
  <c r="AB1565" i="10"/>
  <c r="AB1564" i="10"/>
  <c r="AB1563" i="10"/>
  <c r="AB1562" i="10"/>
  <c r="AB1561" i="10"/>
  <c r="AB1560" i="10"/>
  <c r="AB1559" i="10"/>
  <c r="AB1558" i="10"/>
  <c r="AB1557" i="10"/>
  <c r="AB1556" i="10"/>
  <c r="AB1555" i="10"/>
  <c r="AB1554" i="10"/>
  <c r="AB1553" i="10"/>
  <c r="AB1552" i="10"/>
  <c r="AB1551" i="10"/>
  <c r="AB1550" i="10"/>
  <c r="AB1549" i="10"/>
  <c r="AB1548" i="10"/>
  <c r="AB1547" i="10"/>
  <c r="AB1546" i="10"/>
  <c r="AB1545" i="10"/>
  <c r="AB1544" i="10"/>
  <c r="AB1543" i="10"/>
  <c r="AB1542" i="10"/>
  <c r="AB1541" i="10"/>
  <c r="AB1540" i="10"/>
  <c r="AB1539" i="10"/>
  <c r="AB1538" i="10"/>
  <c r="AB1537" i="10"/>
  <c r="AB1536" i="10"/>
  <c r="AB1535" i="10"/>
  <c r="AB1534" i="10"/>
  <c r="AB1533" i="10"/>
  <c r="AB1532" i="10"/>
  <c r="AB1531" i="10"/>
  <c r="AB1530" i="10"/>
  <c r="AB1529" i="10"/>
  <c r="AB1528" i="10"/>
  <c r="AB1527" i="10"/>
  <c r="AB1526" i="10"/>
  <c r="AB1525" i="10"/>
  <c r="AB1524" i="10"/>
  <c r="AB1523" i="10"/>
  <c r="AB1522" i="10"/>
  <c r="AB1521" i="10"/>
  <c r="AB1520" i="10"/>
  <c r="AB1519" i="10"/>
  <c r="AB1518" i="10"/>
  <c r="AB1517" i="10"/>
  <c r="AB1516" i="10"/>
  <c r="AB1515" i="10"/>
  <c r="AB1514" i="10"/>
  <c r="AB1513" i="10"/>
  <c r="AB1512" i="10"/>
  <c r="AB1511" i="10"/>
  <c r="AB1510" i="10"/>
  <c r="AB1509" i="10"/>
  <c r="AB1508" i="10"/>
  <c r="AB1507" i="10"/>
  <c r="AB1506" i="10"/>
  <c r="AB1505" i="10"/>
  <c r="AB1504" i="10"/>
  <c r="AB1503" i="10"/>
  <c r="AB1502" i="10"/>
  <c r="AB1501" i="10"/>
  <c r="AB1500" i="10"/>
  <c r="AB1499" i="10"/>
  <c r="AB1498" i="10"/>
  <c r="AB1497" i="10"/>
  <c r="AB1496" i="10"/>
  <c r="AB1495" i="10"/>
  <c r="AB1494" i="10"/>
  <c r="AB1493" i="10"/>
  <c r="AB1492" i="10"/>
  <c r="AB1491" i="10"/>
  <c r="AB1490" i="10"/>
  <c r="AB1489" i="10"/>
  <c r="AB1488" i="10"/>
  <c r="AB1487" i="10"/>
  <c r="AB1486" i="10"/>
  <c r="AB1485" i="10"/>
  <c r="AB1484" i="10"/>
  <c r="AB1483" i="10"/>
  <c r="AB1482" i="10"/>
  <c r="AB1481" i="10"/>
  <c r="AB1480" i="10"/>
  <c r="AB1479" i="10"/>
  <c r="AB1478" i="10"/>
  <c r="AB1477" i="10"/>
  <c r="AB1476" i="10"/>
  <c r="AB1475" i="10"/>
  <c r="AB1474" i="10"/>
  <c r="AB1473" i="10"/>
  <c r="AB1472" i="10"/>
  <c r="AB1471" i="10"/>
  <c r="AB1470" i="10"/>
  <c r="AB1469" i="10"/>
  <c r="AB1468" i="10"/>
  <c r="AB1467" i="10"/>
  <c r="AB1466" i="10"/>
  <c r="AB1465" i="10"/>
  <c r="AB1464" i="10"/>
  <c r="AB1463" i="10"/>
  <c r="AB1462" i="10"/>
  <c r="AB1461" i="10"/>
  <c r="AB1460" i="10"/>
  <c r="AB1459" i="10"/>
  <c r="AB1458" i="10"/>
  <c r="AB1457" i="10"/>
  <c r="AB1456" i="10"/>
  <c r="AB1455" i="10"/>
  <c r="AB1454" i="10"/>
  <c r="AB1453" i="10"/>
  <c r="AB1452" i="10"/>
  <c r="AB1451" i="10"/>
  <c r="AB1450" i="10"/>
  <c r="AB1449" i="10"/>
  <c r="AB1448" i="10"/>
  <c r="AB1447" i="10"/>
  <c r="AB1446" i="10"/>
  <c r="AB1445" i="10"/>
  <c r="AB1444" i="10"/>
  <c r="AB1443" i="10"/>
  <c r="AB1442" i="10"/>
  <c r="AB1441" i="10"/>
  <c r="AB1440" i="10"/>
  <c r="AB1439" i="10"/>
  <c r="AB1438" i="10"/>
  <c r="AB1437" i="10"/>
  <c r="AB1436" i="10"/>
  <c r="AB1435" i="10"/>
  <c r="AB1434" i="10"/>
  <c r="AB1433" i="10"/>
  <c r="AB1432" i="10"/>
  <c r="AB1431" i="10"/>
  <c r="AB1430" i="10"/>
  <c r="AB1429" i="10"/>
  <c r="AB1428" i="10"/>
  <c r="AB1427" i="10"/>
  <c r="AB1426" i="10"/>
  <c r="AB1425" i="10"/>
  <c r="AB1424" i="10"/>
  <c r="AB1423" i="10"/>
  <c r="AB1422" i="10"/>
  <c r="AB1421" i="10"/>
  <c r="AB1420" i="10"/>
  <c r="AB1419" i="10"/>
  <c r="AB1418" i="10"/>
  <c r="AB1417" i="10"/>
  <c r="AB1416" i="10"/>
  <c r="AB1415" i="10"/>
  <c r="AB1414" i="10"/>
  <c r="AB1413" i="10"/>
  <c r="AB1412" i="10"/>
  <c r="AB1411" i="10"/>
  <c r="AB1410" i="10"/>
  <c r="AB1409" i="10"/>
  <c r="AB1408" i="10"/>
  <c r="AB1407" i="10"/>
  <c r="AB1406" i="10"/>
  <c r="AB1405" i="10"/>
  <c r="AB1404" i="10"/>
  <c r="AB1403" i="10"/>
  <c r="AB1402" i="10"/>
  <c r="AB1401" i="10"/>
  <c r="AB1400" i="10"/>
  <c r="AB1399" i="10"/>
  <c r="AB1398" i="10"/>
  <c r="AB1397" i="10"/>
  <c r="AB1396" i="10"/>
  <c r="AB1395" i="10"/>
  <c r="AB1394" i="10"/>
  <c r="AB1393" i="10"/>
  <c r="AB1392" i="10"/>
  <c r="AB1391" i="10"/>
  <c r="AB1390" i="10"/>
  <c r="AB1389" i="10"/>
  <c r="AB1388" i="10"/>
  <c r="AB1387" i="10"/>
  <c r="AB1386" i="10"/>
  <c r="AB1385" i="10"/>
  <c r="AB1384" i="10"/>
  <c r="AB1383" i="10"/>
  <c r="AB1382" i="10"/>
  <c r="AB1381" i="10"/>
  <c r="AB1380" i="10"/>
  <c r="AB1379" i="10"/>
  <c r="AB1378" i="10"/>
  <c r="AB1377" i="10"/>
  <c r="AB1376" i="10"/>
  <c r="AB1375" i="10"/>
  <c r="AB1374" i="10"/>
  <c r="AB1373" i="10"/>
  <c r="AB1372" i="10"/>
  <c r="AB1371" i="10"/>
  <c r="AB1370" i="10"/>
  <c r="AB1369" i="10"/>
  <c r="AB1368" i="10"/>
  <c r="AB1367" i="10"/>
  <c r="AB1366" i="10"/>
  <c r="AB1365" i="10"/>
  <c r="AB1364" i="10"/>
  <c r="AB1363" i="10"/>
  <c r="AB1362" i="10"/>
  <c r="AB1361" i="10"/>
  <c r="AB1360" i="10"/>
  <c r="AB1359" i="10"/>
  <c r="AB1358" i="10"/>
  <c r="AB1357" i="10"/>
  <c r="AB1356" i="10"/>
  <c r="AB1355" i="10"/>
  <c r="AB1354" i="10"/>
  <c r="AB1353" i="10"/>
  <c r="AB1352" i="10"/>
  <c r="AB1351" i="10"/>
  <c r="AB1350" i="10"/>
  <c r="AB1349" i="10"/>
  <c r="AB1348" i="10"/>
  <c r="AB1347" i="10"/>
  <c r="AB1346" i="10"/>
  <c r="AB1345" i="10"/>
  <c r="AB1344" i="10"/>
  <c r="AB1343" i="10"/>
  <c r="AB1342" i="10"/>
  <c r="AB1341" i="10"/>
  <c r="AB1340" i="10"/>
  <c r="AB1339" i="10"/>
  <c r="AB1338" i="10"/>
  <c r="AB1337" i="10"/>
  <c r="AB1336" i="10"/>
  <c r="AB1335" i="10"/>
  <c r="AB1334" i="10"/>
  <c r="AB1333" i="10"/>
  <c r="AB1332" i="10"/>
  <c r="AB1331" i="10"/>
  <c r="AB1330" i="10"/>
  <c r="AB1329" i="10"/>
  <c r="AB1328" i="10"/>
  <c r="AB1327" i="10"/>
  <c r="AB1326" i="10"/>
  <c r="AB1325" i="10"/>
  <c r="AB1324" i="10"/>
  <c r="AB1323" i="10"/>
  <c r="AB1322" i="10"/>
  <c r="AB1321" i="10"/>
  <c r="AB1320" i="10"/>
  <c r="AB1319" i="10"/>
  <c r="AB1318" i="10"/>
  <c r="AB1317" i="10"/>
  <c r="AB1316" i="10"/>
  <c r="AB1315" i="10"/>
  <c r="AB1314" i="10"/>
  <c r="AB1313" i="10"/>
  <c r="AB1312" i="10"/>
  <c r="AB1311" i="10"/>
  <c r="AB1310" i="10"/>
  <c r="AB1309" i="10"/>
  <c r="AB1308" i="10"/>
  <c r="AB1307" i="10"/>
  <c r="AB1306" i="10"/>
  <c r="AB1305" i="10"/>
  <c r="AB1304" i="10"/>
  <c r="AB1303" i="10"/>
  <c r="AB1302" i="10"/>
  <c r="AB1301" i="10"/>
  <c r="AB1300" i="10"/>
  <c r="AB1299" i="10"/>
  <c r="AB1298" i="10"/>
  <c r="AB1297" i="10"/>
  <c r="AB1296" i="10"/>
  <c r="AB1295" i="10"/>
  <c r="AB1294" i="10"/>
  <c r="AB1293" i="10"/>
  <c r="AB1292" i="10"/>
  <c r="AB1291" i="10"/>
  <c r="AB1290" i="10"/>
  <c r="AB1289" i="10"/>
  <c r="AB1288" i="10"/>
  <c r="AB1287" i="10"/>
  <c r="AB1286" i="10"/>
  <c r="AB1285" i="10"/>
  <c r="AB1284" i="10"/>
  <c r="AB1283" i="10"/>
  <c r="AB1282" i="10"/>
  <c r="AB1281" i="10"/>
  <c r="AB1280" i="10"/>
  <c r="AB1279" i="10"/>
  <c r="AB1278" i="10"/>
  <c r="AB1277" i="10"/>
  <c r="AB1276" i="10"/>
  <c r="AB1275" i="10"/>
  <c r="AB1274" i="10"/>
  <c r="AB1273" i="10"/>
  <c r="AB1272" i="10"/>
  <c r="AB1271" i="10"/>
  <c r="AB1270" i="10"/>
  <c r="AB1269" i="10"/>
  <c r="AB1268" i="10"/>
  <c r="AB1267" i="10"/>
  <c r="AB1266" i="10"/>
  <c r="AB1265" i="10"/>
  <c r="AB1264" i="10"/>
  <c r="AB1263" i="10"/>
  <c r="AB1262" i="10"/>
  <c r="AB1261" i="10"/>
  <c r="AB1260" i="10"/>
  <c r="AB1259" i="10"/>
  <c r="AB1258" i="10"/>
  <c r="AB1257" i="10"/>
  <c r="AB1256" i="10"/>
  <c r="AB1255" i="10"/>
  <c r="AB1254" i="10"/>
  <c r="AB1253" i="10"/>
  <c r="AB1252" i="10"/>
  <c r="AB1251" i="10"/>
  <c r="AB1250" i="10"/>
  <c r="AB1249" i="10"/>
  <c r="AB1248" i="10"/>
  <c r="AB1247" i="10"/>
  <c r="AB1246" i="10"/>
  <c r="AB1245" i="10"/>
  <c r="AB1244" i="10"/>
  <c r="AB1243" i="10"/>
  <c r="AB1242" i="10"/>
  <c r="AB1241" i="10"/>
  <c r="AB1240" i="10"/>
  <c r="AB1239" i="10"/>
  <c r="AB1238" i="10"/>
  <c r="AB1237" i="10"/>
  <c r="AB1236" i="10"/>
  <c r="AB1235" i="10"/>
  <c r="AB1234" i="10"/>
  <c r="AB1233" i="10"/>
  <c r="AB1232" i="10"/>
  <c r="AB1231" i="10"/>
  <c r="AB1230" i="10"/>
  <c r="AB1229" i="10"/>
  <c r="AB1228" i="10"/>
  <c r="AB1227" i="10"/>
  <c r="AB1226" i="10"/>
  <c r="AB1225" i="10"/>
  <c r="AB1224" i="10"/>
  <c r="AB1223" i="10"/>
  <c r="AB1222" i="10"/>
  <c r="AB1221" i="10"/>
  <c r="AB1220" i="10"/>
  <c r="AB1219" i="10"/>
  <c r="AB1218" i="10"/>
  <c r="AB1217" i="10"/>
  <c r="AB1216" i="10"/>
  <c r="AB1215" i="10"/>
  <c r="AB1214" i="10"/>
  <c r="AB1213" i="10"/>
  <c r="AB1212" i="10"/>
  <c r="AB1211" i="10"/>
  <c r="AB1210" i="10"/>
  <c r="AB1209" i="10"/>
  <c r="AB1208" i="10"/>
  <c r="AB1207" i="10"/>
  <c r="AB1206" i="10"/>
  <c r="AB1205" i="10"/>
  <c r="AB1204" i="10"/>
  <c r="AB1203" i="10"/>
  <c r="AB1202" i="10"/>
  <c r="AB1201" i="10"/>
  <c r="AB1200" i="10"/>
  <c r="AB1199" i="10"/>
  <c r="AB1198" i="10"/>
  <c r="AB1197" i="10"/>
  <c r="AB1196" i="10"/>
  <c r="AB1195" i="10"/>
  <c r="AB1194" i="10"/>
  <c r="AB1193" i="10"/>
  <c r="AB1192" i="10"/>
  <c r="AB1191" i="10"/>
  <c r="AB1190" i="10"/>
  <c r="AB1189" i="10"/>
  <c r="AB1188" i="10"/>
  <c r="AB1187" i="10"/>
  <c r="AB1186" i="10"/>
  <c r="AB1185" i="10"/>
  <c r="AB1184" i="10"/>
  <c r="AB1183" i="10"/>
  <c r="AB1182" i="10"/>
  <c r="AB1181" i="10"/>
  <c r="AB1180" i="10"/>
  <c r="AB1179" i="10"/>
  <c r="AB1178" i="10"/>
  <c r="AB1177" i="10"/>
  <c r="AB1176" i="10"/>
  <c r="AB1175" i="10"/>
  <c r="AB1174" i="10"/>
  <c r="AB1173" i="10"/>
  <c r="AB1172" i="10"/>
  <c r="AB1171" i="10"/>
  <c r="AB1170" i="10"/>
  <c r="AB1169" i="10"/>
  <c r="AB1168" i="10"/>
  <c r="AB1167" i="10"/>
  <c r="AB1166" i="10"/>
  <c r="AB1165" i="10"/>
  <c r="AB1164" i="10"/>
  <c r="AB1163" i="10"/>
  <c r="AB1162" i="10"/>
  <c r="AB1161" i="10"/>
  <c r="AB1160" i="10"/>
  <c r="AB1159" i="10"/>
  <c r="AB1158" i="10"/>
  <c r="AB1157" i="10"/>
  <c r="AB1156" i="10"/>
  <c r="AB1155" i="10"/>
  <c r="AB1154" i="10"/>
  <c r="AB1153" i="10"/>
  <c r="AB1152" i="10"/>
  <c r="AB1151" i="10"/>
  <c r="AB1150" i="10"/>
  <c r="AB1149" i="10"/>
  <c r="AB1148" i="10"/>
  <c r="AB1147" i="10"/>
  <c r="AB1146" i="10"/>
  <c r="AB1145" i="10"/>
  <c r="AB1144" i="10"/>
  <c r="AB1143" i="10"/>
  <c r="AB1142" i="10"/>
  <c r="AB1141" i="10"/>
  <c r="AB1140" i="10"/>
  <c r="AB1139" i="10"/>
  <c r="AB1138" i="10"/>
  <c r="AB1137" i="10"/>
  <c r="AB1136" i="10"/>
  <c r="AB1135" i="10"/>
  <c r="AB1134" i="10"/>
  <c r="AB1133" i="10"/>
  <c r="AB1132" i="10"/>
  <c r="AB1131" i="10"/>
  <c r="AB1130" i="10"/>
  <c r="AB1129" i="10"/>
  <c r="AB1128" i="10"/>
  <c r="AB1127" i="10"/>
  <c r="AB1126" i="10"/>
  <c r="AB1125" i="10"/>
  <c r="AB1124" i="10"/>
  <c r="AB1123" i="10"/>
  <c r="AB1122" i="10"/>
  <c r="AB1121" i="10"/>
  <c r="AB1120" i="10"/>
  <c r="AB1119" i="10"/>
  <c r="AB1118" i="10"/>
  <c r="AB1117" i="10"/>
  <c r="AB1116" i="10"/>
  <c r="AB1115" i="10"/>
  <c r="AB1114" i="10"/>
  <c r="AB1113" i="10"/>
  <c r="AB1112" i="10"/>
  <c r="AB1111" i="10"/>
  <c r="AB1110" i="10"/>
  <c r="AB1109" i="10"/>
  <c r="AB1108" i="10"/>
  <c r="AB1107" i="10"/>
  <c r="AB1106" i="10"/>
  <c r="AB1105" i="10"/>
  <c r="AB1104" i="10"/>
  <c r="AB1103" i="10"/>
  <c r="AB1102" i="10"/>
  <c r="AB1101" i="10"/>
  <c r="AB1100" i="10"/>
  <c r="AB1099" i="10"/>
  <c r="AB1098" i="10"/>
  <c r="AB1097" i="10"/>
  <c r="AB1096" i="10"/>
  <c r="AB1095" i="10"/>
  <c r="AB1094" i="10"/>
  <c r="AB1093" i="10"/>
  <c r="AB1092" i="10"/>
  <c r="AB1091" i="10"/>
  <c r="AB1090" i="10"/>
  <c r="AB1089" i="10"/>
  <c r="AB1088" i="10"/>
  <c r="AB1087" i="10"/>
  <c r="AB1086" i="10"/>
  <c r="AB1085" i="10"/>
  <c r="AB1084" i="10"/>
  <c r="AB1083" i="10"/>
  <c r="AB1082" i="10"/>
  <c r="AB1081" i="10"/>
  <c r="AB1080" i="10"/>
  <c r="AB1079" i="10"/>
  <c r="AB1078" i="10"/>
  <c r="AB1077" i="10"/>
  <c r="AB1076" i="10"/>
  <c r="AB1075" i="10"/>
  <c r="AB1074" i="10"/>
  <c r="AB1073" i="10"/>
  <c r="AB1072" i="10"/>
  <c r="AB1071" i="10"/>
  <c r="AB1070" i="10"/>
  <c r="AB1069" i="10"/>
  <c r="AB1068" i="10"/>
  <c r="AB1067" i="10"/>
  <c r="AB1066" i="10"/>
  <c r="AB1065" i="10"/>
  <c r="AB1064" i="10"/>
  <c r="AB1063" i="10"/>
  <c r="AB1062" i="10"/>
  <c r="AB1061" i="10"/>
  <c r="AB1060" i="10"/>
  <c r="AB1059" i="10"/>
  <c r="AB1058" i="10"/>
  <c r="AB1057" i="10"/>
  <c r="AB1056" i="10"/>
  <c r="AB1055" i="10"/>
  <c r="AB1054" i="10"/>
  <c r="AB1053" i="10"/>
  <c r="AB1052" i="10"/>
  <c r="AB1051" i="10"/>
  <c r="AB1050" i="10"/>
  <c r="AB1049" i="10"/>
  <c r="AB1048" i="10"/>
  <c r="AB1047" i="10"/>
  <c r="AB1046" i="10"/>
  <c r="AB1045" i="10"/>
  <c r="AB1044" i="10"/>
  <c r="AB1043" i="10"/>
  <c r="AB1042" i="10"/>
  <c r="AB1041" i="10"/>
  <c r="AB1040" i="10"/>
  <c r="AB1039" i="10"/>
  <c r="AB1038" i="10"/>
  <c r="AB1037" i="10"/>
  <c r="AB1036" i="10"/>
  <c r="AB1035" i="10"/>
  <c r="AB1034" i="10"/>
  <c r="AB1033" i="10"/>
  <c r="AB1032" i="10"/>
  <c r="AB1031" i="10"/>
  <c r="AB1030" i="10"/>
  <c r="AB1029" i="10"/>
  <c r="AB1028" i="10"/>
  <c r="AB1027" i="10"/>
  <c r="AB1026" i="10"/>
  <c r="AB1025" i="10"/>
  <c r="AB1024" i="10"/>
  <c r="AB1023" i="10"/>
  <c r="AB1022" i="10"/>
  <c r="AB1021" i="10"/>
  <c r="AB1020" i="10"/>
  <c r="AB1019" i="10"/>
  <c r="AB1018" i="10"/>
  <c r="AB1017" i="10"/>
  <c r="AB1016" i="10"/>
  <c r="AB1015" i="10"/>
  <c r="AB1014" i="10"/>
  <c r="AB1013" i="10"/>
  <c r="AB1012" i="10"/>
  <c r="AB1011" i="10"/>
  <c r="AB1010" i="10"/>
  <c r="AB1009" i="10"/>
  <c r="AB1008" i="10"/>
  <c r="AB1007" i="10"/>
  <c r="AB1006" i="10"/>
  <c r="AB1005" i="10"/>
  <c r="AB1004" i="10"/>
  <c r="AB1003" i="10"/>
  <c r="AB1002" i="10"/>
  <c r="AB1001" i="10"/>
  <c r="AB1000" i="10"/>
  <c r="AB999" i="10"/>
  <c r="AB998" i="10"/>
  <c r="AB997" i="10"/>
  <c r="AB996" i="10"/>
  <c r="AB995" i="10"/>
  <c r="AB994" i="10"/>
  <c r="AB993" i="10"/>
  <c r="AB992" i="10"/>
  <c r="AB991" i="10"/>
  <c r="AB990" i="10"/>
  <c r="AB989" i="10"/>
  <c r="AB988" i="10"/>
  <c r="AB987" i="10"/>
  <c r="AB986" i="10"/>
  <c r="AB985" i="10"/>
  <c r="AB984" i="10"/>
  <c r="AB983" i="10"/>
  <c r="AB982" i="10"/>
  <c r="AB981" i="10"/>
  <c r="AB980" i="10"/>
  <c r="AB979" i="10"/>
  <c r="AB978" i="10"/>
  <c r="AB977" i="10"/>
  <c r="AB976" i="10"/>
  <c r="AB975" i="10"/>
  <c r="AB974" i="10"/>
  <c r="AB973" i="10"/>
  <c r="AB972" i="10"/>
  <c r="AB971" i="10"/>
  <c r="AB970" i="10"/>
  <c r="AB969" i="10"/>
  <c r="AB968" i="10"/>
  <c r="AB967" i="10"/>
  <c r="AB966" i="10"/>
  <c r="AB965" i="10"/>
  <c r="AB964" i="10"/>
  <c r="AB963" i="10"/>
  <c r="AB962" i="10"/>
  <c r="AB961" i="10"/>
  <c r="AB960" i="10"/>
  <c r="AB959" i="10"/>
  <c r="AB958" i="10"/>
  <c r="AB957" i="10"/>
  <c r="AB956" i="10"/>
  <c r="AB955" i="10"/>
  <c r="AB954" i="10"/>
  <c r="AB953" i="10"/>
  <c r="AB952" i="10"/>
  <c r="AB951" i="10"/>
  <c r="AB950" i="10"/>
  <c r="AB949" i="10"/>
  <c r="AB948" i="10"/>
  <c r="AB947" i="10"/>
  <c r="AB946" i="10"/>
  <c r="AB945" i="10"/>
  <c r="AB944" i="10"/>
  <c r="AB943" i="10"/>
  <c r="AB942" i="10"/>
  <c r="AB941" i="10"/>
  <c r="AB940" i="10"/>
  <c r="AB939" i="10"/>
  <c r="AB938" i="10"/>
  <c r="AB937" i="10"/>
  <c r="AB936" i="10"/>
  <c r="AB935" i="10"/>
  <c r="AB934" i="10"/>
  <c r="AB933" i="10"/>
  <c r="AB932" i="10"/>
  <c r="AB931" i="10"/>
  <c r="AB930" i="10"/>
  <c r="AB929" i="10"/>
  <c r="AB928" i="10"/>
  <c r="AB927" i="10"/>
  <c r="AB926" i="10"/>
  <c r="AB925" i="10"/>
  <c r="AB924" i="10"/>
  <c r="AB923" i="10"/>
  <c r="AB922" i="10"/>
  <c r="AB921" i="10"/>
  <c r="AB920" i="10"/>
  <c r="AB919" i="10"/>
  <c r="AB918" i="10"/>
  <c r="AB917" i="10"/>
  <c r="AB916" i="10"/>
  <c r="AB915" i="10"/>
  <c r="AB914" i="10"/>
  <c r="AB913" i="10"/>
  <c r="AB912" i="10"/>
  <c r="AB911" i="10"/>
  <c r="AB910" i="10"/>
  <c r="AB909" i="10"/>
  <c r="AB908" i="10"/>
  <c r="AB907" i="10"/>
  <c r="AB906" i="10"/>
  <c r="AB905" i="10"/>
  <c r="AB904" i="10"/>
  <c r="AB903" i="10"/>
  <c r="AB902" i="10"/>
  <c r="AB901" i="10"/>
  <c r="AB900" i="10"/>
  <c r="AB899" i="10"/>
  <c r="AB898" i="10"/>
  <c r="AB897" i="10"/>
  <c r="AB896" i="10"/>
  <c r="AB895" i="10"/>
  <c r="AB894" i="10"/>
  <c r="AB893" i="10"/>
  <c r="AB892" i="10"/>
  <c r="AB891" i="10"/>
  <c r="AB890" i="10"/>
  <c r="AB889" i="10"/>
  <c r="AB888" i="10"/>
  <c r="AB887" i="10"/>
  <c r="AB886" i="10"/>
  <c r="AB885" i="10"/>
  <c r="AB884" i="10"/>
  <c r="AB883" i="10"/>
  <c r="AB882" i="10"/>
  <c r="AB881" i="10"/>
  <c r="AB880" i="10"/>
  <c r="AB879" i="10"/>
  <c r="AB878" i="10"/>
  <c r="AB877" i="10"/>
  <c r="AB876" i="10"/>
  <c r="AB875" i="10"/>
  <c r="AB874" i="10"/>
  <c r="AB873" i="10"/>
  <c r="AB872" i="10"/>
  <c r="AB871" i="10"/>
  <c r="AB870" i="10"/>
  <c r="AB869" i="10"/>
  <c r="AB868" i="10"/>
  <c r="AB867" i="10"/>
  <c r="AB866" i="10"/>
  <c r="AB865" i="10"/>
  <c r="AB864" i="10"/>
  <c r="AB863" i="10"/>
  <c r="AB862" i="10"/>
  <c r="AB861" i="10"/>
  <c r="AB860" i="10"/>
  <c r="AB859" i="10"/>
  <c r="AB858" i="10"/>
  <c r="AB857" i="10"/>
  <c r="AB856" i="10"/>
  <c r="AB855" i="10"/>
  <c r="AB854" i="10"/>
  <c r="AB853" i="10"/>
  <c r="AB852" i="10"/>
  <c r="AB851" i="10"/>
  <c r="AB850" i="10"/>
  <c r="AB849" i="10"/>
  <c r="AB848" i="10"/>
  <c r="AB847" i="10"/>
  <c r="AB846" i="10"/>
  <c r="AB845" i="10"/>
  <c r="AB844" i="10"/>
  <c r="AB843" i="10"/>
  <c r="AB842" i="10"/>
  <c r="AB841" i="10"/>
  <c r="AB840" i="10"/>
  <c r="AB839" i="10"/>
  <c r="AB838" i="10"/>
  <c r="AB837" i="10"/>
  <c r="AB836" i="10"/>
  <c r="AB835" i="10"/>
  <c r="AB834" i="10"/>
  <c r="AB833" i="10"/>
  <c r="AB832" i="10"/>
  <c r="AB831" i="10"/>
  <c r="AB830" i="10"/>
  <c r="AB829" i="10"/>
  <c r="AB828" i="10"/>
  <c r="AB827" i="10"/>
  <c r="AB826" i="10"/>
  <c r="AB825" i="10"/>
  <c r="AB824" i="10"/>
  <c r="AB823" i="10"/>
  <c r="AB822" i="10"/>
  <c r="AB821" i="10"/>
  <c r="AB820" i="10"/>
  <c r="AB819" i="10"/>
  <c r="AB818" i="10"/>
  <c r="AB817" i="10"/>
  <c r="AB816" i="10"/>
  <c r="AB815" i="10"/>
  <c r="AB814" i="10"/>
  <c r="AB813" i="10"/>
  <c r="AB812" i="10"/>
  <c r="AB811" i="10"/>
  <c r="AB810" i="10"/>
  <c r="AB809" i="10"/>
  <c r="AB808" i="10"/>
  <c r="AB807" i="10"/>
  <c r="AB806" i="10"/>
  <c r="AB805" i="10"/>
  <c r="AB804" i="10"/>
  <c r="AB803" i="10"/>
  <c r="AB802" i="10"/>
  <c r="AB801" i="10"/>
  <c r="AB800" i="10"/>
  <c r="AB799" i="10"/>
  <c r="AB798" i="10"/>
  <c r="AB797" i="10"/>
  <c r="AB796" i="10"/>
  <c r="AB795" i="10"/>
  <c r="AB794" i="10"/>
  <c r="AB793" i="10"/>
  <c r="AB792" i="10"/>
  <c r="AB791" i="10"/>
  <c r="AB790" i="10"/>
  <c r="AB789" i="10"/>
  <c r="AB788" i="10"/>
  <c r="AB787" i="10"/>
  <c r="AB786" i="10"/>
  <c r="AB785" i="10"/>
  <c r="AB784" i="10"/>
  <c r="AB783" i="10"/>
  <c r="AB782" i="10"/>
  <c r="AB781" i="10"/>
  <c r="AB780" i="10"/>
  <c r="AB779" i="10"/>
  <c r="AB778" i="10"/>
  <c r="AB777" i="10"/>
  <c r="AB776" i="10"/>
  <c r="AB775" i="10"/>
  <c r="AB774" i="10"/>
  <c r="AB773" i="10"/>
  <c r="AB772" i="10"/>
  <c r="AB771" i="10"/>
  <c r="AB770" i="10"/>
  <c r="AB769" i="10"/>
  <c r="AB768" i="10"/>
  <c r="AB767" i="10"/>
  <c r="AB766" i="10"/>
  <c r="AB765" i="10"/>
  <c r="AB764" i="10"/>
  <c r="AB763" i="10"/>
  <c r="AB762" i="10"/>
  <c r="AB761" i="10"/>
  <c r="AB760" i="10"/>
  <c r="Q28" i="15"/>
  <c r="Q27" i="15"/>
  <c r="Q26" i="15"/>
  <c r="Q25" i="15"/>
  <c r="Q24" i="15"/>
  <c r="Q23" i="15"/>
  <c r="Q22" i="15"/>
  <c r="Q21" i="15"/>
  <c r="Q20" i="15"/>
  <c r="Q19" i="15"/>
  <c r="Q18" i="15"/>
  <c r="Q17" i="15"/>
  <c r="Q16" i="15"/>
  <c r="Q15" i="15"/>
  <c r="Q14" i="15"/>
  <c r="Q13" i="15"/>
  <c r="Q12" i="15"/>
  <c r="Q11" i="15"/>
  <c r="Q10" i="15"/>
  <c r="Q9" i="15"/>
  <c r="Q8" i="15"/>
  <c r="Q7" i="15"/>
  <c r="Q6" i="15"/>
  <c r="Q5" i="15"/>
  <c r="Q4" i="15"/>
  <c r="P28" i="15"/>
  <c r="P27" i="15"/>
  <c r="P26" i="15"/>
  <c r="P25" i="15"/>
  <c r="P24" i="15"/>
  <c r="P23" i="15"/>
  <c r="P22" i="15"/>
  <c r="P21" i="15"/>
  <c r="P20" i="15"/>
  <c r="P19" i="15"/>
  <c r="P18" i="15"/>
  <c r="P17" i="15"/>
  <c r="P16" i="15"/>
  <c r="P15" i="15"/>
  <c r="P14" i="15"/>
  <c r="P13" i="15"/>
  <c r="P12" i="15"/>
  <c r="P11" i="15"/>
  <c r="P10" i="15"/>
  <c r="P9" i="15"/>
  <c r="P8" i="15"/>
  <c r="P7" i="15"/>
  <c r="P6" i="15"/>
  <c r="P5" i="15"/>
  <c r="P4" i="15"/>
  <c r="J28" i="15"/>
  <c r="J27" i="15"/>
  <c r="J26" i="15"/>
  <c r="J25" i="15"/>
  <c r="J24" i="15"/>
  <c r="J23" i="15"/>
  <c r="J22" i="15"/>
  <c r="J21" i="15"/>
  <c r="J20" i="15"/>
  <c r="J19" i="15"/>
  <c r="J18" i="15"/>
  <c r="J17" i="15"/>
  <c r="J16" i="15"/>
  <c r="J15" i="15"/>
  <c r="J14" i="15"/>
  <c r="J13" i="15"/>
  <c r="J12" i="15"/>
  <c r="J11" i="15"/>
  <c r="J10" i="15"/>
  <c r="J9" i="15"/>
  <c r="J8" i="15"/>
  <c r="J7" i="15"/>
  <c r="J6" i="15"/>
  <c r="J5" i="15"/>
  <c r="J4" i="15"/>
  <c r="H28" i="15"/>
  <c r="H27" i="15"/>
  <c r="H26" i="15"/>
  <c r="H25" i="15"/>
  <c r="H24" i="15"/>
  <c r="H23" i="15"/>
  <c r="H22" i="15"/>
  <c r="H21" i="15"/>
  <c r="H20" i="15"/>
  <c r="H19" i="15"/>
  <c r="H18" i="15"/>
  <c r="H17" i="15"/>
  <c r="H16" i="15"/>
  <c r="H15" i="15"/>
  <c r="H14" i="15"/>
  <c r="H13" i="15"/>
  <c r="H12" i="15"/>
  <c r="H11" i="15"/>
  <c r="H10" i="15"/>
  <c r="H9" i="15"/>
  <c r="H8" i="15"/>
  <c r="H7" i="15"/>
  <c r="H6" i="15"/>
  <c r="H5" i="15"/>
  <c r="H4" i="15"/>
  <c r="F760" i="10" l="1"/>
  <c r="F761" i="10"/>
  <c r="F762" i="10"/>
  <c r="F763" i="10"/>
  <c r="F764" i="10"/>
  <c r="F765" i="10"/>
  <c r="F766" i="10"/>
  <c r="F767" i="10"/>
  <c r="F768" i="10"/>
  <c r="F769" i="10"/>
  <c r="F770" i="10"/>
  <c r="F771" i="10"/>
  <c r="F772" i="10"/>
  <c r="F773" i="10"/>
  <c r="F774" i="10"/>
  <c r="F775" i="10"/>
  <c r="F776" i="10"/>
  <c r="F777" i="10"/>
  <c r="F778" i="10"/>
  <c r="F779" i="10"/>
  <c r="F780" i="10"/>
  <c r="F781" i="10"/>
  <c r="F782" i="10"/>
  <c r="F783" i="10"/>
  <c r="F784" i="10"/>
  <c r="F785" i="10"/>
  <c r="F786" i="10"/>
  <c r="F787" i="10"/>
  <c r="F788" i="10"/>
  <c r="F789" i="10"/>
  <c r="F790" i="10"/>
  <c r="F791" i="10"/>
  <c r="F792" i="10"/>
  <c r="F793" i="10"/>
  <c r="F794" i="10"/>
  <c r="F795" i="10"/>
  <c r="F796" i="10"/>
  <c r="F797" i="10"/>
  <c r="F798" i="10"/>
  <c r="F799" i="10"/>
  <c r="F800" i="10"/>
  <c r="F801" i="10"/>
  <c r="F802" i="10"/>
  <c r="F803" i="10"/>
  <c r="F804" i="10"/>
  <c r="F805" i="10"/>
  <c r="F806" i="10"/>
  <c r="F807" i="10"/>
  <c r="F808" i="10"/>
  <c r="F809" i="10"/>
  <c r="F810" i="10"/>
  <c r="F811" i="10"/>
  <c r="F812" i="10"/>
  <c r="F813" i="10"/>
  <c r="AE813" i="10" s="1"/>
  <c r="F814" i="10"/>
  <c r="F815" i="10"/>
  <c r="F816" i="10"/>
  <c r="F817" i="10"/>
  <c r="F818" i="10"/>
  <c r="F819" i="10"/>
  <c r="F820" i="10"/>
  <c r="F821" i="10"/>
  <c r="F822" i="10"/>
  <c r="F823" i="10"/>
  <c r="F824" i="10"/>
  <c r="F825" i="10"/>
  <c r="F826" i="10"/>
  <c r="F827" i="10"/>
  <c r="F828" i="10"/>
  <c r="F829" i="10"/>
  <c r="F830" i="10"/>
  <c r="F831" i="10"/>
  <c r="F832" i="10"/>
  <c r="F833" i="10"/>
  <c r="F834" i="10"/>
  <c r="F835" i="10"/>
  <c r="F836" i="10"/>
  <c r="F837" i="10"/>
  <c r="F838" i="10"/>
  <c r="F839" i="10"/>
  <c r="F840" i="10"/>
  <c r="F841" i="10"/>
  <c r="F842" i="10"/>
  <c r="F843" i="10"/>
  <c r="F844" i="10"/>
  <c r="F845" i="10"/>
  <c r="F846" i="10"/>
  <c r="F847" i="10"/>
  <c r="F848" i="10"/>
  <c r="F849" i="10"/>
  <c r="F850" i="10"/>
  <c r="F851" i="10"/>
  <c r="F852" i="10"/>
  <c r="F853" i="10"/>
  <c r="F854" i="10"/>
  <c r="F855" i="10"/>
  <c r="F856" i="10"/>
  <c r="F857" i="10"/>
  <c r="F858" i="10"/>
  <c r="F859" i="10"/>
  <c r="F860" i="10"/>
  <c r="F861" i="10"/>
  <c r="F862" i="10"/>
  <c r="F863" i="10"/>
  <c r="F864" i="10"/>
  <c r="F865" i="10"/>
  <c r="F866" i="10"/>
  <c r="F867" i="10"/>
  <c r="F868" i="10"/>
  <c r="F869" i="10"/>
  <c r="F870" i="10"/>
  <c r="F871" i="10"/>
  <c r="F872" i="10"/>
  <c r="F873" i="10"/>
  <c r="F874" i="10"/>
  <c r="F875" i="10"/>
  <c r="F876" i="10"/>
  <c r="F877" i="10"/>
  <c r="F878" i="10"/>
  <c r="F879" i="10"/>
  <c r="F880" i="10"/>
  <c r="F881" i="10"/>
  <c r="F882" i="10"/>
  <c r="F883" i="10"/>
  <c r="F884" i="10"/>
  <c r="F885" i="10"/>
  <c r="F886" i="10"/>
  <c r="F887" i="10"/>
  <c r="F888" i="10"/>
  <c r="F889" i="10"/>
  <c r="F890" i="10"/>
  <c r="F891" i="10"/>
  <c r="F892" i="10"/>
  <c r="F893" i="10"/>
  <c r="F894" i="10"/>
  <c r="F895" i="10"/>
  <c r="F896" i="10"/>
  <c r="F897" i="10"/>
  <c r="F898" i="10"/>
  <c r="F899" i="10"/>
  <c r="F900" i="10"/>
  <c r="F901" i="10"/>
  <c r="F902" i="10"/>
  <c r="F903" i="10"/>
  <c r="F904" i="10"/>
  <c r="F905" i="10"/>
  <c r="F906" i="10"/>
  <c r="F907" i="10"/>
  <c r="F908" i="10"/>
  <c r="F909" i="10"/>
  <c r="F910" i="10"/>
  <c r="F911" i="10"/>
  <c r="F912" i="10"/>
  <c r="F913" i="10"/>
  <c r="F914" i="10"/>
  <c r="F915" i="10"/>
  <c r="F916" i="10"/>
  <c r="F917" i="10"/>
  <c r="F918" i="10"/>
  <c r="F919" i="10"/>
  <c r="F920" i="10"/>
  <c r="F921" i="10"/>
  <c r="F922" i="10"/>
  <c r="F923" i="10"/>
  <c r="F924" i="10"/>
  <c r="F925" i="10"/>
  <c r="F926" i="10"/>
  <c r="F927" i="10"/>
  <c r="F928" i="10"/>
  <c r="F929" i="10"/>
  <c r="F930" i="10"/>
  <c r="F931" i="10"/>
  <c r="F932" i="10"/>
  <c r="F933" i="10"/>
  <c r="F934" i="10"/>
  <c r="F935" i="10"/>
  <c r="F936" i="10"/>
  <c r="F937" i="10"/>
  <c r="F938" i="10"/>
  <c r="F939" i="10"/>
  <c r="F940" i="10"/>
  <c r="F941" i="10"/>
  <c r="F942" i="10"/>
  <c r="F943" i="10"/>
  <c r="F944" i="10"/>
  <c r="F945" i="10"/>
  <c r="F946" i="10"/>
  <c r="F947" i="10"/>
  <c r="F948" i="10"/>
  <c r="F949" i="10"/>
  <c r="F950" i="10"/>
  <c r="F951" i="10"/>
  <c r="F952" i="10"/>
  <c r="F953" i="10"/>
  <c r="F954" i="10"/>
  <c r="F955" i="10"/>
  <c r="F956" i="10"/>
  <c r="F957" i="10"/>
  <c r="F958" i="10"/>
  <c r="F959" i="10"/>
  <c r="F960" i="10"/>
  <c r="F961" i="10"/>
  <c r="F962" i="10"/>
  <c r="F963" i="10"/>
  <c r="F964" i="10"/>
  <c r="F965" i="10"/>
  <c r="F966" i="10"/>
  <c r="F967" i="10"/>
  <c r="F968" i="10"/>
  <c r="F969" i="10"/>
  <c r="F970" i="10"/>
  <c r="F971" i="10"/>
  <c r="F972" i="10"/>
  <c r="F973" i="10"/>
  <c r="F974" i="10"/>
  <c r="F975" i="10"/>
  <c r="F976" i="10"/>
  <c r="F977" i="10"/>
  <c r="F978" i="10"/>
  <c r="F979" i="10"/>
  <c r="F980" i="10"/>
  <c r="F981" i="10"/>
  <c r="F982" i="10"/>
  <c r="F983" i="10"/>
  <c r="F984" i="10"/>
  <c r="F985" i="10"/>
  <c r="F986" i="10"/>
  <c r="F987" i="10"/>
  <c r="F988" i="10"/>
  <c r="F989" i="10"/>
  <c r="F990" i="10"/>
  <c r="F991" i="10"/>
  <c r="F992" i="10"/>
  <c r="F993" i="10"/>
  <c r="F994" i="10"/>
  <c r="F995" i="10"/>
  <c r="F996" i="10"/>
  <c r="F997" i="10"/>
  <c r="F998" i="10"/>
  <c r="F999" i="10"/>
  <c r="F1000" i="10"/>
  <c r="F1001" i="10"/>
  <c r="F1002" i="10"/>
  <c r="F1003" i="10"/>
  <c r="F1004" i="10"/>
  <c r="F1005" i="10"/>
  <c r="F1006" i="10"/>
  <c r="F1007" i="10"/>
  <c r="F1008" i="10"/>
  <c r="F1009" i="10"/>
  <c r="F1010" i="10"/>
  <c r="F1011" i="10"/>
  <c r="F1012" i="10"/>
  <c r="F1013" i="10"/>
  <c r="F1014" i="10"/>
  <c r="F1015" i="10"/>
  <c r="F1016" i="10"/>
  <c r="F1017" i="10"/>
  <c r="F1018" i="10"/>
  <c r="F1019" i="10"/>
  <c r="F1020" i="10"/>
  <c r="F1021" i="10"/>
  <c r="F1022" i="10"/>
  <c r="F1023" i="10"/>
  <c r="F1024" i="10"/>
  <c r="F1025" i="10"/>
  <c r="F1026" i="10"/>
  <c r="F1027" i="10"/>
  <c r="F1028" i="10"/>
  <c r="F1029" i="10"/>
  <c r="F1030" i="10"/>
  <c r="F1031" i="10"/>
  <c r="F1032" i="10"/>
  <c r="F1033" i="10"/>
  <c r="F1034" i="10"/>
  <c r="F1035" i="10"/>
  <c r="F1036" i="10"/>
  <c r="F1037" i="10"/>
  <c r="F1038" i="10"/>
  <c r="F1039" i="10"/>
  <c r="F1040" i="10"/>
  <c r="F1041" i="10"/>
  <c r="F1042" i="10"/>
  <c r="F1043" i="10"/>
  <c r="F1044" i="10"/>
  <c r="F1045" i="10"/>
  <c r="F1046" i="10"/>
  <c r="F1047" i="10"/>
  <c r="F1048" i="10"/>
  <c r="F1049" i="10"/>
  <c r="F1050" i="10"/>
  <c r="F1051" i="10"/>
  <c r="F1052" i="10"/>
  <c r="F1053" i="10"/>
  <c r="F1054" i="10"/>
  <c r="F1055" i="10"/>
  <c r="F1056" i="10"/>
  <c r="F1057" i="10"/>
  <c r="F1058" i="10"/>
  <c r="F1059" i="10"/>
  <c r="F1060" i="10"/>
  <c r="F1061" i="10"/>
  <c r="F1062" i="10"/>
  <c r="F1063" i="10"/>
  <c r="F1064" i="10"/>
  <c r="F1065" i="10"/>
  <c r="F1066" i="10"/>
  <c r="F1067" i="10"/>
  <c r="F1068" i="10"/>
  <c r="F1069" i="10"/>
  <c r="F1070" i="10"/>
  <c r="F1071" i="10"/>
  <c r="F1072" i="10"/>
  <c r="F1073" i="10"/>
  <c r="F1074" i="10"/>
  <c r="F1075" i="10"/>
  <c r="F1076" i="10"/>
  <c r="F1077" i="10"/>
  <c r="F1078" i="10"/>
  <c r="F1079" i="10"/>
  <c r="F1080" i="10"/>
  <c r="F1081" i="10"/>
  <c r="F1082" i="10"/>
  <c r="F1083" i="10"/>
  <c r="F1084" i="10"/>
  <c r="F1085" i="10"/>
  <c r="F1086" i="10"/>
  <c r="F1087" i="10"/>
  <c r="F1088" i="10"/>
  <c r="F1089" i="10"/>
  <c r="F1090" i="10"/>
  <c r="F1091" i="10"/>
  <c r="F1092" i="10"/>
  <c r="F1093" i="10"/>
  <c r="F1094" i="10"/>
  <c r="F1095" i="10"/>
  <c r="F1096" i="10"/>
  <c r="F1097" i="10"/>
  <c r="F1098" i="10"/>
  <c r="F1099" i="10"/>
  <c r="F1100" i="10"/>
  <c r="F1101" i="10"/>
  <c r="F1102" i="10"/>
  <c r="F1103" i="10"/>
  <c r="F1104" i="10"/>
  <c r="F1105" i="10"/>
  <c r="F1106" i="10"/>
  <c r="F1107" i="10"/>
  <c r="F1108" i="10"/>
  <c r="F1109" i="10"/>
  <c r="F1110" i="10"/>
  <c r="F1111" i="10"/>
  <c r="F1112" i="10"/>
  <c r="F1113" i="10"/>
  <c r="F1114" i="10"/>
  <c r="F1115" i="10"/>
  <c r="F1116" i="10"/>
  <c r="F1117" i="10"/>
  <c r="F1118" i="10"/>
  <c r="F1119" i="10"/>
  <c r="F1120" i="10"/>
  <c r="F1121" i="10"/>
  <c r="F1122" i="10"/>
  <c r="F1123" i="10"/>
  <c r="F1124" i="10"/>
  <c r="F1125" i="10"/>
  <c r="F1126" i="10"/>
  <c r="F1127" i="10"/>
  <c r="F1128" i="10"/>
  <c r="F1129" i="10"/>
  <c r="F1130" i="10"/>
  <c r="F1131" i="10"/>
  <c r="F1132" i="10"/>
  <c r="F1133" i="10"/>
  <c r="F1134" i="10"/>
  <c r="F1135" i="10"/>
  <c r="F1136" i="10"/>
  <c r="F1137" i="10"/>
  <c r="F1138" i="10"/>
  <c r="F1139" i="10"/>
  <c r="F1140" i="10"/>
  <c r="F1141" i="10"/>
  <c r="F1142" i="10"/>
  <c r="F1143" i="10"/>
  <c r="F1144" i="10"/>
  <c r="F1145" i="10"/>
  <c r="F1146" i="10"/>
  <c r="F1147" i="10"/>
  <c r="F1148" i="10"/>
  <c r="F1149" i="10"/>
  <c r="F1150" i="10"/>
  <c r="F1151" i="10"/>
  <c r="F1152" i="10"/>
  <c r="F1153" i="10"/>
  <c r="F1154" i="10"/>
  <c r="F1155" i="10"/>
  <c r="F1156" i="10"/>
  <c r="F1157" i="10"/>
  <c r="F1158" i="10"/>
  <c r="F1159" i="10"/>
  <c r="F1160" i="10"/>
  <c r="F1161" i="10"/>
  <c r="F1162" i="10"/>
  <c r="F1163" i="10"/>
  <c r="F1164" i="10"/>
  <c r="F1165" i="10"/>
  <c r="F1166" i="10"/>
  <c r="F1167" i="10"/>
  <c r="F1168" i="10"/>
  <c r="F1169" i="10"/>
  <c r="F1170" i="10"/>
  <c r="F1171" i="10"/>
  <c r="F1172" i="10"/>
  <c r="F1173" i="10"/>
  <c r="F1174" i="10"/>
  <c r="F1175" i="10"/>
  <c r="F1176" i="10"/>
  <c r="F1177" i="10"/>
  <c r="F1178" i="10"/>
  <c r="F1179" i="10"/>
  <c r="F1180" i="10"/>
  <c r="F1181" i="10"/>
  <c r="F1182" i="10"/>
  <c r="F1183" i="10"/>
  <c r="F1184" i="10"/>
  <c r="F1185" i="10"/>
  <c r="F1186" i="10"/>
  <c r="F1187" i="10"/>
  <c r="F1188" i="10"/>
  <c r="F1189" i="10"/>
  <c r="F1190" i="10"/>
  <c r="F1191" i="10"/>
  <c r="F1192" i="10"/>
  <c r="F1193" i="10"/>
  <c r="F1194" i="10"/>
  <c r="F1195" i="10"/>
  <c r="F1196" i="10"/>
  <c r="F1197" i="10"/>
  <c r="F1198" i="10"/>
  <c r="F1199" i="10"/>
  <c r="F1200" i="10"/>
  <c r="F1201" i="10"/>
  <c r="F1202" i="10"/>
  <c r="F1203" i="10"/>
  <c r="F1204" i="10"/>
  <c r="F1205" i="10"/>
  <c r="F1206" i="10"/>
  <c r="F1207" i="10"/>
  <c r="F1208" i="10"/>
  <c r="F1209" i="10"/>
  <c r="F1210" i="10"/>
  <c r="F1211" i="10"/>
  <c r="F1212" i="10"/>
  <c r="F1213" i="10"/>
  <c r="F1214" i="10"/>
  <c r="F1215" i="10"/>
  <c r="F1216" i="10"/>
  <c r="F1217" i="10"/>
  <c r="F1218" i="10"/>
  <c r="F1219" i="10"/>
  <c r="F1220" i="10"/>
  <c r="F1221" i="10"/>
  <c r="F1222" i="10"/>
  <c r="F1223" i="10"/>
  <c r="F1224" i="10"/>
  <c r="F1225" i="10"/>
  <c r="F1226" i="10"/>
  <c r="F1227" i="10"/>
  <c r="F1228" i="10"/>
  <c r="F1229" i="10"/>
  <c r="F1230" i="10"/>
  <c r="F1231" i="10"/>
  <c r="F1232" i="10"/>
  <c r="F1233" i="10"/>
  <c r="F1234" i="10"/>
  <c r="F1235" i="10"/>
  <c r="F1236" i="10"/>
  <c r="F1237" i="10"/>
  <c r="F1238" i="10"/>
  <c r="F1239" i="10"/>
  <c r="F1240" i="10"/>
  <c r="F1241" i="10"/>
  <c r="F1242" i="10"/>
  <c r="F1243" i="10"/>
  <c r="F1244" i="10"/>
  <c r="F1245" i="10"/>
  <c r="F1246" i="10"/>
  <c r="F1247" i="10"/>
  <c r="F1248" i="10"/>
  <c r="F1249" i="10"/>
  <c r="F1250" i="10"/>
  <c r="F1251" i="10"/>
  <c r="F1252" i="10"/>
  <c r="F1253" i="10"/>
  <c r="F1254" i="10"/>
  <c r="F1255" i="10"/>
  <c r="F1256" i="10"/>
  <c r="F1257" i="10"/>
  <c r="F1258" i="10"/>
  <c r="F1259" i="10"/>
  <c r="F1260" i="10"/>
  <c r="F1261" i="10"/>
  <c r="F1262" i="10"/>
  <c r="F1263" i="10"/>
  <c r="F1264" i="10"/>
  <c r="F1265" i="10"/>
  <c r="F1266" i="10"/>
  <c r="F1267" i="10"/>
  <c r="F1268" i="10"/>
  <c r="F1269" i="10"/>
  <c r="F1270" i="10"/>
  <c r="F1271" i="10"/>
  <c r="F1272" i="10"/>
  <c r="F1273" i="10"/>
  <c r="F1274" i="10"/>
  <c r="F1275" i="10"/>
  <c r="F1276" i="10"/>
  <c r="F1277" i="10"/>
  <c r="F1278" i="10"/>
  <c r="F1279" i="10"/>
  <c r="F1280" i="10"/>
  <c r="F1281" i="10"/>
  <c r="F1282" i="10"/>
  <c r="F1283" i="10"/>
  <c r="F1284" i="10"/>
  <c r="F1285" i="10"/>
  <c r="F1286" i="10"/>
  <c r="F1287" i="10"/>
  <c r="F1288" i="10"/>
  <c r="F1289" i="10"/>
  <c r="F1290" i="10"/>
  <c r="F1291" i="10"/>
  <c r="F1292" i="10"/>
  <c r="F1293" i="10"/>
  <c r="F1294" i="10"/>
  <c r="F1295" i="10"/>
  <c r="F1296" i="10"/>
  <c r="F1297" i="10"/>
  <c r="F1298" i="10"/>
  <c r="F1299" i="10"/>
  <c r="F1300" i="10"/>
  <c r="F1301" i="10"/>
  <c r="F1302" i="10"/>
  <c r="F1303" i="10"/>
  <c r="F1304" i="10"/>
  <c r="F1305" i="10"/>
  <c r="F1306" i="10"/>
  <c r="F1307" i="10"/>
  <c r="F1308" i="10"/>
  <c r="F1309" i="10"/>
  <c r="F1310" i="10"/>
  <c r="F1311" i="10"/>
  <c r="F1312" i="10"/>
  <c r="F1313" i="10"/>
  <c r="F1314" i="10"/>
  <c r="F1315" i="10"/>
  <c r="F1316" i="10"/>
  <c r="F1317" i="10"/>
  <c r="F1318" i="10"/>
  <c r="F1319" i="10"/>
  <c r="F1320" i="10"/>
  <c r="F1321" i="10"/>
  <c r="F1322" i="10"/>
  <c r="F1323" i="10"/>
  <c r="F1324" i="10"/>
  <c r="F1325" i="10"/>
  <c r="F1326" i="10"/>
  <c r="F1327" i="10"/>
  <c r="F1328" i="10"/>
  <c r="F1329" i="10"/>
  <c r="F1330" i="10"/>
  <c r="F1331" i="10"/>
  <c r="F1332" i="10"/>
  <c r="F1333" i="10"/>
  <c r="F1334" i="10"/>
  <c r="F1335" i="10"/>
  <c r="F1336" i="10"/>
  <c r="F1337" i="10"/>
  <c r="F1338" i="10"/>
  <c r="F1339" i="10"/>
  <c r="F1340" i="10"/>
  <c r="F1341" i="10"/>
  <c r="F1342" i="10"/>
  <c r="F1343" i="10"/>
  <c r="F1344" i="10"/>
  <c r="F1345" i="10"/>
  <c r="F1346" i="10"/>
  <c r="F1347" i="10"/>
  <c r="F1348" i="10"/>
  <c r="F1349" i="10"/>
  <c r="F1350" i="10"/>
  <c r="F1351" i="10"/>
  <c r="F1352" i="10"/>
  <c r="F1353" i="10"/>
  <c r="F1354" i="10"/>
  <c r="F1355" i="10"/>
  <c r="F1356" i="10"/>
  <c r="F1357" i="10"/>
  <c r="F1358" i="10"/>
  <c r="F1359" i="10"/>
  <c r="F1360" i="10"/>
  <c r="F1361" i="10"/>
  <c r="F1362" i="10"/>
  <c r="F1363" i="10"/>
  <c r="F1364" i="10"/>
  <c r="F1365" i="10"/>
  <c r="F1366" i="10"/>
  <c r="F1367" i="10"/>
  <c r="F1368" i="10"/>
  <c r="F1369" i="10"/>
  <c r="F1370" i="10"/>
  <c r="F1371" i="10"/>
  <c r="F1372" i="10"/>
  <c r="F1373" i="10"/>
  <c r="F1374" i="10"/>
  <c r="F1375" i="10"/>
  <c r="F1376" i="10"/>
  <c r="F1377" i="10"/>
  <c r="F1378" i="10"/>
  <c r="F1379" i="10"/>
  <c r="F1380" i="10"/>
  <c r="F1381" i="10"/>
  <c r="F1382" i="10"/>
  <c r="F1383" i="10"/>
  <c r="F1384" i="10"/>
  <c r="F1385" i="10"/>
  <c r="F1386" i="10"/>
  <c r="F1387" i="10"/>
  <c r="F1388" i="10"/>
  <c r="F1389" i="10"/>
  <c r="F1390" i="10"/>
  <c r="F1391" i="10"/>
  <c r="F1392" i="10"/>
  <c r="F1393" i="10"/>
  <c r="F1394" i="10"/>
  <c r="F1395" i="10"/>
  <c r="F1396" i="10"/>
  <c r="F1397" i="10"/>
  <c r="F1398" i="10"/>
  <c r="F1399" i="10"/>
  <c r="F1400" i="10"/>
  <c r="F1401" i="10"/>
  <c r="F1402" i="10"/>
  <c r="F1403" i="10"/>
  <c r="F1404" i="10"/>
  <c r="F1405" i="10"/>
  <c r="F1406" i="10"/>
  <c r="F1407" i="10"/>
  <c r="F1408" i="10"/>
  <c r="F1409" i="10"/>
  <c r="F1410" i="10"/>
  <c r="F1411" i="10"/>
  <c r="F1412" i="10"/>
  <c r="F1413" i="10"/>
  <c r="F1414" i="10"/>
  <c r="F1415" i="10"/>
  <c r="F1416" i="10"/>
  <c r="F1417" i="10"/>
  <c r="F1418" i="10"/>
  <c r="F1419" i="10"/>
  <c r="F1420" i="10"/>
  <c r="F1421" i="10"/>
  <c r="F1422" i="10"/>
  <c r="F1423" i="10"/>
  <c r="F1424" i="10"/>
  <c r="F1425" i="10"/>
  <c r="F1426" i="10"/>
  <c r="F1427" i="10"/>
  <c r="F1428" i="10"/>
  <c r="F1429" i="10"/>
  <c r="F1430" i="10"/>
  <c r="F1431" i="10"/>
  <c r="F1432" i="10"/>
  <c r="F1433" i="10"/>
  <c r="F1434" i="10"/>
  <c r="F1435" i="10"/>
  <c r="F1436" i="10"/>
  <c r="F1437" i="10"/>
  <c r="F1438" i="10"/>
  <c r="F1439" i="10"/>
  <c r="F1440" i="10"/>
  <c r="F1441" i="10"/>
  <c r="F1442" i="10"/>
  <c r="F1443" i="10"/>
  <c r="F1444" i="10"/>
  <c r="F1445" i="10"/>
  <c r="F1446" i="10"/>
  <c r="F1447" i="10"/>
  <c r="F1448" i="10"/>
  <c r="F1449" i="10"/>
  <c r="F1450" i="10"/>
  <c r="F1451" i="10"/>
  <c r="F1452" i="10"/>
  <c r="F1453" i="10"/>
  <c r="F1454" i="10"/>
  <c r="F1455" i="10"/>
  <c r="F1456" i="10"/>
  <c r="F1457" i="10"/>
  <c r="F1458" i="10"/>
  <c r="F1459" i="10"/>
  <c r="F1460" i="10"/>
  <c r="F1461" i="10"/>
  <c r="F1462" i="10"/>
  <c r="F1463" i="10"/>
  <c r="F1464" i="10"/>
  <c r="F1465" i="10"/>
  <c r="F1466" i="10"/>
  <c r="F1467" i="10"/>
  <c r="F1468" i="10"/>
  <c r="F1469" i="10"/>
  <c r="F1470" i="10"/>
  <c r="F1471" i="10"/>
  <c r="F1472" i="10"/>
  <c r="F1473" i="10"/>
  <c r="F1474" i="10"/>
  <c r="F1475" i="10"/>
  <c r="F1476" i="10"/>
  <c r="F1477" i="10"/>
  <c r="F1478" i="10"/>
  <c r="F1479" i="10"/>
  <c r="F1480" i="10"/>
  <c r="F1481" i="10"/>
  <c r="F1482" i="10"/>
  <c r="F1483" i="10"/>
  <c r="F1484" i="10"/>
  <c r="F1485" i="10"/>
  <c r="F1486" i="10"/>
  <c r="F1487" i="10"/>
  <c r="F1488" i="10"/>
  <c r="F1489" i="10"/>
  <c r="F1490" i="10"/>
  <c r="F1491" i="10"/>
  <c r="F1492" i="10"/>
  <c r="F1493" i="10"/>
  <c r="F1494" i="10"/>
  <c r="F1495" i="10"/>
  <c r="F1496" i="10"/>
  <c r="F1497" i="10"/>
  <c r="F1498" i="10"/>
  <c r="F1499" i="10"/>
  <c r="F1500" i="10"/>
  <c r="F1501" i="10"/>
  <c r="F1502" i="10"/>
  <c r="F1503" i="10"/>
  <c r="F1504" i="10"/>
  <c r="F1505" i="10"/>
  <c r="F1506" i="10"/>
  <c r="F1507" i="10"/>
  <c r="F1508" i="10"/>
  <c r="F1509" i="10"/>
  <c r="F1510" i="10"/>
  <c r="F1511" i="10"/>
  <c r="F1512" i="10"/>
  <c r="F1513" i="10"/>
  <c r="F1514" i="10"/>
  <c r="F1515" i="10"/>
  <c r="F1516" i="10"/>
  <c r="F1517" i="10"/>
  <c r="F1518" i="10"/>
  <c r="F1519" i="10"/>
  <c r="F1520" i="10"/>
  <c r="F1521" i="10"/>
  <c r="F1522" i="10"/>
  <c r="F1523" i="10"/>
  <c r="F1524" i="10"/>
  <c r="F1525" i="10"/>
  <c r="F1526" i="10"/>
  <c r="F1527" i="10"/>
  <c r="F1528" i="10"/>
  <c r="F1529" i="10"/>
  <c r="F1530" i="10"/>
  <c r="F1531" i="10"/>
  <c r="F1532" i="10"/>
  <c r="F1533" i="10"/>
  <c r="F1534" i="10"/>
  <c r="F1535" i="10"/>
  <c r="F1536" i="10"/>
  <c r="F1537" i="10"/>
  <c r="F1538" i="10"/>
  <c r="F1539" i="10"/>
  <c r="F1540" i="10"/>
  <c r="F1541" i="10"/>
  <c r="F1542" i="10"/>
  <c r="F1543" i="10"/>
  <c r="F1544" i="10"/>
  <c r="F1545" i="10"/>
  <c r="F1546" i="10"/>
  <c r="F1547" i="10"/>
  <c r="F1548" i="10"/>
  <c r="F1549" i="10"/>
  <c r="F1550" i="10"/>
  <c r="F1551" i="10"/>
  <c r="F1552" i="10"/>
  <c r="F1553" i="10"/>
  <c r="F1554" i="10"/>
  <c r="F1555" i="10"/>
  <c r="F1556" i="10"/>
  <c r="F1557" i="10"/>
  <c r="F1558" i="10"/>
  <c r="F1559" i="10"/>
  <c r="F1560" i="10"/>
  <c r="F1561" i="10"/>
  <c r="F1562" i="10"/>
  <c r="F1563" i="10"/>
  <c r="F1564" i="10"/>
  <c r="F1565" i="10"/>
  <c r="F1566" i="10"/>
  <c r="F1567" i="10"/>
  <c r="F1568" i="10"/>
  <c r="F1569" i="10"/>
  <c r="F1570" i="10"/>
  <c r="F1571" i="10"/>
  <c r="F1572" i="10"/>
  <c r="F1573" i="10"/>
  <c r="F1574" i="10"/>
  <c r="F1575" i="10"/>
  <c r="F1576" i="10"/>
  <c r="F1577" i="10"/>
  <c r="F1578" i="10"/>
  <c r="F1579" i="10"/>
  <c r="F1580" i="10"/>
  <c r="F1581" i="10"/>
  <c r="F1582" i="10"/>
  <c r="F1583" i="10"/>
  <c r="F1584" i="10"/>
  <c r="F1585" i="10"/>
  <c r="F1586" i="10"/>
  <c r="F1587" i="10"/>
  <c r="F1588" i="10"/>
  <c r="F1589" i="10"/>
  <c r="F1590" i="10"/>
  <c r="F1591" i="10"/>
  <c r="F1592" i="10"/>
  <c r="F1593" i="10"/>
  <c r="F1594" i="10"/>
  <c r="F1595" i="10"/>
  <c r="F1596" i="10"/>
  <c r="F1597" i="10"/>
  <c r="F1598" i="10"/>
  <c r="F1599" i="10"/>
  <c r="F1600" i="10"/>
  <c r="F1601" i="10"/>
  <c r="F1602" i="10"/>
  <c r="F1603" i="10"/>
  <c r="F1604" i="10"/>
  <c r="F1605" i="10"/>
  <c r="F1606" i="10"/>
  <c r="F1607" i="10"/>
  <c r="F1608" i="10"/>
  <c r="F1609" i="10"/>
  <c r="F1610" i="10"/>
  <c r="F1611" i="10"/>
  <c r="F1612" i="10"/>
  <c r="F1613" i="10"/>
  <c r="F1614" i="10"/>
  <c r="F1615" i="10"/>
  <c r="F1616" i="10"/>
  <c r="F1617" i="10"/>
  <c r="F1618" i="10"/>
  <c r="F1619" i="10"/>
  <c r="F1620" i="10"/>
  <c r="F1621" i="10"/>
  <c r="F1622" i="10"/>
  <c r="F1623" i="10"/>
  <c r="F1624" i="10"/>
  <c r="F1625" i="10"/>
  <c r="F1626" i="10"/>
  <c r="F1627" i="10"/>
  <c r="F1628" i="10"/>
  <c r="F1629" i="10"/>
  <c r="F1630" i="10"/>
  <c r="F1631" i="10"/>
  <c r="F1632" i="10"/>
  <c r="F1633" i="10"/>
  <c r="F1634" i="10"/>
  <c r="F1635" i="10"/>
  <c r="F1636" i="10"/>
  <c r="F1637" i="10"/>
  <c r="F1638" i="10"/>
  <c r="F1639" i="10"/>
  <c r="F1640" i="10"/>
  <c r="F1641" i="10"/>
  <c r="F1642" i="10"/>
  <c r="F1643" i="10"/>
  <c r="F1644" i="10"/>
  <c r="F1645" i="10"/>
  <c r="F1646" i="10"/>
  <c r="F1647" i="10"/>
  <c r="F1648" i="10"/>
  <c r="F1649" i="10"/>
  <c r="F1650" i="10"/>
  <c r="F1651" i="10"/>
  <c r="F1652" i="10"/>
  <c r="F1653" i="10"/>
  <c r="F1654" i="10"/>
  <c r="F1655" i="10"/>
  <c r="F1656" i="10"/>
  <c r="F1657" i="10"/>
  <c r="F1658" i="10"/>
  <c r="F1659" i="10"/>
  <c r="F1660" i="10"/>
  <c r="F1661" i="10"/>
  <c r="F1662" i="10"/>
  <c r="F1663" i="10"/>
  <c r="F1664" i="10"/>
  <c r="F1665" i="10"/>
  <c r="F1666" i="10"/>
  <c r="F1667" i="10"/>
  <c r="F1668" i="10"/>
  <c r="F1669" i="10"/>
  <c r="F1670" i="10"/>
  <c r="F1671" i="10"/>
  <c r="F1672" i="10"/>
  <c r="F1673" i="10"/>
  <c r="F1674" i="10"/>
  <c r="F1675" i="10"/>
  <c r="F1676" i="10"/>
  <c r="F1677" i="10"/>
  <c r="F1678" i="10"/>
  <c r="F1679" i="10"/>
  <c r="F1680" i="10"/>
  <c r="F1681" i="10"/>
  <c r="F1682" i="10"/>
  <c r="F1683" i="10"/>
  <c r="F1684" i="10"/>
  <c r="F1685" i="10"/>
  <c r="F1686" i="10"/>
  <c r="F1687" i="10"/>
  <c r="F1688" i="10"/>
  <c r="F1689" i="10"/>
  <c r="F1690" i="10"/>
  <c r="F1691" i="10"/>
  <c r="F1692" i="10"/>
  <c r="F1693" i="10"/>
  <c r="F1694" i="10"/>
  <c r="F1695" i="10"/>
  <c r="F1696" i="10"/>
  <c r="F1697" i="10"/>
  <c r="F1698" i="10"/>
  <c r="F1699" i="10"/>
  <c r="F1700" i="10"/>
  <c r="F1701" i="10"/>
  <c r="F1702" i="10"/>
  <c r="F1703" i="10"/>
  <c r="F1704" i="10"/>
  <c r="F1705" i="10"/>
  <c r="F1706" i="10"/>
  <c r="F1707" i="10"/>
  <c r="F1708" i="10"/>
  <c r="F1709" i="10"/>
  <c r="F1710" i="10"/>
  <c r="F1711" i="10"/>
  <c r="F1712" i="10"/>
  <c r="F1713" i="10"/>
  <c r="F1714" i="10"/>
  <c r="F1715" i="10"/>
  <c r="F1716" i="10"/>
  <c r="F1717" i="10"/>
  <c r="F1718" i="10"/>
  <c r="F1719" i="10"/>
  <c r="F1720" i="10"/>
  <c r="F1721" i="10"/>
  <c r="F1722" i="10"/>
  <c r="F1723" i="10"/>
  <c r="F1724" i="10"/>
  <c r="F1725" i="10"/>
  <c r="F1726" i="10"/>
  <c r="F1727" i="10"/>
  <c r="F1728" i="10"/>
  <c r="F1729" i="10"/>
  <c r="F1730" i="10"/>
  <c r="F1731" i="10"/>
  <c r="F1732" i="10"/>
  <c r="F1733" i="10"/>
  <c r="F1734" i="10"/>
  <c r="F1735" i="10"/>
  <c r="F1736" i="10"/>
  <c r="F1737" i="10"/>
  <c r="F1738" i="10"/>
  <c r="F1739" i="10"/>
  <c r="F1740" i="10"/>
  <c r="F1741" i="10"/>
  <c r="F1742" i="10"/>
  <c r="F1743" i="10"/>
  <c r="F1744" i="10"/>
  <c r="F1745" i="10"/>
  <c r="F1746" i="10"/>
  <c r="F1747" i="10"/>
  <c r="F1748" i="10"/>
  <c r="F1749" i="10"/>
  <c r="F1750" i="10"/>
  <c r="F1751" i="10"/>
  <c r="F1752" i="10"/>
  <c r="F1753" i="10"/>
  <c r="F1754" i="10"/>
  <c r="F1755" i="10"/>
  <c r="F1756" i="10"/>
  <c r="F1757" i="10"/>
  <c r="F1758" i="10"/>
  <c r="F1759" i="10"/>
  <c r="F1760" i="10"/>
  <c r="F1761" i="10"/>
  <c r="F1762" i="10"/>
  <c r="F1763" i="10"/>
  <c r="F1764" i="10"/>
  <c r="F1765" i="10"/>
  <c r="F1766" i="10"/>
  <c r="F1767" i="10"/>
  <c r="F1768" i="10"/>
  <c r="F1769" i="10"/>
  <c r="F1770" i="10"/>
  <c r="F1771" i="10"/>
  <c r="F1772" i="10"/>
  <c r="F1773" i="10"/>
  <c r="F1774" i="10"/>
  <c r="F1775" i="10"/>
  <c r="F1776" i="10"/>
  <c r="F1777" i="10"/>
  <c r="F1778" i="10"/>
  <c r="F1779" i="10"/>
  <c r="F1780" i="10"/>
  <c r="F1781" i="10"/>
  <c r="F1782" i="10"/>
  <c r="F1783" i="10"/>
  <c r="F1784" i="10"/>
  <c r="F1785" i="10"/>
  <c r="F1786" i="10"/>
  <c r="F1787" i="10"/>
  <c r="F1788" i="10"/>
  <c r="F1789" i="10"/>
  <c r="F1790" i="10"/>
  <c r="F1791" i="10"/>
  <c r="F1792" i="10"/>
  <c r="F1793" i="10"/>
  <c r="F1794" i="10"/>
  <c r="F1795" i="10"/>
  <c r="F1796" i="10"/>
  <c r="F1797" i="10"/>
  <c r="F1798" i="10"/>
  <c r="F1799" i="10"/>
  <c r="F1800" i="10"/>
  <c r="F1801" i="10"/>
  <c r="F1802" i="10"/>
  <c r="F1803" i="10"/>
  <c r="F1804" i="10"/>
  <c r="F1805" i="10"/>
  <c r="F1806" i="10"/>
  <c r="F1807" i="10"/>
  <c r="F1808" i="10"/>
  <c r="F1809" i="10"/>
  <c r="F1810" i="10"/>
  <c r="F1811" i="10"/>
  <c r="F1812" i="10"/>
  <c r="F1813" i="10"/>
  <c r="F1814" i="10"/>
  <c r="F1815" i="10"/>
  <c r="F1816" i="10"/>
  <c r="F1817" i="10"/>
  <c r="F1818" i="10"/>
  <c r="F1819" i="10"/>
  <c r="F1820" i="10"/>
  <c r="F1821" i="10"/>
  <c r="F1822" i="10"/>
  <c r="F1823" i="10"/>
  <c r="F1824" i="10"/>
  <c r="F1825" i="10"/>
  <c r="F1826" i="10"/>
  <c r="F1827" i="10"/>
  <c r="F1828" i="10"/>
  <c r="F1829" i="10"/>
  <c r="F1830" i="10"/>
  <c r="F1831" i="10"/>
  <c r="F1832" i="10"/>
  <c r="F1833" i="10"/>
  <c r="F1834" i="10"/>
  <c r="F1835" i="10"/>
  <c r="F1836" i="10"/>
  <c r="F1837" i="10"/>
  <c r="F1838" i="10"/>
  <c r="F1839" i="10"/>
  <c r="F1840" i="10"/>
  <c r="F1841" i="10"/>
  <c r="F1842" i="10"/>
  <c r="F1843" i="10"/>
  <c r="F1844" i="10"/>
  <c r="F1845" i="10"/>
  <c r="F1846" i="10"/>
  <c r="F1847" i="10"/>
  <c r="F1848" i="10"/>
  <c r="F1849" i="10"/>
  <c r="F1850" i="10"/>
  <c r="F1851" i="10"/>
  <c r="F1852" i="10"/>
  <c r="F1853" i="10"/>
  <c r="F1854" i="10"/>
  <c r="F1855" i="10"/>
  <c r="F1856" i="10"/>
  <c r="F1857" i="10"/>
  <c r="F1858" i="10"/>
  <c r="F1859" i="10"/>
  <c r="F1860" i="10"/>
  <c r="F1861" i="10"/>
  <c r="F1862" i="10"/>
  <c r="F1863" i="10"/>
  <c r="F1864" i="10"/>
  <c r="F1865" i="10"/>
  <c r="F1866" i="10"/>
  <c r="F1867" i="10"/>
  <c r="F1868" i="10"/>
  <c r="F1869" i="10"/>
  <c r="F1870" i="10"/>
  <c r="F1871" i="10"/>
  <c r="F1872" i="10"/>
  <c r="F1873" i="10"/>
  <c r="F1874" i="10"/>
  <c r="F1875" i="10"/>
  <c r="F1876" i="10"/>
  <c r="F1877" i="10"/>
  <c r="F1878" i="10"/>
  <c r="F1879" i="10"/>
  <c r="F1880" i="10"/>
  <c r="F1881" i="10"/>
  <c r="F1882" i="10"/>
  <c r="F1883" i="10"/>
  <c r="F1884" i="10"/>
  <c r="F1885" i="10"/>
  <c r="F1886" i="10"/>
  <c r="F1887" i="10"/>
  <c r="F1888" i="10"/>
  <c r="F1889" i="10"/>
  <c r="F1890" i="10"/>
  <c r="F1891" i="10"/>
  <c r="F1892" i="10"/>
  <c r="F1893" i="10"/>
  <c r="F1894" i="10"/>
  <c r="F1895" i="10"/>
  <c r="F1896" i="10"/>
  <c r="F1897" i="10"/>
  <c r="F1898" i="10"/>
  <c r="F1899" i="10"/>
  <c r="F1900" i="10"/>
  <c r="F1901" i="10"/>
  <c r="F1902" i="10"/>
  <c r="F1903" i="10"/>
  <c r="F1904" i="10"/>
  <c r="F1905" i="10"/>
  <c r="F1906" i="10"/>
  <c r="F1907" i="10"/>
  <c r="F1908" i="10"/>
  <c r="F1909" i="10"/>
  <c r="F1910" i="10"/>
  <c r="F1911" i="10"/>
  <c r="F1912" i="10"/>
  <c r="F1913" i="10"/>
  <c r="F1914" i="10"/>
  <c r="F1915" i="10"/>
  <c r="F1916" i="10"/>
  <c r="F1917" i="10"/>
  <c r="F1918" i="10"/>
  <c r="F1919" i="10"/>
  <c r="F1920" i="10"/>
  <c r="F1921" i="10"/>
  <c r="F1922" i="10"/>
  <c r="F1923" i="10"/>
  <c r="F1924" i="10"/>
  <c r="F1925" i="10"/>
  <c r="F1926" i="10"/>
  <c r="F1927" i="10"/>
  <c r="F1928" i="10"/>
  <c r="F1929" i="10"/>
  <c r="F1930" i="10"/>
  <c r="F1931" i="10"/>
  <c r="F1932" i="10"/>
  <c r="F1933" i="10"/>
  <c r="F1934" i="10"/>
  <c r="F1935" i="10"/>
  <c r="F1936" i="10"/>
  <c r="F1937" i="10"/>
  <c r="F1938" i="10"/>
  <c r="F1939" i="10"/>
  <c r="F1940" i="10"/>
  <c r="F1941" i="10"/>
  <c r="F1942" i="10"/>
  <c r="F1943" i="10"/>
  <c r="F1944" i="10"/>
  <c r="F1945" i="10"/>
  <c r="F1946" i="10"/>
  <c r="F1947" i="10"/>
  <c r="F1948" i="10"/>
  <c r="F1949" i="10"/>
  <c r="F1950" i="10"/>
  <c r="F1951" i="10"/>
  <c r="F1952" i="10"/>
  <c r="F1953" i="10"/>
  <c r="F1954" i="10"/>
  <c r="F1955" i="10"/>
  <c r="F1956" i="10"/>
  <c r="F1957" i="10"/>
  <c r="F1958" i="10"/>
  <c r="F1959" i="10"/>
  <c r="F1960" i="10"/>
  <c r="F1961" i="10"/>
  <c r="F1962" i="10"/>
  <c r="F1963" i="10"/>
  <c r="F1964" i="10"/>
  <c r="F1965" i="10"/>
  <c r="F1966" i="10"/>
  <c r="F1967" i="10"/>
  <c r="F1968" i="10"/>
  <c r="F1969" i="10"/>
  <c r="F1970" i="10"/>
  <c r="F1971" i="10"/>
  <c r="F1972" i="10"/>
  <c r="F1973" i="10"/>
  <c r="F1974" i="10"/>
  <c r="F1975" i="10"/>
  <c r="F1976" i="10"/>
  <c r="F1977" i="10"/>
  <c r="F1978" i="10"/>
  <c r="F1979" i="10"/>
  <c r="F1980" i="10"/>
  <c r="F1981" i="10"/>
  <c r="F1982" i="10"/>
  <c r="F1983" i="10"/>
  <c r="F1984" i="10"/>
  <c r="F1985" i="10"/>
  <c r="F1986" i="10"/>
  <c r="F1987" i="10"/>
  <c r="F1988" i="10"/>
  <c r="F1989" i="10"/>
  <c r="F1990" i="10"/>
  <c r="F1991" i="10"/>
  <c r="F1992" i="10"/>
  <c r="F1993" i="10"/>
  <c r="F1994" i="10"/>
  <c r="F1995" i="10"/>
  <c r="F1996" i="10"/>
  <c r="F1997" i="10"/>
  <c r="F1998" i="10"/>
  <c r="F1999" i="10"/>
  <c r="F2000" i="10"/>
  <c r="F2001" i="10"/>
  <c r="F2002" i="10"/>
  <c r="F2003" i="10"/>
  <c r="F2004" i="10"/>
  <c r="F2005" i="10"/>
  <c r="F2006" i="10"/>
  <c r="F2007" i="10"/>
  <c r="F2008" i="10"/>
  <c r="F2009" i="10"/>
  <c r="F2010" i="10"/>
  <c r="F2011" i="10"/>
  <c r="F2012" i="10"/>
  <c r="F2013" i="10"/>
  <c r="F2014" i="10"/>
  <c r="F2015" i="10"/>
  <c r="F2016" i="10"/>
  <c r="F2017" i="10"/>
  <c r="F2018" i="10"/>
  <c r="F2019" i="10"/>
  <c r="F2020" i="10"/>
  <c r="F2021" i="10"/>
  <c r="F2022" i="10"/>
  <c r="F2023" i="10"/>
  <c r="F2024" i="10"/>
  <c r="F2025" i="10"/>
  <c r="F2026" i="10"/>
  <c r="F2027" i="10"/>
  <c r="F2028" i="10"/>
  <c r="F2029" i="10"/>
  <c r="F2030" i="10"/>
  <c r="F2031" i="10"/>
  <c r="F2032" i="10"/>
  <c r="F2033" i="10"/>
  <c r="F2034" i="10"/>
  <c r="F2035" i="10"/>
  <c r="F2036" i="10"/>
  <c r="F2037" i="10"/>
  <c r="F2038" i="10"/>
  <c r="F2039" i="10"/>
  <c r="F2040" i="10"/>
  <c r="F2041" i="10"/>
  <c r="F2042" i="10"/>
  <c r="F2043" i="10"/>
  <c r="F2044" i="10"/>
  <c r="F2045" i="10"/>
  <c r="F2046" i="10"/>
  <c r="F2047" i="10"/>
  <c r="F2048" i="10"/>
  <c r="F2049" i="10"/>
  <c r="F2050" i="10"/>
  <c r="F2051" i="10"/>
  <c r="F2052" i="10"/>
  <c r="F2053" i="10"/>
  <c r="F2054" i="10"/>
  <c r="F2055" i="10"/>
  <c r="F2056" i="10"/>
  <c r="F2057" i="10"/>
  <c r="F2058" i="10"/>
  <c r="F2059" i="10"/>
  <c r="F2060" i="10"/>
  <c r="F2061" i="10"/>
  <c r="F2062" i="10"/>
  <c r="F2063" i="10"/>
  <c r="F2064" i="10"/>
  <c r="F2065" i="10"/>
  <c r="F2066" i="10"/>
  <c r="F2067" i="10"/>
  <c r="F2068" i="10"/>
  <c r="F2069" i="10"/>
  <c r="F2070" i="10"/>
  <c r="F2071" i="10"/>
  <c r="F2072" i="10"/>
  <c r="F2073" i="10"/>
  <c r="F2074" i="10"/>
  <c r="F2075" i="10"/>
  <c r="F2076" i="10"/>
  <c r="F2077" i="10"/>
  <c r="F2078" i="10"/>
  <c r="F2079" i="10"/>
  <c r="F2080" i="10"/>
  <c r="F2081" i="10"/>
  <c r="F2082" i="10"/>
  <c r="F2083" i="10"/>
  <c r="F2084" i="10"/>
  <c r="F2085" i="10"/>
  <c r="F2086" i="10"/>
  <c r="F2087" i="10"/>
  <c r="F2088" i="10"/>
  <c r="F2089" i="10"/>
  <c r="F2090" i="10"/>
  <c r="F2091" i="10"/>
  <c r="F2092" i="10"/>
  <c r="F2093" i="10"/>
  <c r="F2094" i="10"/>
  <c r="F2095" i="10"/>
  <c r="F2096" i="10"/>
  <c r="F2097" i="10"/>
  <c r="F2098" i="10"/>
  <c r="F2099" i="10"/>
  <c r="F2100" i="10"/>
  <c r="F2101" i="10"/>
  <c r="F2102" i="10"/>
  <c r="F2103" i="10"/>
  <c r="F2104" i="10"/>
  <c r="F2105" i="10"/>
  <c r="F2106" i="10"/>
  <c r="F2107" i="10"/>
  <c r="F2108" i="10"/>
  <c r="F2109" i="10"/>
  <c r="F2110" i="10"/>
  <c r="F2111" i="10"/>
  <c r="F2112" i="10"/>
  <c r="F2113" i="10"/>
  <c r="F2114" i="10"/>
  <c r="F2115" i="10"/>
  <c r="F2116" i="10"/>
  <c r="F2117" i="10"/>
  <c r="F2118" i="10"/>
  <c r="F2119" i="10"/>
  <c r="F2120" i="10"/>
  <c r="F2121" i="10"/>
  <c r="F2122" i="10"/>
  <c r="F2123" i="10"/>
  <c r="F2124" i="10"/>
  <c r="F2125" i="10"/>
  <c r="F2126" i="10"/>
  <c r="F2127" i="10"/>
  <c r="F2128" i="10"/>
  <c r="F2129" i="10"/>
  <c r="F2130" i="10"/>
  <c r="F2131" i="10"/>
  <c r="F2132" i="10"/>
  <c r="F2133" i="10"/>
  <c r="F2134" i="10"/>
  <c r="F2135" i="10"/>
  <c r="F2136" i="10"/>
  <c r="F2137" i="10"/>
  <c r="F2138" i="10"/>
  <c r="F2139" i="10"/>
  <c r="F2140" i="10"/>
  <c r="F2141" i="10"/>
  <c r="F2142" i="10"/>
  <c r="F2143" i="10"/>
  <c r="F2144" i="10"/>
  <c r="F2145" i="10"/>
  <c r="F2146" i="10"/>
  <c r="F2147" i="10"/>
  <c r="F2148" i="10"/>
  <c r="F2149" i="10"/>
  <c r="F2150" i="10"/>
  <c r="F2151" i="10"/>
  <c r="F2152" i="10"/>
  <c r="F2153" i="10"/>
  <c r="F2154" i="10"/>
  <c r="F2155" i="10"/>
  <c r="F2156" i="10"/>
  <c r="F2157" i="10"/>
  <c r="F2158" i="10"/>
  <c r="F2159" i="10"/>
  <c r="F2160" i="10"/>
  <c r="F2161" i="10"/>
  <c r="F2162" i="10"/>
  <c r="F2163" i="10"/>
  <c r="F2164" i="10"/>
  <c r="F2165" i="10"/>
  <c r="F2166" i="10"/>
  <c r="F2167" i="10"/>
  <c r="F2168" i="10"/>
  <c r="F2169" i="10"/>
  <c r="F2170" i="10"/>
  <c r="F2171" i="10"/>
  <c r="F2172" i="10"/>
  <c r="F2173" i="10"/>
  <c r="F2174" i="10"/>
  <c r="F2175" i="10"/>
  <c r="F2176" i="10"/>
  <c r="F2177" i="10"/>
  <c r="F2178" i="10"/>
  <c r="F2179" i="10"/>
  <c r="F2180" i="10"/>
  <c r="F2181" i="10"/>
  <c r="F2182" i="10"/>
  <c r="F2183" i="10"/>
  <c r="F2184" i="10"/>
  <c r="F2185" i="10"/>
  <c r="F2186" i="10"/>
  <c r="F2187" i="10"/>
  <c r="F2188" i="10"/>
  <c r="F2189" i="10"/>
  <c r="F2190" i="10"/>
  <c r="F2191" i="10"/>
  <c r="F2192" i="10"/>
  <c r="F2193" i="10"/>
  <c r="F2194" i="10"/>
  <c r="F2195" i="10"/>
  <c r="F2196" i="10"/>
  <c r="F2197" i="10"/>
  <c r="F2198" i="10"/>
  <c r="F2199" i="10"/>
  <c r="F2200" i="10"/>
  <c r="F2201" i="10"/>
  <c r="F2202" i="10"/>
  <c r="F2203" i="10"/>
  <c r="F2204" i="10"/>
  <c r="F2205" i="10"/>
  <c r="F2206" i="10"/>
  <c r="F2207" i="10"/>
  <c r="F2208" i="10"/>
  <c r="F2209" i="10"/>
  <c r="F2210" i="10"/>
  <c r="F2211" i="10"/>
  <c r="F2212" i="10"/>
  <c r="F2213" i="10"/>
  <c r="F2214" i="10"/>
  <c r="F2215" i="10"/>
  <c r="F2216" i="10"/>
  <c r="F2217" i="10"/>
  <c r="F2218" i="10"/>
  <c r="F2219" i="10"/>
  <c r="F2220" i="10"/>
  <c r="F2221" i="10"/>
  <c r="F2222" i="10"/>
  <c r="F2223" i="10"/>
  <c r="F2224" i="10"/>
  <c r="F2225" i="10"/>
  <c r="F2226" i="10"/>
  <c r="F2227" i="10"/>
  <c r="F2228" i="10"/>
  <c r="F2229" i="10"/>
  <c r="F2230" i="10"/>
  <c r="F2231" i="10"/>
  <c r="F2232" i="10"/>
  <c r="F2233" i="10"/>
  <c r="F2234" i="10"/>
  <c r="F2235" i="10"/>
  <c r="F2236" i="10"/>
  <c r="F2237" i="10"/>
  <c r="F2238" i="10"/>
  <c r="F2239" i="10"/>
  <c r="F2240" i="10"/>
  <c r="F2241" i="10"/>
  <c r="F2242" i="10"/>
  <c r="F2243" i="10"/>
  <c r="F2244" i="10"/>
  <c r="F2245" i="10"/>
  <c r="F2246" i="10"/>
  <c r="F2247" i="10"/>
  <c r="F2248" i="10"/>
  <c r="F2249" i="10"/>
  <c r="F2250" i="10"/>
  <c r="F2251" i="10"/>
  <c r="F2252" i="10"/>
  <c r="F2253" i="10"/>
  <c r="F2254" i="10"/>
  <c r="F2255" i="10"/>
  <c r="F2256" i="10"/>
  <c r="F2257" i="10"/>
  <c r="F2258" i="10"/>
  <c r="F2259" i="10"/>
  <c r="F2260" i="10"/>
  <c r="F2261" i="10"/>
  <c r="F2262" i="10"/>
  <c r="F2263" i="10"/>
  <c r="F2264" i="10"/>
  <c r="F2265" i="10"/>
  <c r="F2266" i="10"/>
  <c r="F2267" i="10"/>
  <c r="F2268" i="10"/>
  <c r="F2269" i="10"/>
  <c r="F2270" i="10"/>
  <c r="F2271" i="10"/>
  <c r="F2272" i="10"/>
  <c r="F2273" i="10"/>
  <c r="F2274" i="10"/>
  <c r="F2275" i="10"/>
  <c r="F2276" i="10"/>
  <c r="F2277" i="10"/>
  <c r="F2278" i="10"/>
  <c r="F2279" i="10"/>
  <c r="F2280" i="10"/>
  <c r="F2281" i="10"/>
  <c r="F2282" i="10"/>
  <c r="F2283" i="10"/>
  <c r="F2284" i="10"/>
  <c r="F2285" i="10"/>
  <c r="F2286" i="10"/>
  <c r="F2287" i="10"/>
  <c r="F2288" i="10"/>
  <c r="F2289" i="10"/>
  <c r="F2290" i="10"/>
  <c r="F2291" i="10"/>
  <c r="F2292" i="10"/>
  <c r="F2293" i="10"/>
  <c r="F2294" i="10"/>
  <c r="F2295" i="10"/>
  <c r="F2296" i="10"/>
  <c r="F2297" i="10"/>
  <c r="F2298" i="10"/>
  <c r="F2299" i="10"/>
  <c r="F2300" i="10"/>
  <c r="F2301" i="10"/>
  <c r="F2302" i="10"/>
  <c r="F2303" i="10"/>
  <c r="F2304" i="10"/>
  <c r="F2305" i="10"/>
  <c r="F2306" i="10"/>
  <c r="F2307" i="10"/>
  <c r="F2308" i="10"/>
  <c r="F2309" i="10"/>
  <c r="F2310" i="10"/>
  <c r="F2311" i="10"/>
  <c r="F2312" i="10"/>
  <c r="F2313" i="10"/>
  <c r="F2314" i="10"/>
  <c r="F2315" i="10"/>
  <c r="F2316" i="10"/>
  <c r="F2317" i="10"/>
  <c r="F2318" i="10"/>
  <c r="F2319" i="10"/>
  <c r="F2320" i="10"/>
  <c r="F2321" i="10"/>
  <c r="F2322" i="10"/>
  <c r="F2323" i="10"/>
  <c r="F2324" i="10"/>
  <c r="F2325" i="10"/>
  <c r="F2326" i="10"/>
  <c r="F2327" i="10"/>
  <c r="F2328" i="10"/>
  <c r="F2329" i="10"/>
  <c r="F2330" i="10"/>
  <c r="F2331" i="10"/>
  <c r="F2332" i="10"/>
  <c r="F2333" i="10"/>
  <c r="F2334" i="10"/>
  <c r="F2335" i="10"/>
  <c r="F2336" i="10"/>
  <c r="F2337" i="10"/>
  <c r="F2338" i="10"/>
  <c r="F2339" i="10"/>
  <c r="F2340" i="10"/>
  <c r="F2341" i="10"/>
  <c r="F2342" i="10"/>
  <c r="F2343" i="10"/>
  <c r="F2344" i="10"/>
  <c r="F2345" i="10"/>
  <c r="F2346" i="10"/>
  <c r="F2347" i="10"/>
  <c r="F2348" i="10"/>
  <c r="F2349" i="10"/>
  <c r="F2350" i="10"/>
  <c r="F2351" i="10"/>
  <c r="F2352" i="10"/>
  <c r="F2353" i="10"/>
  <c r="F2354" i="10"/>
  <c r="F2355" i="10"/>
  <c r="F2356" i="10"/>
  <c r="F2357" i="10"/>
  <c r="F2358" i="10"/>
  <c r="F2359" i="10"/>
  <c r="F2360" i="10"/>
  <c r="F2361" i="10"/>
  <c r="F2362" i="10"/>
  <c r="F2363" i="10"/>
  <c r="F2364" i="10"/>
  <c r="F2365" i="10"/>
  <c r="F2366" i="10"/>
  <c r="F2367" i="10"/>
  <c r="F2368" i="10"/>
  <c r="F2369" i="10"/>
  <c r="F2370" i="10"/>
  <c r="F2371" i="10"/>
  <c r="F2372" i="10"/>
  <c r="F2373" i="10"/>
  <c r="F2374" i="10"/>
  <c r="F2375" i="10"/>
  <c r="F2376" i="10"/>
  <c r="F2377" i="10"/>
  <c r="F2378" i="10"/>
  <c r="F2379" i="10"/>
  <c r="F2380" i="10"/>
  <c r="F2381" i="10"/>
  <c r="F2382" i="10"/>
  <c r="F2383" i="10"/>
  <c r="F2384" i="10"/>
  <c r="F2385" i="10"/>
  <c r="F2386" i="10"/>
  <c r="F2387" i="10"/>
  <c r="F2388" i="10"/>
  <c r="F2389" i="10"/>
  <c r="F2390" i="10"/>
  <c r="F2391" i="10"/>
  <c r="F2392" i="10"/>
  <c r="F2393" i="10"/>
  <c r="F2394" i="10"/>
  <c r="F2395" i="10"/>
  <c r="F2396" i="10"/>
  <c r="F2397" i="10"/>
  <c r="F2398" i="10"/>
  <c r="F2399" i="10"/>
  <c r="F2400" i="10"/>
  <c r="F2401" i="10"/>
  <c r="F2402" i="10"/>
  <c r="F2403" i="10"/>
  <c r="F2404" i="10"/>
  <c r="F2405" i="10"/>
  <c r="F2406" i="10"/>
  <c r="F2407" i="10"/>
  <c r="F2408" i="10"/>
  <c r="F2409" i="10"/>
  <c r="F2410" i="10"/>
  <c r="F2411" i="10"/>
  <c r="F2412" i="10"/>
  <c r="F2413" i="10"/>
  <c r="F2414" i="10"/>
  <c r="F2415" i="10"/>
  <c r="F2416" i="10"/>
  <c r="F2417" i="10"/>
  <c r="F2418" i="10"/>
  <c r="F2419" i="10"/>
  <c r="F2420" i="10"/>
  <c r="F2421" i="10"/>
  <c r="F2422" i="10"/>
  <c r="F2423" i="10"/>
  <c r="F2424" i="10"/>
  <c r="F2425" i="10"/>
  <c r="F2426" i="10"/>
  <c r="F2427" i="10"/>
  <c r="F2428" i="10"/>
  <c r="F2429" i="10"/>
  <c r="F2430" i="10"/>
  <c r="F2431" i="10"/>
  <c r="F2432" i="10"/>
  <c r="F2433" i="10"/>
  <c r="F2434" i="10"/>
  <c r="F2435" i="10"/>
  <c r="F2436" i="10"/>
  <c r="F2437" i="10"/>
  <c r="F2438" i="10"/>
  <c r="F2439" i="10"/>
  <c r="F2440" i="10"/>
  <c r="F2441" i="10"/>
  <c r="F2442" i="10"/>
  <c r="F2443" i="10"/>
  <c r="F2444" i="10"/>
  <c r="F2445" i="10"/>
  <c r="F2446" i="10"/>
  <c r="F2447" i="10"/>
  <c r="F2448" i="10"/>
  <c r="F2449" i="10"/>
  <c r="F2450" i="10"/>
  <c r="F2451" i="10"/>
  <c r="F2452" i="10"/>
  <c r="F2453" i="10"/>
  <c r="F2454" i="10"/>
  <c r="F2455" i="10"/>
  <c r="F2456" i="10"/>
  <c r="F2457" i="10"/>
  <c r="F2458" i="10"/>
  <c r="F2459" i="10"/>
  <c r="F2460" i="10"/>
  <c r="F2461" i="10"/>
  <c r="F2462" i="10"/>
  <c r="F2463" i="10"/>
  <c r="F2464" i="10"/>
  <c r="F2465" i="10"/>
  <c r="F2466" i="10"/>
  <c r="F2467" i="10"/>
  <c r="F2468" i="10"/>
  <c r="F2469" i="10"/>
  <c r="F2470" i="10"/>
  <c r="F2471" i="10"/>
  <c r="F2472" i="10"/>
  <c r="F2473" i="10"/>
  <c r="F2474" i="10"/>
  <c r="F2475" i="10"/>
  <c r="F2476" i="10"/>
  <c r="F2477" i="10"/>
  <c r="F2478" i="10"/>
  <c r="F2479" i="10"/>
  <c r="F2480" i="10"/>
  <c r="F2481" i="10"/>
  <c r="F2482" i="10"/>
  <c r="F2483" i="10"/>
  <c r="F2484" i="10"/>
  <c r="F2485" i="10"/>
  <c r="F2486" i="10"/>
  <c r="F2487" i="10"/>
  <c r="F2488" i="10"/>
  <c r="F2489" i="10"/>
  <c r="F2490" i="10"/>
  <c r="F2491" i="10"/>
  <c r="F2492" i="10"/>
  <c r="F2493" i="10"/>
  <c r="F2494" i="10"/>
  <c r="F2495" i="10"/>
  <c r="F2496" i="10"/>
  <c r="F2497" i="10"/>
  <c r="F2498" i="10"/>
  <c r="F2499" i="10"/>
  <c r="F2500" i="10"/>
  <c r="F2501" i="10"/>
  <c r="F2502" i="10"/>
  <c r="F2503" i="10"/>
  <c r="F2504" i="10"/>
  <c r="F2505" i="10"/>
  <c r="F2506" i="10"/>
  <c r="F2507" i="10"/>
  <c r="F2508" i="10"/>
  <c r="F2509" i="10"/>
  <c r="F2510" i="10"/>
  <c r="F2511" i="10"/>
  <c r="F2512" i="10"/>
  <c r="F2513" i="10"/>
  <c r="F2514" i="10"/>
  <c r="F2515" i="10"/>
  <c r="F2516" i="10"/>
  <c r="F2517" i="10"/>
  <c r="F2518" i="10"/>
  <c r="F2519" i="10"/>
  <c r="F2520" i="10"/>
  <c r="F2521" i="10"/>
  <c r="F2522" i="10"/>
  <c r="F2523" i="10"/>
  <c r="F2524" i="10"/>
  <c r="F2525" i="10"/>
  <c r="F2526" i="10"/>
  <c r="F2527" i="10"/>
  <c r="F2528" i="10"/>
  <c r="F2529" i="10"/>
  <c r="F2530" i="10"/>
  <c r="F2531" i="10"/>
  <c r="F2532" i="10"/>
  <c r="F2533" i="10"/>
  <c r="F2534" i="10"/>
  <c r="F2535" i="10"/>
  <c r="F2536" i="10"/>
  <c r="F2537" i="10"/>
  <c r="F2538" i="10"/>
  <c r="F2539" i="10"/>
  <c r="F2540" i="10"/>
  <c r="F2541" i="10"/>
  <c r="F2542" i="10"/>
  <c r="F2543" i="10"/>
  <c r="F2544" i="10"/>
  <c r="F2545" i="10"/>
  <c r="F2546" i="10"/>
  <c r="F2547" i="10"/>
  <c r="F2548" i="10"/>
  <c r="F2549" i="10"/>
  <c r="F2550" i="10"/>
  <c r="F2551" i="10"/>
  <c r="F2552" i="10"/>
  <c r="F2553" i="10"/>
  <c r="F2554" i="10"/>
  <c r="F2555" i="10"/>
  <c r="F2556" i="10"/>
  <c r="F2557" i="10"/>
  <c r="F2558" i="10"/>
  <c r="F2559" i="10"/>
  <c r="F2560" i="10"/>
  <c r="F2561" i="10"/>
  <c r="F2562" i="10"/>
  <c r="F2563" i="10"/>
  <c r="F2564" i="10"/>
  <c r="F2565" i="10"/>
  <c r="F2566" i="10"/>
  <c r="F2567" i="10"/>
  <c r="F2568" i="10"/>
  <c r="F2569" i="10"/>
  <c r="F2570" i="10"/>
  <c r="F2571" i="10"/>
  <c r="F2572" i="10"/>
  <c r="F2573" i="10"/>
  <c r="F2574" i="10"/>
  <c r="F2575" i="10"/>
  <c r="F2576" i="10"/>
  <c r="F2577" i="10"/>
  <c r="F2578" i="10"/>
  <c r="F2579" i="10"/>
  <c r="F2580" i="10"/>
  <c r="F2581" i="10"/>
  <c r="F2582" i="10"/>
  <c r="F2583" i="10"/>
  <c r="F2584" i="10"/>
  <c r="F2585" i="10"/>
  <c r="F2586" i="10"/>
  <c r="F2587" i="10"/>
  <c r="F2588" i="10"/>
  <c r="F2589" i="10"/>
  <c r="F2590" i="10"/>
  <c r="F2591" i="10"/>
  <c r="F2592" i="10"/>
  <c r="F2593" i="10"/>
  <c r="F2594" i="10"/>
  <c r="F2595" i="10"/>
  <c r="F2596" i="10"/>
  <c r="F2597" i="10"/>
  <c r="F2598" i="10"/>
  <c r="F2599" i="10"/>
  <c r="F2600" i="10"/>
  <c r="F2601" i="10"/>
  <c r="F2602" i="10"/>
  <c r="F2603" i="10"/>
  <c r="F2604" i="10"/>
  <c r="F2605" i="10"/>
  <c r="F2606" i="10"/>
  <c r="F2607" i="10"/>
  <c r="F2608" i="10"/>
  <c r="F2609" i="10"/>
  <c r="F2610" i="10"/>
  <c r="F2611" i="10"/>
  <c r="F2612" i="10"/>
  <c r="F2613" i="10"/>
  <c r="F2614" i="10"/>
  <c r="F2615" i="10"/>
  <c r="F2616" i="10"/>
  <c r="F2617" i="10"/>
  <c r="F2618" i="10"/>
  <c r="F2619" i="10"/>
  <c r="F2620" i="10"/>
  <c r="F2621" i="10"/>
  <c r="F2622" i="10"/>
  <c r="F2623" i="10"/>
  <c r="F2624" i="10"/>
  <c r="F2625" i="10"/>
  <c r="F2626" i="10"/>
  <c r="F2627" i="10"/>
  <c r="F2628" i="10"/>
  <c r="F2629" i="10"/>
  <c r="F2630" i="10"/>
  <c r="F2631" i="10"/>
  <c r="F2632" i="10"/>
  <c r="F2633" i="10"/>
  <c r="F2634" i="10"/>
  <c r="F2635" i="10"/>
  <c r="F2636" i="10"/>
  <c r="F2637" i="10"/>
  <c r="F2638" i="10"/>
  <c r="F2639" i="10"/>
  <c r="F2640" i="10"/>
  <c r="F2641" i="10"/>
  <c r="F2642" i="10"/>
  <c r="F2643" i="10"/>
  <c r="F2644" i="10"/>
  <c r="F2645" i="10"/>
  <c r="F2646" i="10"/>
  <c r="F2647" i="10"/>
  <c r="F2648" i="10"/>
  <c r="F2649" i="10"/>
  <c r="F2650" i="10"/>
  <c r="F2651" i="10"/>
  <c r="F2652" i="10"/>
  <c r="F2653" i="10"/>
  <c r="F2654" i="10"/>
  <c r="F2655" i="10"/>
  <c r="F2656" i="10"/>
  <c r="F2657" i="10"/>
  <c r="F2658" i="10"/>
  <c r="F2659" i="10"/>
  <c r="F2660" i="10"/>
  <c r="F2661" i="10"/>
  <c r="F2662" i="10"/>
  <c r="F2663" i="10"/>
  <c r="F2664" i="10"/>
  <c r="F2665" i="10"/>
  <c r="F2666" i="10"/>
  <c r="F2667" i="10"/>
  <c r="F2668" i="10"/>
  <c r="F2669" i="10"/>
  <c r="F2670" i="10"/>
  <c r="F2671" i="10"/>
  <c r="F2672" i="10"/>
  <c r="F2673" i="10"/>
  <c r="F2674" i="10"/>
  <c r="F2675" i="10"/>
  <c r="F2676" i="10"/>
  <c r="F2677" i="10"/>
  <c r="F2678" i="10"/>
  <c r="F2679" i="10"/>
  <c r="F2680" i="10"/>
  <c r="F2681" i="10"/>
  <c r="F2682" i="10"/>
  <c r="F2683" i="10"/>
  <c r="F2684" i="10"/>
  <c r="F2685" i="10"/>
  <c r="F2686" i="10"/>
  <c r="F2687" i="10"/>
  <c r="F2688" i="10"/>
  <c r="F2689" i="10"/>
  <c r="F2690" i="10"/>
  <c r="F2691" i="10"/>
  <c r="F2692" i="10"/>
  <c r="F2693" i="10"/>
  <c r="F2694" i="10"/>
  <c r="F2695" i="10"/>
  <c r="F2696" i="10"/>
  <c r="F2697" i="10"/>
  <c r="F2698" i="10"/>
  <c r="F2699" i="10"/>
  <c r="F2700" i="10"/>
  <c r="F2701" i="10"/>
  <c r="F2702" i="10"/>
  <c r="F2703" i="10"/>
  <c r="F2704" i="10"/>
  <c r="F2705" i="10"/>
  <c r="F2706" i="10"/>
  <c r="F2707" i="10"/>
  <c r="F2708" i="10"/>
  <c r="F2709" i="10"/>
  <c r="F2710" i="10"/>
  <c r="F2711" i="10"/>
  <c r="F2712" i="10"/>
  <c r="F2713" i="10"/>
  <c r="F2714" i="10"/>
  <c r="F2715" i="10"/>
  <c r="F2716" i="10"/>
  <c r="F2717" i="10"/>
  <c r="F2718" i="10"/>
  <c r="F2719" i="10"/>
  <c r="F2720" i="10"/>
  <c r="F2721" i="10"/>
  <c r="F2722" i="10"/>
  <c r="F2723" i="10"/>
  <c r="F2724" i="10"/>
  <c r="F2725" i="10"/>
  <c r="F2726" i="10"/>
  <c r="F2727" i="10"/>
  <c r="F2728" i="10"/>
  <c r="F2729" i="10"/>
  <c r="F2730" i="10"/>
  <c r="F2731" i="10"/>
  <c r="F2732" i="10"/>
  <c r="F2733" i="10"/>
  <c r="F2734" i="10"/>
  <c r="F2735" i="10"/>
  <c r="F2736" i="10"/>
  <c r="F2737" i="10"/>
  <c r="F2738" i="10"/>
  <c r="F2739" i="10"/>
  <c r="F2740" i="10"/>
  <c r="F2741" i="10"/>
  <c r="F2742" i="10"/>
  <c r="F2743" i="10"/>
  <c r="F2744" i="10"/>
  <c r="F2745" i="10"/>
  <c r="F2746" i="10"/>
  <c r="F2747" i="10"/>
  <c r="F2748" i="10"/>
  <c r="F2749" i="10"/>
  <c r="F2750" i="10"/>
  <c r="F2751" i="10"/>
  <c r="F2752" i="10"/>
  <c r="F2753" i="10"/>
  <c r="F2754" i="10"/>
  <c r="F2755" i="10"/>
  <c r="F2756" i="10"/>
  <c r="F2757" i="10"/>
  <c r="F2758" i="10"/>
  <c r="F2759" i="10"/>
  <c r="F2760" i="10"/>
  <c r="F2761" i="10"/>
  <c r="F2762" i="10"/>
  <c r="F2763" i="10"/>
  <c r="F2764" i="10"/>
  <c r="F2765" i="10"/>
  <c r="F2766" i="10"/>
  <c r="F2767" i="10"/>
  <c r="F2768" i="10"/>
  <c r="F2769" i="10"/>
  <c r="F2770" i="10"/>
  <c r="F2771" i="10"/>
  <c r="F2772" i="10"/>
  <c r="F2773" i="10"/>
  <c r="F2774" i="10"/>
  <c r="F2775" i="10"/>
  <c r="F2776" i="10"/>
  <c r="F2777" i="10"/>
  <c r="F2778" i="10"/>
  <c r="F2779" i="10"/>
  <c r="F2780" i="10"/>
  <c r="F2781" i="10"/>
  <c r="F2782" i="10"/>
  <c r="F2783" i="10"/>
  <c r="F2784" i="10"/>
  <c r="F2785" i="10"/>
  <c r="F2786" i="10"/>
  <c r="F2787" i="10"/>
  <c r="F2788" i="10"/>
  <c r="F2789" i="10"/>
  <c r="F2790" i="10"/>
  <c r="F2791" i="10"/>
  <c r="F2792" i="10"/>
  <c r="F2793" i="10"/>
  <c r="F2794" i="10"/>
  <c r="F2795" i="10"/>
  <c r="F2796" i="10"/>
  <c r="F2797" i="10"/>
  <c r="F2798" i="10"/>
  <c r="F2799" i="10"/>
  <c r="F2800" i="10"/>
  <c r="F2801" i="10"/>
  <c r="F2802" i="10"/>
  <c r="F2803" i="10"/>
  <c r="F2804" i="10"/>
  <c r="F2805" i="10"/>
  <c r="F2806" i="10"/>
  <c r="F2807" i="10"/>
  <c r="F2808" i="10"/>
  <c r="F2809" i="10"/>
  <c r="F2810" i="10"/>
  <c r="F2811" i="10"/>
  <c r="F2812" i="10"/>
  <c r="F2813" i="10"/>
  <c r="F2814" i="10"/>
  <c r="F2815" i="10"/>
  <c r="F2816" i="10"/>
  <c r="F2817" i="10"/>
  <c r="F2818" i="10"/>
  <c r="F2819" i="10"/>
  <c r="F2820" i="10"/>
  <c r="F2821" i="10"/>
  <c r="F2822" i="10"/>
  <c r="F2823" i="10"/>
  <c r="F2824" i="10"/>
  <c r="F2825" i="10"/>
  <c r="F2826" i="10"/>
  <c r="F2827" i="10"/>
  <c r="F2828" i="10"/>
  <c r="F2829" i="10"/>
  <c r="F2830" i="10"/>
  <c r="F2831" i="10"/>
  <c r="F2832" i="10"/>
  <c r="F2833" i="10"/>
  <c r="F2834" i="10"/>
  <c r="F2835" i="10"/>
  <c r="F2836" i="10"/>
  <c r="F2837" i="10"/>
  <c r="F2838" i="10"/>
  <c r="F2839" i="10"/>
  <c r="F2840" i="10"/>
  <c r="F2841" i="10"/>
  <c r="F2842" i="10"/>
  <c r="F2843" i="10"/>
  <c r="F2844" i="10"/>
  <c r="F2845" i="10"/>
  <c r="F2846" i="10"/>
  <c r="F2847" i="10"/>
  <c r="F2848" i="10"/>
  <c r="F2849" i="10"/>
  <c r="F2850" i="10"/>
  <c r="F2851" i="10"/>
  <c r="F2852" i="10"/>
  <c r="F2853" i="10"/>
  <c r="F2854" i="10"/>
  <c r="F2855" i="10"/>
  <c r="F2856" i="10"/>
  <c r="F2857" i="10"/>
  <c r="F2858" i="10"/>
  <c r="F2859" i="10"/>
  <c r="F2860" i="10"/>
  <c r="F2861" i="10"/>
  <c r="F2862" i="10"/>
  <c r="F2863" i="10"/>
  <c r="F2864" i="10"/>
  <c r="F2865" i="10"/>
  <c r="F2866" i="10"/>
  <c r="F2867" i="10"/>
  <c r="F2868" i="10"/>
  <c r="F2869" i="10"/>
  <c r="F2870" i="10"/>
  <c r="F2871" i="10"/>
  <c r="F2872" i="10"/>
  <c r="F2873" i="10"/>
  <c r="F2874" i="10"/>
  <c r="F2875" i="10"/>
  <c r="F2876" i="10"/>
  <c r="F2877" i="10"/>
  <c r="F2878" i="10"/>
  <c r="F2879" i="10"/>
  <c r="F2880" i="10"/>
  <c r="F2881" i="10"/>
  <c r="F2882" i="10"/>
  <c r="F2883" i="10"/>
  <c r="F2884" i="10"/>
  <c r="F2885" i="10"/>
  <c r="F2886" i="10"/>
  <c r="F2887" i="10"/>
  <c r="F2888" i="10"/>
  <c r="F2889" i="10"/>
  <c r="F2890" i="10"/>
  <c r="F2891" i="10"/>
  <c r="F2892" i="10"/>
  <c r="F2893" i="10"/>
  <c r="F2894" i="10"/>
  <c r="F2895" i="10"/>
  <c r="F2896" i="10"/>
  <c r="F2897" i="10"/>
  <c r="F2898" i="10"/>
  <c r="F2899" i="10"/>
  <c r="F2900" i="10"/>
  <c r="F2901" i="10"/>
  <c r="F2902" i="10"/>
  <c r="F2903" i="10"/>
  <c r="F2904" i="10"/>
  <c r="F2905" i="10"/>
  <c r="F2906" i="10"/>
  <c r="F2907" i="10"/>
  <c r="F2908" i="10"/>
  <c r="F2909" i="10"/>
  <c r="F2910" i="10"/>
  <c r="F2911" i="10"/>
  <c r="F2912" i="10"/>
  <c r="F2913" i="10"/>
  <c r="F2914" i="10"/>
  <c r="F2915" i="10"/>
  <c r="F2916" i="10"/>
  <c r="F2917" i="10"/>
  <c r="F2918" i="10"/>
  <c r="F2919" i="10"/>
  <c r="F2920" i="10"/>
  <c r="F2921" i="10"/>
  <c r="F2922" i="10"/>
  <c r="F2923" i="10"/>
  <c r="F2924" i="10"/>
  <c r="F2925" i="10"/>
  <c r="F2926" i="10"/>
  <c r="F2927" i="10"/>
  <c r="F2928" i="10"/>
  <c r="F2929" i="10"/>
  <c r="F2930" i="10"/>
  <c r="F2931" i="10"/>
  <c r="F2932" i="10"/>
  <c r="F2933" i="10"/>
  <c r="F2934" i="10"/>
  <c r="F2935" i="10"/>
  <c r="F2936" i="10"/>
  <c r="F2937" i="10"/>
  <c r="F2938" i="10"/>
  <c r="F2939" i="10"/>
  <c r="F2940" i="10"/>
  <c r="F2941" i="10"/>
  <c r="F2942" i="10"/>
  <c r="F2943" i="10"/>
  <c r="F2944" i="10"/>
  <c r="F2945" i="10"/>
  <c r="F2946" i="10"/>
  <c r="F2947" i="10"/>
  <c r="F2948" i="10"/>
  <c r="F2949" i="10"/>
  <c r="F2950" i="10"/>
  <c r="F2951" i="10"/>
  <c r="F2952" i="10"/>
  <c r="F2953" i="10"/>
  <c r="F2954" i="10"/>
  <c r="F2955" i="10"/>
  <c r="F2956" i="10"/>
  <c r="F2957" i="10"/>
  <c r="F2958" i="10"/>
  <c r="F2959" i="10"/>
  <c r="F2960" i="10"/>
  <c r="F2961" i="10"/>
  <c r="F2962" i="10"/>
  <c r="F2963" i="10"/>
  <c r="F2964" i="10"/>
  <c r="F2965" i="10"/>
  <c r="F2966" i="10"/>
  <c r="F2967" i="10"/>
  <c r="F2968" i="10"/>
  <c r="F2969" i="10"/>
  <c r="F2970" i="10"/>
  <c r="F2971" i="10"/>
  <c r="F2972" i="10"/>
  <c r="F2973" i="10"/>
  <c r="F2974" i="10"/>
  <c r="F2975" i="10"/>
  <c r="F2976" i="10"/>
  <c r="F2977" i="10"/>
  <c r="F2978" i="10"/>
  <c r="F2979" i="10"/>
  <c r="F2980" i="10"/>
  <c r="F2981" i="10"/>
  <c r="F2982" i="10"/>
  <c r="F2983" i="10"/>
  <c r="F2984" i="10"/>
  <c r="F2985" i="10"/>
  <c r="F2986" i="10"/>
  <c r="F2987" i="10"/>
  <c r="F2988" i="10"/>
  <c r="F2989" i="10"/>
  <c r="F2990" i="10"/>
  <c r="F2991" i="10"/>
  <c r="F2992" i="10"/>
  <c r="F2993" i="10"/>
  <c r="F2994" i="10"/>
  <c r="F2995" i="10"/>
  <c r="F2996" i="10"/>
  <c r="F2997" i="10"/>
  <c r="F2998" i="10"/>
  <c r="F2999" i="10"/>
  <c r="F3000" i="10"/>
  <c r="F3001" i="10"/>
  <c r="F3002" i="10"/>
  <c r="F3003" i="10"/>
  <c r="F3004" i="10"/>
  <c r="F3005" i="10"/>
  <c r="F3006" i="10"/>
  <c r="F3007" i="10"/>
  <c r="F3008" i="10"/>
  <c r="F3009" i="10"/>
  <c r="F3010" i="10"/>
  <c r="F3011" i="10"/>
  <c r="F3012" i="10"/>
  <c r="F3013" i="10"/>
  <c r="F3014" i="10"/>
  <c r="F3015" i="10"/>
  <c r="F3016" i="10"/>
  <c r="F3017" i="10"/>
  <c r="F3018" i="10"/>
  <c r="AE3018" i="10" s="1"/>
  <c r="F3019" i="10"/>
  <c r="F3020" i="10"/>
  <c r="F3021" i="10"/>
  <c r="F3022" i="10"/>
  <c r="F3023" i="10"/>
  <c r="AE3023" i="10" s="1"/>
  <c r="F3024" i="10"/>
  <c r="AE3024" i="10" s="1"/>
  <c r="F3025" i="10"/>
  <c r="F3026" i="10"/>
  <c r="F3027" i="10"/>
  <c r="F3028" i="10"/>
  <c r="F3029" i="10"/>
  <c r="F3030" i="10"/>
  <c r="AE3030" i="10" s="1"/>
  <c r="F3031" i="10"/>
  <c r="F3032" i="10"/>
  <c r="F3033" i="10"/>
  <c r="F3034" i="10"/>
  <c r="F3035" i="10"/>
  <c r="F3036" i="10"/>
  <c r="F3037" i="10"/>
  <c r="F3038" i="10"/>
  <c r="F3039" i="10"/>
  <c r="F3040" i="10"/>
  <c r="F3041" i="10"/>
  <c r="F3042" i="10"/>
  <c r="F3043" i="10"/>
  <c r="F3044" i="10"/>
  <c r="F3045" i="10"/>
  <c r="F3046" i="10"/>
  <c r="F3047" i="10"/>
  <c r="F3048" i="10"/>
  <c r="F3049" i="10"/>
  <c r="F3050" i="10"/>
  <c r="F3051" i="10"/>
  <c r="F3052" i="10"/>
  <c r="F3053" i="10"/>
  <c r="F3054" i="10"/>
  <c r="F3055" i="10"/>
  <c r="F3056" i="10"/>
  <c r="F3057" i="10"/>
  <c r="F3058" i="10"/>
  <c r="F3059" i="10"/>
  <c r="F3060" i="10"/>
  <c r="F3061" i="10"/>
  <c r="F3062" i="10"/>
  <c r="F3063" i="10"/>
  <c r="F3064" i="10"/>
  <c r="F3065" i="10"/>
  <c r="F3066" i="10"/>
  <c r="F3067" i="10"/>
  <c r="F3068" i="10"/>
  <c r="F3069" i="10"/>
  <c r="F3070" i="10"/>
  <c r="F3071" i="10"/>
  <c r="F3072" i="10"/>
  <c r="F3073" i="10"/>
  <c r="F3074" i="10"/>
  <c r="F3075" i="10"/>
  <c r="F3076" i="10"/>
  <c r="F3077" i="10"/>
  <c r="F3078" i="10"/>
  <c r="F3079" i="10"/>
  <c r="F3080" i="10"/>
  <c r="F3081" i="10"/>
  <c r="F3082" i="10"/>
  <c r="F3083" i="10"/>
  <c r="F3084" i="10"/>
  <c r="F3085" i="10"/>
  <c r="F3086" i="10"/>
  <c r="F3087" i="10"/>
  <c r="F3088" i="10"/>
  <c r="F3089" i="10"/>
  <c r="F3090" i="10"/>
  <c r="F3091" i="10"/>
  <c r="F3092" i="10"/>
  <c r="F3093" i="10"/>
  <c r="F3094" i="10"/>
  <c r="F3095" i="10"/>
  <c r="F3096" i="10"/>
  <c r="F3097" i="10"/>
  <c r="F3098" i="10"/>
  <c r="F3099" i="10"/>
  <c r="F3100" i="10"/>
  <c r="F3101" i="10"/>
  <c r="F3102" i="10"/>
  <c r="F3103" i="10"/>
  <c r="F3104" i="10"/>
  <c r="F3105" i="10"/>
  <c r="F3106" i="10"/>
  <c r="F3107" i="10"/>
  <c r="F3108" i="10"/>
  <c r="F3109" i="10"/>
  <c r="F3110" i="10"/>
  <c r="F3111" i="10"/>
  <c r="F3112" i="10"/>
  <c r="F3113" i="10"/>
  <c r="F3114" i="10"/>
  <c r="F3115" i="10"/>
  <c r="F3116" i="10"/>
  <c r="F3117" i="10"/>
  <c r="F3118" i="10"/>
  <c r="F3119" i="10"/>
  <c r="F3120" i="10"/>
  <c r="F3121" i="10"/>
  <c r="F3122" i="10"/>
  <c r="F3123" i="10"/>
  <c r="F3124" i="10"/>
  <c r="F3125" i="10"/>
  <c r="F3126" i="10"/>
  <c r="F3127" i="10"/>
  <c r="F3128" i="10"/>
  <c r="F3129" i="10"/>
  <c r="AE3129" i="10" s="1"/>
  <c r="F3130" i="10"/>
  <c r="F3131" i="10"/>
  <c r="F3132" i="10"/>
  <c r="AE3132" i="10" s="1"/>
  <c r="F3133" i="10"/>
  <c r="F3134" i="10"/>
  <c r="F3135" i="10"/>
  <c r="F3136" i="10"/>
  <c r="F3137" i="10"/>
  <c r="F3138" i="10"/>
  <c r="F3139" i="10"/>
  <c r="AE3139" i="10" s="1"/>
  <c r="F3140" i="10"/>
  <c r="F3141" i="10"/>
  <c r="F3142" i="10"/>
  <c r="F3143" i="10"/>
  <c r="F3144" i="10"/>
  <c r="F3145" i="10"/>
  <c r="F3146" i="10"/>
  <c r="F3147" i="10"/>
  <c r="AE3147" i="10" s="1"/>
  <c r="F3148" i="10"/>
  <c r="F3149" i="10"/>
  <c r="F3150" i="10"/>
  <c r="F3151" i="10"/>
  <c r="F3152" i="10"/>
  <c r="F3153" i="10"/>
  <c r="F3154" i="10"/>
  <c r="F3155" i="10"/>
  <c r="F3156" i="10"/>
  <c r="F3157" i="10"/>
  <c r="F3158" i="10"/>
  <c r="F3159" i="10"/>
  <c r="F3160" i="10"/>
  <c r="F3161" i="10"/>
  <c r="F3162" i="10"/>
  <c r="F3163" i="10"/>
  <c r="F3164" i="10"/>
  <c r="F3165" i="10"/>
  <c r="F3166" i="10"/>
  <c r="F3167" i="10"/>
  <c r="F3168" i="10"/>
  <c r="F3169" i="10"/>
  <c r="F3170" i="10"/>
  <c r="F3171" i="10"/>
  <c r="F3172" i="10"/>
  <c r="F3173" i="10"/>
  <c r="F3174" i="10"/>
  <c r="F3175" i="10"/>
  <c r="F3176" i="10"/>
  <c r="F3177" i="10"/>
  <c r="F3178" i="10"/>
  <c r="F3179" i="10"/>
  <c r="F3180" i="10"/>
  <c r="F3181" i="10"/>
  <c r="F3182" i="10"/>
  <c r="F3183" i="10"/>
  <c r="F3184" i="10"/>
  <c r="F3185" i="10"/>
  <c r="F3186" i="10"/>
  <c r="F3187" i="10"/>
  <c r="F3188" i="10"/>
  <c r="F3189" i="10"/>
  <c r="F3190" i="10"/>
  <c r="F3191" i="10"/>
  <c r="F3192" i="10"/>
  <c r="F3193" i="10"/>
  <c r="F3194" i="10"/>
  <c r="F3195" i="10"/>
  <c r="F3196" i="10"/>
  <c r="F3197" i="10"/>
  <c r="F3198" i="10"/>
  <c r="F3199" i="10"/>
  <c r="F3200" i="10"/>
  <c r="F3201" i="10"/>
  <c r="F3202" i="10"/>
  <c r="F3203" i="10"/>
  <c r="C180" i="7" l="1"/>
  <c r="B180" i="7"/>
  <c r="C179" i="7"/>
  <c r="B179" i="7"/>
  <c r="C178" i="7"/>
  <c r="B178" i="7"/>
  <c r="C177" i="7"/>
  <c r="B177" i="7"/>
  <c r="C176" i="7"/>
  <c r="B176" i="7"/>
  <c r="C175" i="7"/>
  <c r="B175" i="7"/>
  <c r="C174" i="7"/>
  <c r="B174" i="7"/>
  <c r="C173" i="7"/>
  <c r="B173" i="7"/>
  <c r="C172" i="7"/>
  <c r="B172" i="7"/>
  <c r="C171" i="7"/>
  <c r="B171" i="7"/>
  <c r="C170" i="7"/>
  <c r="B170" i="7"/>
  <c r="C169" i="7"/>
  <c r="B169" i="7"/>
  <c r="C168" i="7"/>
  <c r="B168" i="7"/>
  <c r="C167" i="7"/>
  <c r="B167" i="7"/>
  <c r="C166" i="7"/>
  <c r="B166" i="7"/>
  <c r="C165" i="7"/>
  <c r="B165" i="7"/>
  <c r="C164" i="7"/>
  <c r="B164" i="7"/>
  <c r="C163" i="7"/>
  <c r="B163" i="7"/>
  <c r="C162" i="7"/>
  <c r="B162" i="7"/>
  <c r="C161" i="7"/>
  <c r="B161" i="7"/>
  <c r="C160" i="7"/>
  <c r="B160" i="7"/>
  <c r="C159" i="7"/>
  <c r="B159" i="7"/>
  <c r="C158" i="7"/>
  <c r="B158" i="7"/>
  <c r="C157" i="7"/>
  <c r="B157" i="7"/>
  <c r="C156" i="7"/>
  <c r="B156" i="7"/>
  <c r="C155" i="7"/>
  <c r="B155" i="7"/>
  <c r="C154" i="7"/>
  <c r="B154" i="7"/>
  <c r="C153" i="7"/>
  <c r="B153" i="7"/>
  <c r="C152" i="7"/>
  <c r="B152" i="7"/>
  <c r="C151" i="7"/>
  <c r="B151" i="7"/>
  <c r="C150" i="7"/>
  <c r="B150" i="7"/>
  <c r="C149" i="7"/>
  <c r="B149" i="7"/>
  <c r="C148" i="7"/>
  <c r="B148" i="7"/>
  <c r="C147" i="7"/>
  <c r="B147" i="7"/>
  <c r="C146" i="7"/>
  <c r="B146" i="7"/>
  <c r="C145" i="7"/>
  <c r="B145" i="7"/>
  <c r="C144" i="7"/>
  <c r="B144" i="7"/>
  <c r="C143" i="7"/>
  <c r="B143" i="7"/>
  <c r="C142" i="7"/>
  <c r="B142" i="7"/>
  <c r="C141" i="7"/>
  <c r="B141" i="7"/>
  <c r="C140" i="7"/>
  <c r="B140" i="7"/>
  <c r="C139" i="7"/>
  <c r="B139" i="7"/>
  <c r="C138" i="7"/>
  <c r="B138" i="7"/>
  <c r="C137" i="7"/>
  <c r="B137" i="7"/>
  <c r="C136" i="7"/>
  <c r="B136" i="7"/>
  <c r="C135" i="7"/>
  <c r="B135" i="7"/>
  <c r="C134" i="7"/>
  <c r="B134" i="7"/>
  <c r="C133" i="7"/>
  <c r="B133" i="7"/>
  <c r="C132" i="7"/>
  <c r="B132" i="7"/>
  <c r="C131" i="7"/>
  <c r="B131" i="7"/>
  <c r="C130" i="7"/>
  <c r="B130" i="7"/>
  <c r="C129" i="7"/>
  <c r="B129" i="7"/>
  <c r="C128" i="7"/>
  <c r="B128" i="7"/>
  <c r="C127" i="7"/>
  <c r="B127" i="7"/>
  <c r="C126" i="7"/>
  <c r="B126" i="7"/>
  <c r="C125" i="7"/>
  <c r="B125" i="7"/>
  <c r="C124" i="7"/>
  <c r="B124" i="7"/>
  <c r="C123" i="7"/>
  <c r="B123" i="7"/>
  <c r="C122" i="7"/>
  <c r="B122" i="7"/>
  <c r="C121" i="7"/>
  <c r="B121" i="7"/>
  <c r="C120" i="7"/>
  <c r="B120" i="7"/>
  <c r="C119" i="7"/>
  <c r="B119" i="7"/>
  <c r="C118" i="7"/>
  <c r="B118" i="7"/>
  <c r="C117" i="7"/>
  <c r="B117" i="7"/>
  <c r="C116" i="7"/>
  <c r="B116" i="7"/>
  <c r="C115" i="7"/>
  <c r="B115" i="7"/>
  <c r="C114" i="7"/>
  <c r="B114" i="7"/>
  <c r="C113" i="7"/>
  <c r="B113" i="7"/>
  <c r="C112" i="7"/>
  <c r="B112" i="7"/>
  <c r="C111" i="7"/>
  <c r="B111" i="7"/>
  <c r="C110" i="7"/>
  <c r="B110" i="7"/>
  <c r="C109" i="7"/>
  <c r="B109" i="7"/>
  <c r="C108" i="7"/>
  <c r="B108" i="7"/>
  <c r="C107" i="7"/>
  <c r="B107" i="7"/>
  <c r="C106" i="7"/>
  <c r="B106" i="7"/>
  <c r="C105" i="7"/>
  <c r="B105" i="7"/>
  <c r="C104" i="7"/>
  <c r="B104" i="7"/>
  <c r="C103" i="7"/>
  <c r="B103" i="7"/>
  <c r="C102" i="7"/>
  <c r="B102" i="7"/>
  <c r="C101" i="7"/>
  <c r="B101" i="7"/>
  <c r="C100" i="7"/>
  <c r="B100" i="7"/>
  <c r="C99" i="7"/>
  <c r="B99" i="7"/>
  <c r="C98" i="7"/>
  <c r="B98" i="7"/>
  <c r="C97" i="7"/>
  <c r="B97" i="7"/>
  <c r="C96" i="7"/>
  <c r="B96" i="7"/>
  <c r="C95" i="7"/>
  <c r="B95" i="7"/>
  <c r="C94" i="7"/>
  <c r="B94" i="7"/>
  <c r="C93" i="7"/>
  <c r="B93" i="7"/>
  <c r="C92" i="7"/>
  <c r="B92" i="7"/>
  <c r="C91" i="7"/>
  <c r="B91" i="7"/>
  <c r="C90" i="7"/>
  <c r="B90" i="7"/>
  <c r="C89" i="7"/>
  <c r="B89" i="7"/>
  <c r="C88" i="7"/>
  <c r="B88" i="7"/>
  <c r="C87" i="7"/>
  <c r="B87" i="7"/>
  <c r="C86" i="7"/>
  <c r="B86" i="7"/>
  <c r="C85" i="7"/>
  <c r="B85" i="7"/>
  <c r="C84" i="7"/>
  <c r="B84" i="7"/>
  <c r="C83" i="7"/>
  <c r="B83" i="7"/>
  <c r="C82" i="7"/>
  <c r="B82" i="7"/>
  <c r="C81" i="7"/>
  <c r="B81" i="7"/>
  <c r="C80" i="7"/>
  <c r="B80" i="7"/>
  <c r="C79" i="7"/>
  <c r="B79" i="7"/>
  <c r="C78" i="7"/>
  <c r="B78" i="7"/>
  <c r="C77" i="7"/>
  <c r="B77" i="7"/>
  <c r="C76" i="7"/>
  <c r="B76" i="7"/>
  <c r="C75" i="7"/>
  <c r="B75" i="7"/>
  <c r="C74" i="7"/>
  <c r="B74" i="7"/>
  <c r="C73" i="7"/>
  <c r="B73" i="7"/>
  <c r="C72" i="7"/>
  <c r="B72" i="7"/>
  <c r="C71" i="7"/>
  <c r="B71" i="7"/>
  <c r="C70" i="7"/>
  <c r="B70" i="7"/>
  <c r="C69" i="7"/>
  <c r="B69" i="7"/>
  <c r="C68" i="7"/>
  <c r="B68" i="7"/>
  <c r="C67" i="7"/>
  <c r="B67" i="7"/>
  <c r="C66" i="7"/>
  <c r="B66" i="7"/>
  <c r="C65" i="7"/>
  <c r="B65" i="7"/>
  <c r="C64" i="7"/>
  <c r="B64" i="7"/>
  <c r="C63" i="7"/>
  <c r="B63" i="7"/>
  <c r="C62" i="7"/>
  <c r="B62" i="7"/>
  <c r="C61" i="7"/>
  <c r="B61" i="7"/>
  <c r="C60" i="7"/>
  <c r="B60" i="7"/>
  <c r="C59" i="7"/>
  <c r="B59" i="7"/>
  <c r="C58" i="7"/>
  <c r="B58" i="7"/>
  <c r="C57" i="7"/>
  <c r="B57" i="7"/>
  <c r="C56" i="7"/>
  <c r="B56" i="7"/>
  <c r="C55" i="7"/>
  <c r="B55" i="7"/>
  <c r="C54" i="7"/>
  <c r="B54" i="7"/>
  <c r="C53" i="7"/>
  <c r="B53" i="7"/>
  <c r="C52" i="7"/>
  <c r="B52" i="7"/>
  <c r="C51" i="7"/>
  <c r="B51" i="7"/>
  <c r="C50" i="7"/>
  <c r="B50" i="7"/>
  <c r="C49" i="7"/>
  <c r="B49" i="7"/>
  <c r="C48" i="7"/>
  <c r="B48" i="7"/>
  <c r="C47" i="7"/>
  <c r="B47" i="7"/>
  <c r="C46" i="7"/>
  <c r="B46" i="7"/>
  <c r="C45" i="7"/>
  <c r="B45" i="7"/>
  <c r="C44" i="7"/>
  <c r="B44" i="7"/>
  <c r="C43" i="7"/>
  <c r="B43" i="7"/>
  <c r="C42" i="7"/>
  <c r="B42" i="7"/>
  <c r="C41" i="7"/>
  <c r="B41" i="7"/>
  <c r="C40" i="7"/>
  <c r="B40" i="7"/>
  <c r="C39" i="7"/>
  <c r="B39" i="7"/>
  <c r="C38" i="7"/>
  <c r="B38" i="7"/>
  <c r="C37" i="7"/>
  <c r="B37" i="7"/>
  <c r="C36" i="7"/>
  <c r="B36" i="7"/>
  <c r="C35" i="7"/>
  <c r="B35" i="7"/>
  <c r="C34" i="7"/>
  <c r="B34" i="7"/>
  <c r="C33" i="7"/>
  <c r="B33" i="7"/>
  <c r="C32" i="7"/>
  <c r="B32" i="7"/>
  <c r="C31" i="7"/>
  <c r="B31" i="7"/>
  <c r="C30" i="7"/>
  <c r="B30" i="7"/>
  <c r="C29" i="7"/>
  <c r="B29" i="7"/>
  <c r="C28" i="7"/>
  <c r="B28" i="7"/>
  <c r="C27" i="7"/>
  <c r="B27" i="7"/>
  <c r="C26" i="7"/>
  <c r="B26" i="7"/>
  <c r="C25" i="7"/>
  <c r="B25" i="7"/>
  <c r="C24" i="7"/>
  <c r="B24" i="7"/>
  <c r="C23" i="7"/>
  <c r="B23" i="7"/>
  <c r="C22" i="7"/>
  <c r="B22" i="7"/>
  <c r="C21" i="7"/>
  <c r="B21" i="7"/>
  <c r="C20" i="7"/>
  <c r="B20" i="7"/>
  <c r="C19" i="7"/>
  <c r="B19" i="7"/>
  <c r="C18" i="7"/>
  <c r="B18" i="7"/>
  <c r="C17" i="7"/>
  <c r="B17" i="7"/>
  <c r="C16" i="7"/>
  <c r="B16" i="7"/>
  <c r="C15" i="7"/>
  <c r="B15" i="7"/>
  <c r="C14" i="7"/>
  <c r="B14" i="7"/>
  <c r="C13" i="7"/>
  <c r="B13" i="7"/>
  <c r="C12" i="7"/>
  <c r="B12" i="7"/>
  <c r="C11" i="7"/>
  <c r="B11" i="7"/>
  <c r="C10" i="7"/>
  <c r="B10" i="7"/>
  <c r="C9" i="7"/>
  <c r="B9" i="7"/>
  <c r="C8" i="7"/>
  <c r="B8" i="7"/>
  <c r="C7" i="7"/>
  <c r="B7" i="7"/>
  <c r="C6" i="7"/>
  <c r="B6" i="7"/>
  <c r="C5" i="7"/>
  <c r="B5" i="7"/>
  <c r="C4" i="7"/>
  <c r="B4" i="7"/>
  <c r="C3" i="7"/>
  <c r="B3" i="7"/>
  <c r="B2" i="7"/>
  <c r="C2" i="7"/>
  <c r="AX27" i="1"/>
  <c r="AX26" i="1"/>
  <c r="AX25" i="1"/>
  <c r="AX24" i="1"/>
  <c r="AX23" i="1"/>
  <c r="AX22" i="1"/>
  <c r="AX21" i="1"/>
  <c r="AX20" i="1"/>
  <c r="AX19" i="1"/>
  <c r="AX18" i="1"/>
  <c r="AX17" i="1"/>
  <c r="AX16" i="1"/>
  <c r="AX15" i="1"/>
  <c r="AX14" i="1"/>
  <c r="AW27" i="1"/>
  <c r="AW26" i="1"/>
  <c r="AW25" i="1"/>
  <c r="AW24" i="1"/>
  <c r="AW23" i="1"/>
  <c r="AW22" i="1"/>
  <c r="AW21" i="1"/>
  <c r="AW20" i="1"/>
  <c r="AW19" i="1"/>
  <c r="AW18" i="1"/>
  <c r="AW17" i="1"/>
  <c r="AW16" i="1"/>
  <c r="AW15" i="1"/>
  <c r="AW14" i="1"/>
  <c r="AV27" i="1"/>
  <c r="AV26" i="1"/>
  <c r="AV25" i="1"/>
  <c r="AV24" i="1"/>
  <c r="AV23" i="1"/>
  <c r="AV22" i="1"/>
  <c r="AV21" i="1"/>
  <c r="AV20" i="1"/>
  <c r="AV19" i="1"/>
  <c r="AV18" i="1"/>
  <c r="AV17" i="1"/>
  <c r="AV16" i="1"/>
  <c r="AV15" i="1"/>
  <c r="AV14" i="1"/>
  <c r="AU27" i="1"/>
  <c r="AU26" i="1"/>
  <c r="AU25" i="1"/>
  <c r="AU24" i="1"/>
  <c r="AU23" i="1"/>
  <c r="AU22" i="1"/>
  <c r="AU21" i="1"/>
  <c r="AU20" i="1"/>
  <c r="AU19" i="1"/>
  <c r="AU18" i="1"/>
  <c r="AU17" i="1"/>
  <c r="AU16" i="1"/>
  <c r="AU15" i="1"/>
  <c r="AU14" i="1"/>
  <c r="AT27" i="1"/>
  <c r="AT26" i="1"/>
  <c r="AT25" i="1"/>
  <c r="AT24" i="1"/>
  <c r="AT23" i="1"/>
  <c r="AT22" i="1"/>
  <c r="AT21" i="1"/>
  <c r="AT20" i="1"/>
  <c r="AT19" i="1"/>
  <c r="AT18" i="1"/>
  <c r="AT17" i="1"/>
  <c r="AT16" i="1"/>
  <c r="AT15" i="1"/>
  <c r="AT14" i="1"/>
  <c r="AS27" i="1"/>
  <c r="AS26" i="1"/>
  <c r="AS25" i="1"/>
  <c r="AS24" i="1"/>
  <c r="AS23" i="1"/>
  <c r="AS22" i="1"/>
  <c r="AS21" i="1"/>
  <c r="AS20" i="1"/>
  <c r="AS19" i="1"/>
  <c r="AS18" i="1"/>
  <c r="AS17" i="1"/>
  <c r="AS16" i="1"/>
  <c r="AS15" i="1"/>
  <c r="AS14" i="1"/>
  <c r="AR27" i="1"/>
  <c r="AR26" i="1"/>
  <c r="AR25" i="1"/>
  <c r="AR24" i="1"/>
  <c r="AR23" i="1"/>
  <c r="AR22" i="1"/>
  <c r="AR21" i="1"/>
  <c r="AR20" i="1"/>
  <c r="AR19" i="1"/>
  <c r="AR18" i="1"/>
  <c r="AR17" i="1"/>
  <c r="AR16" i="1"/>
  <c r="AR15" i="1"/>
  <c r="AR14" i="1"/>
  <c r="AQ27" i="1"/>
  <c r="AQ26" i="1"/>
  <c r="AQ25" i="1"/>
  <c r="AQ24" i="1"/>
  <c r="AQ23" i="1"/>
  <c r="AQ22" i="1"/>
  <c r="AQ21" i="1"/>
  <c r="AQ20" i="1"/>
  <c r="AQ19" i="1"/>
  <c r="AQ18" i="1"/>
  <c r="AQ17" i="1"/>
  <c r="AQ16" i="1"/>
  <c r="AQ15" i="1"/>
  <c r="AQ14" i="1"/>
  <c r="AP27" i="1"/>
  <c r="AP26" i="1"/>
  <c r="AP25" i="1"/>
  <c r="AP24" i="1"/>
  <c r="AP23" i="1"/>
  <c r="AP22" i="1"/>
  <c r="AP21" i="1"/>
  <c r="AP20" i="1"/>
  <c r="AP19" i="1"/>
  <c r="AP18" i="1"/>
  <c r="AP17" i="1"/>
  <c r="AP16" i="1"/>
  <c r="AP15" i="1"/>
  <c r="AP14" i="1"/>
  <c r="AO27" i="1"/>
  <c r="AO26" i="1"/>
  <c r="AO25" i="1"/>
  <c r="AO24" i="1"/>
  <c r="AO23" i="1"/>
  <c r="AO22" i="1"/>
  <c r="AO21" i="1"/>
  <c r="AO20" i="1"/>
  <c r="AO19" i="1"/>
  <c r="AO18" i="1"/>
  <c r="AO17" i="1"/>
  <c r="AO16" i="1"/>
  <c r="AO15" i="1"/>
  <c r="AO14" i="1"/>
  <c r="AN27" i="1"/>
  <c r="AN26" i="1"/>
  <c r="AN25" i="1"/>
  <c r="AN24" i="1"/>
  <c r="AN23" i="1"/>
  <c r="AN22" i="1"/>
  <c r="AN21" i="1"/>
  <c r="AN20" i="1"/>
  <c r="AN19" i="1"/>
  <c r="AN18" i="1"/>
  <c r="AN17" i="1"/>
  <c r="AN16" i="1"/>
  <c r="AN15" i="1"/>
  <c r="AN14" i="1"/>
  <c r="AM27" i="1"/>
  <c r="AM26" i="1"/>
  <c r="AM25" i="1"/>
  <c r="AM24" i="1"/>
  <c r="AM23" i="1"/>
  <c r="AM22" i="1"/>
  <c r="AM21" i="1"/>
  <c r="AM20" i="1"/>
  <c r="AM19" i="1"/>
  <c r="AM18" i="1"/>
  <c r="AM17" i="1"/>
  <c r="AM16" i="1"/>
  <c r="AM15" i="1"/>
  <c r="AM14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E27" i="1"/>
  <c r="E26" i="1"/>
  <c r="E25" i="1"/>
  <c r="E24" i="1"/>
  <c r="E23" i="1"/>
  <c r="E22" i="1"/>
  <c r="E21" i="1"/>
  <c r="E20" i="1"/>
  <c r="E19" i="1"/>
  <c r="E18" i="1"/>
  <c r="E17" i="1"/>
  <c r="E16" i="1"/>
  <c r="E14" i="1"/>
  <c r="AI14" i="1"/>
  <c r="AH14" i="1"/>
  <c r="AG14" i="1"/>
  <c r="AF14" i="1"/>
  <c r="AE14" i="1"/>
  <c r="AD14" i="1"/>
  <c r="AC14" i="1"/>
  <c r="AB14" i="1"/>
  <c r="Z14" i="1"/>
  <c r="Y14" i="1"/>
  <c r="X14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4" i="8"/>
  <c r="C3" i="8"/>
  <c r="C2" i="8"/>
  <c r="AL109" i="13"/>
  <c r="AL108" i="13"/>
  <c r="AL107" i="13"/>
  <c r="AL106" i="13"/>
  <c r="AL105" i="13"/>
  <c r="AL104" i="13"/>
  <c r="AL103" i="13"/>
  <c r="AL102" i="13"/>
  <c r="AL101" i="13"/>
  <c r="AL100" i="13"/>
  <c r="AL99" i="13"/>
  <c r="AL98" i="13"/>
  <c r="AL97" i="13"/>
  <c r="AL96" i="13"/>
  <c r="AL95" i="13"/>
  <c r="AL94" i="13"/>
  <c r="AL93" i="13"/>
  <c r="AL92" i="13"/>
  <c r="AL91" i="13"/>
  <c r="AL90" i="13"/>
  <c r="AL89" i="13"/>
  <c r="AL87" i="13"/>
  <c r="AL86" i="13"/>
  <c r="AL85" i="13"/>
  <c r="AL84" i="13"/>
  <c r="AL83" i="13"/>
  <c r="AL82" i="13"/>
  <c r="AL81" i="13"/>
  <c r="AL80" i="13"/>
  <c r="AL79" i="13"/>
  <c r="AL78" i="13"/>
  <c r="AL77" i="13"/>
  <c r="AL76" i="13"/>
  <c r="AL75" i="13"/>
  <c r="AL74" i="13"/>
  <c r="AL73" i="13"/>
  <c r="AL72" i="13"/>
  <c r="AL71" i="13"/>
  <c r="AL70" i="13"/>
  <c r="AL69" i="13"/>
  <c r="AL68" i="13"/>
  <c r="AL67" i="13"/>
  <c r="AL66" i="13"/>
  <c r="AL65" i="13"/>
  <c r="AL64" i="13"/>
  <c r="AL63" i="13"/>
  <c r="AL62" i="13"/>
  <c r="AL61" i="13"/>
  <c r="AL60" i="13"/>
  <c r="AL59" i="13"/>
  <c r="AL58" i="13"/>
  <c r="AL57" i="13"/>
  <c r="AL56" i="13"/>
  <c r="AL55" i="13"/>
  <c r="AL54" i="13"/>
  <c r="AL53" i="13"/>
  <c r="AL52" i="13"/>
  <c r="AL51" i="13"/>
  <c r="AL50" i="13"/>
  <c r="AL49" i="13"/>
  <c r="AL48" i="13"/>
  <c r="AL47" i="13"/>
  <c r="AL46" i="13"/>
  <c r="AL45" i="13"/>
  <c r="AL44" i="13"/>
  <c r="AL43" i="13"/>
  <c r="AL42" i="13"/>
  <c r="AL41" i="13"/>
  <c r="AL40" i="13"/>
  <c r="AL39" i="13"/>
  <c r="AL38" i="13"/>
  <c r="AL37" i="13"/>
  <c r="AL36" i="13"/>
  <c r="AL35" i="13"/>
  <c r="AL34" i="13"/>
  <c r="AL33" i="13"/>
  <c r="AL32" i="13"/>
  <c r="AL31" i="13"/>
  <c r="AL30" i="13"/>
  <c r="AL29" i="13"/>
  <c r="AL28" i="13"/>
  <c r="AL27" i="13"/>
  <c r="AL26" i="13"/>
  <c r="AL25" i="13"/>
  <c r="AL24" i="13"/>
  <c r="AL23" i="13"/>
  <c r="AL22" i="13"/>
  <c r="AL21" i="13"/>
  <c r="AL20" i="13"/>
  <c r="AL19" i="13"/>
  <c r="AL18" i="13"/>
  <c r="AL17" i="13"/>
  <c r="AL16" i="13"/>
  <c r="AL15" i="13"/>
  <c r="AL14" i="13"/>
  <c r="AL13" i="13"/>
  <c r="AL12" i="13"/>
  <c r="AL11" i="13"/>
  <c r="AL10" i="13"/>
  <c r="AL9" i="13"/>
  <c r="AL8" i="13"/>
  <c r="AL7" i="13"/>
  <c r="AL6" i="13"/>
  <c r="AL5" i="13"/>
  <c r="AL4" i="13"/>
  <c r="AL3" i="13"/>
  <c r="A109" i="13"/>
  <c r="AN109" i="13" s="1"/>
  <c r="A108" i="13"/>
  <c r="AN108" i="13" s="1"/>
  <c r="A107" i="13"/>
  <c r="AN107" i="13" s="1"/>
  <c r="A106" i="13"/>
  <c r="AN106" i="13" s="1"/>
  <c r="A105" i="13"/>
  <c r="AN105" i="13" s="1"/>
  <c r="A104" i="13"/>
  <c r="AN104" i="13" s="1"/>
  <c r="A103" i="13"/>
  <c r="AN103" i="13" s="1"/>
  <c r="A102" i="13"/>
  <c r="AN102" i="13" s="1"/>
  <c r="A101" i="13"/>
  <c r="AN101" i="13" s="1"/>
  <c r="A100" i="13"/>
  <c r="AN100" i="13" s="1"/>
  <c r="A99" i="13"/>
  <c r="AN99" i="13" s="1"/>
  <c r="A98" i="13"/>
  <c r="AN98" i="13" s="1"/>
  <c r="A97" i="13"/>
  <c r="AN97" i="13" s="1"/>
  <c r="A96" i="13"/>
  <c r="AN96" i="13" s="1"/>
  <c r="A95" i="13"/>
  <c r="AN95" i="13" s="1"/>
  <c r="A94" i="13"/>
  <c r="AN94" i="13" s="1"/>
  <c r="A93" i="13"/>
  <c r="AN93" i="13" s="1"/>
  <c r="A92" i="13"/>
  <c r="AN92" i="13" s="1"/>
  <c r="A91" i="13"/>
  <c r="AN91" i="13" s="1"/>
  <c r="A90" i="13"/>
  <c r="AN90" i="13" s="1"/>
  <c r="A89" i="13"/>
  <c r="AN89" i="13" s="1"/>
  <c r="A88" i="13"/>
  <c r="AN88" i="13" s="1"/>
  <c r="A87" i="13"/>
  <c r="AN87" i="13" s="1"/>
  <c r="A86" i="13"/>
  <c r="AN86" i="13" s="1"/>
  <c r="A85" i="13"/>
  <c r="AN85" i="13" s="1"/>
  <c r="A84" i="13"/>
  <c r="AN84" i="13" s="1"/>
  <c r="A83" i="13"/>
  <c r="AN83" i="13" s="1"/>
  <c r="A82" i="13"/>
  <c r="AN82" i="13" s="1"/>
  <c r="A81" i="13"/>
  <c r="AN81" i="13" s="1"/>
  <c r="A80" i="13"/>
  <c r="AN80" i="13" s="1"/>
  <c r="A79" i="13"/>
  <c r="AN79" i="13" s="1"/>
  <c r="A78" i="13"/>
  <c r="AN78" i="13" s="1"/>
  <c r="A77" i="13"/>
  <c r="AN77" i="13" s="1"/>
  <c r="A76" i="13"/>
  <c r="AN76" i="13" s="1"/>
  <c r="A75" i="13"/>
  <c r="AN75" i="13" s="1"/>
  <c r="A74" i="13"/>
  <c r="AN74" i="13" s="1"/>
  <c r="A73" i="13"/>
  <c r="AN73" i="13" s="1"/>
  <c r="A72" i="13"/>
  <c r="AN72" i="13" s="1"/>
  <c r="A71" i="13"/>
  <c r="AN71" i="13" s="1"/>
  <c r="A70" i="13"/>
  <c r="AN70" i="13" s="1"/>
  <c r="A69" i="13"/>
  <c r="AN69" i="13" s="1"/>
  <c r="A68" i="13"/>
  <c r="AN68" i="13" s="1"/>
  <c r="A67" i="13"/>
  <c r="AN67" i="13" s="1"/>
  <c r="A66" i="13"/>
  <c r="AN66" i="13" s="1"/>
  <c r="A65" i="13"/>
  <c r="AN65" i="13" s="1"/>
  <c r="A64" i="13"/>
  <c r="AN64" i="13" s="1"/>
  <c r="A63" i="13"/>
  <c r="AN63" i="13" s="1"/>
  <c r="A62" i="13"/>
  <c r="AN62" i="13" s="1"/>
  <c r="A61" i="13"/>
  <c r="AN61" i="13" s="1"/>
  <c r="A60" i="13"/>
  <c r="AN60" i="13" s="1"/>
  <c r="A59" i="13"/>
  <c r="AN59" i="13" s="1"/>
  <c r="A58" i="13"/>
  <c r="AN58" i="13" s="1"/>
  <c r="A57" i="13"/>
  <c r="AN57" i="13" s="1"/>
  <c r="A56" i="13"/>
  <c r="AN56" i="13" s="1"/>
  <c r="A55" i="13"/>
  <c r="AN55" i="13" s="1"/>
  <c r="A54" i="13"/>
  <c r="AN54" i="13" s="1"/>
  <c r="A53" i="13"/>
  <c r="AN53" i="13" s="1"/>
  <c r="A52" i="13"/>
  <c r="AN52" i="13" s="1"/>
  <c r="A51" i="13"/>
  <c r="AN51" i="13" s="1"/>
  <c r="A50" i="13"/>
  <c r="AN50" i="13" s="1"/>
  <c r="A49" i="13"/>
  <c r="AN49" i="13" s="1"/>
  <c r="A48" i="13"/>
  <c r="AN48" i="13" s="1"/>
  <c r="A47" i="13"/>
  <c r="AN47" i="13" s="1"/>
  <c r="A46" i="13"/>
  <c r="AN46" i="13" s="1"/>
  <c r="A45" i="13"/>
  <c r="AN45" i="13" s="1"/>
  <c r="A44" i="13"/>
  <c r="AN44" i="13" s="1"/>
  <c r="A43" i="13"/>
  <c r="AN43" i="13" s="1"/>
  <c r="A42" i="13"/>
  <c r="AN42" i="13" s="1"/>
  <c r="A41" i="13"/>
  <c r="AN41" i="13" s="1"/>
  <c r="A40" i="13"/>
  <c r="AN40" i="13" s="1"/>
  <c r="A39" i="13"/>
  <c r="AN39" i="13" s="1"/>
  <c r="A38" i="13"/>
  <c r="AN38" i="13" s="1"/>
  <c r="A37" i="13"/>
  <c r="AN37" i="13" s="1"/>
  <c r="A36" i="13"/>
  <c r="AN36" i="13" s="1"/>
  <c r="A35" i="13"/>
  <c r="AN35" i="13" s="1"/>
  <c r="A34" i="13"/>
  <c r="AN34" i="13" s="1"/>
  <c r="A33" i="13"/>
  <c r="AN33" i="13" s="1"/>
  <c r="A32" i="13"/>
  <c r="AN32" i="13" s="1"/>
  <c r="A31" i="13"/>
  <c r="AN31" i="13" s="1"/>
  <c r="A30" i="13"/>
  <c r="AN30" i="13" s="1"/>
  <c r="A29" i="13"/>
  <c r="AN29" i="13" s="1"/>
  <c r="A28" i="13"/>
  <c r="AN28" i="13" s="1"/>
  <c r="A27" i="13"/>
  <c r="AN27" i="13" s="1"/>
  <c r="A26" i="13"/>
  <c r="AN26" i="13" s="1"/>
  <c r="A25" i="13"/>
  <c r="AN25" i="13" s="1"/>
  <c r="A24" i="13"/>
  <c r="AN24" i="13" s="1"/>
  <c r="A23" i="13"/>
  <c r="AN23" i="13" s="1"/>
  <c r="A22" i="13"/>
  <c r="AN22" i="13" s="1"/>
  <c r="A21" i="13"/>
  <c r="AN21" i="13" s="1"/>
  <c r="A20" i="13"/>
  <c r="AN20" i="13" s="1"/>
  <c r="A19" i="13"/>
  <c r="AN19" i="13" s="1"/>
  <c r="A18" i="13"/>
  <c r="AN18" i="13" s="1"/>
  <c r="A17" i="13"/>
  <c r="AN17" i="13" s="1"/>
  <c r="A16" i="13"/>
  <c r="AN16" i="13" s="1"/>
  <c r="A15" i="13"/>
  <c r="AN15" i="13" s="1"/>
  <c r="A14" i="13"/>
  <c r="AN14" i="13" s="1"/>
  <c r="A13" i="13"/>
  <c r="AN13" i="13" s="1"/>
  <c r="A12" i="13"/>
  <c r="AN12" i="13" s="1"/>
  <c r="A11" i="13"/>
  <c r="AN11" i="13" s="1"/>
  <c r="A10" i="13"/>
  <c r="AN10" i="13" s="1"/>
  <c r="A9" i="13"/>
  <c r="AN9" i="13" s="1"/>
  <c r="A8" i="13"/>
  <c r="AN8" i="13" s="1"/>
  <c r="A7" i="13"/>
  <c r="AN7" i="13" s="1"/>
  <c r="A6" i="13"/>
  <c r="AN6" i="13" s="1"/>
  <c r="A5" i="13"/>
  <c r="AN5" i="13" s="1"/>
  <c r="A4" i="13"/>
  <c r="AN4" i="13" s="1"/>
  <c r="A3" i="13"/>
  <c r="AN3" i="13" l="1"/>
  <c r="AP11" i="1"/>
  <c r="A6" i="7"/>
  <c r="A58" i="7"/>
  <c r="A70" i="7"/>
  <c r="A74" i="7"/>
  <c r="A86" i="7"/>
  <c r="A122" i="7"/>
  <c r="A134" i="7"/>
  <c r="A87" i="7"/>
  <c r="A131" i="7"/>
  <c r="A7" i="7"/>
  <c r="A23" i="7"/>
  <c r="A25" i="7"/>
  <c r="A27" i="7"/>
  <c r="A29" i="7"/>
  <c r="A31" i="7"/>
  <c r="A33" i="7"/>
  <c r="A39" i="7"/>
  <c r="A41" i="7"/>
  <c r="A43" i="7"/>
  <c r="A45" i="7"/>
  <c r="A47" i="7"/>
  <c r="A49" i="7"/>
  <c r="A55" i="7"/>
  <c r="A91" i="7"/>
  <c r="A93" i="7"/>
  <c r="A95" i="7"/>
  <c r="A135" i="7"/>
  <c r="A150" i="7"/>
  <c r="A154" i="7"/>
  <c r="A156" i="7"/>
  <c r="A158" i="7"/>
  <c r="A160" i="7"/>
  <c r="A166" i="7"/>
  <c r="A170" i="7"/>
  <c r="A172" i="7"/>
  <c r="A174" i="7"/>
  <c r="A176" i="7"/>
  <c r="A3" i="7"/>
  <c r="A71" i="7"/>
  <c r="A83" i="7"/>
  <c r="A155" i="7"/>
  <c r="A159" i="7"/>
  <c r="A171" i="7"/>
  <c r="A175" i="7"/>
  <c r="A67" i="7"/>
  <c r="A92" i="7"/>
  <c r="A96" i="7"/>
  <c r="A108" i="7"/>
  <c r="A19" i="7"/>
  <c r="A97" i="7"/>
  <c r="A103" i="7"/>
  <c r="A107" i="7"/>
  <c r="A109" i="7"/>
  <c r="A111" i="7"/>
  <c r="A113" i="7"/>
  <c r="A119" i="7"/>
  <c r="A146" i="7"/>
  <c r="A112" i="7"/>
  <c r="A10" i="7"/>
  <c r="A18" i="7"/>
  <c r="A22" i="7"/>
  <c r="A28" i="7"/>
  <c r="A44" i="7"/>
  <c r="A48" i="7"/>
  <c r="A138" i="7"/>
  <c r="A149" i="7"/>
  <c r="A12" i="7"/>
  <c r="A51" i="7"/>
  <c r="A76" i="7"/>
  <c r="A80" i="7"/>
  <c r="A115" i="7"/>
  <c r="A140" i="7"/>
  <c r="A144" i="7"/>
  <c r="A178" i="7"/>
  <c r="A9" i="7"/>
  <c r="A11" i="7"/>
  <c r="A13" i="7"/>
  <c r="A15" i="7"/>
  <c r="A17" i="7"/>
  <c r="A35" i="7"/>
  <c r="A42" i="7"/>
  <c r="A54" i="7"/>
  <c r="A60" i="7"/>
  <c r="A64" i="7"/>
  <c r="A75" i="7"/>
  <c r="A77" i="7"/>
  <c r="A79" i="7"/>
  <c r="A81" i="7"/>
  <c r="A99" i="7"/>
  <c r="A106" i="7"/>
  <c r="A118" i="7"/>
  <c r="A124" i="7"/>
  <c r="A128" i="7"/>
  <c r="A139" i="7"/>
  <c r="A141" i="7"/>
  <c r="A143" i="7"/>
  <c r="A145" i="7"/>
  <c r="A162" i="7"/>
  <c r="A169" i="7"/>
  <c r="A26" i="7"/>
  <c r="A34" i="7"/>
  <c r="A38" i="7"/>
  <c r="A59" i="7"/>
  <c r="A61" i="7"/>
  <c r="A63" i="7"/>
  <c r="A65" i="7"/>
  <c r="A90" i="7"/>
  <c r="A102" i="7"/>
  <c r="A123" i="7"/>
  <c r="A125" i="7"/>
  <c r="A127" i="7"/>
  <c r="A129" i="7"/>
  <c r="A153" i="7"/>
  <c r="A165" i="7"/>
  <c r="A8" i="7"/>
  <c r="A72" i="7"/>
  <c r="A88" i="7"/>
  <c r="A120" i="7"/>
  <c r="A136" i="7"/>
  <c r="A151" i="7"/>
  <c r="A167" i="7"/>
  <c r="A5" i="7"/>
  <c r="A14" i="7"/>
  <c r="A16" i="7"/>
  <c r="A21" i="7"/>
  <c r="A30" i="7"/>
  <c r="A32" i="7"/>
  <c r="A37" i="7"/>
  <c r="A46" i="7"/>
  <c r="A53" i="7"/>
  <c r="A62" i="7"/>
  <c r="A69" i="7"/>
  <c r="A78" i="7"/>
  <c r="A85" i="7"/>
  <c r="A94" i="7"/>
  <c r="A101" i="7"/>
  <c r="A110" i="7"/>
  <c r="A117" i="7"/>
  <c r="A126" i="7"/>
  <c r="A133" i="7"/>
  <c r="A142" i="7"/>
  <c r="A148" i="7"/>
  <c r="A157" i="7"/>
  <c r="A164" i="7"/>
  <c r="A173" i="7"/>
  <c r="A180" i="7"/>
  <c r="A24" i="7"/>
  <c r="A40" i="7"/>
  <c r="A56" i="7"/>
  <c r="A104" i="7"/>
  <c r="A4" i="7"/>
  <c r="A20" i="7"/>
  <c r="A36" i="7"/>
  <c r="A50" i="7"/>
  <c r="A52" i="7"/>
  <c r="A57" i="7"/>
  <c r="A66" i="7"/>
  <c r="A68" i="7"/>
  <c r="A73" i="7"/>
  <c r="A82" i="7"/>
  <c r="A84" i="7"/>
  <c r="A89" i="7"/>
  <c r="A98" i="7"/>
  <c r="A100" i="7"/>
  <c r="A105" i="7"/>
  <c r="A114" i="7"/>
  <c r="A116" i="7"/>
  <c r="A121" i="7"/>
  <c r="A130" i="7"/>
  <c r="A132" i="7"/>
  <c r="A137" i="7"/>
  <c r="A147" i="7"/>
  <c r="A152" i="7"/>
  <c r="A161" i="7"/>
  <c r="A163" i="7"/>
  <c r="A168" i="7"/>
  <c r="A177" i="7"/>
  <c r="A179" i="7"/>
  <c r="AV11" i="1"/>
  <c r="G11" i="1"/>
  <c r="O11" i="1"/>
  <c r="AE11" i="1"/>
  <c r="AI11" i="1"/>
  <c r="AQ11" i="1"/>
  <c r="J11" i="1"/>
  <c r="R11" i="1"/>
  <c r="Z11" i="1"/>
  <c r="AH11" i="1"/>
  <c r="AT11" i="1"/>
  <c r="E11" i="1"/>
  <c r="I11" i="1"/>
  <c r="M11" i="1"/>
  <c r="Q11" i="1"/>
  <c r="Y11" i="1"/>
  <c r="AC11" i="1"/>
  <c r="AG11" i="1"/>
  <c r="AO11" i="1"/>
  <c r="AS11" i="1"/>
  <c r="AW11" i="1"/>
  <c r="K11" i="1"/>
  <c r="S11" i="1"/>
  <c r="AA11" i="1"/>
  <c r="AU11" i="1"/>
  <c r="F11" i="1"/>
  <c r="N11" i="1"/>
  <c r="AD11" i="1"/>
  <c r="AX11" i="1"/>
  <c r="H11" i="1"/>
  <c r="L11" i="1"/>
  <c r="P11" i="1"/>
  <c r="X11" i="1"/>
  <c r="AB11" i="1"/>
  <c r="AF11" i="1"/>
  <c r="AR11" i="1"/>
  <c r="C3203" i="10"/>
  <c r="C3202" i="10"/>
  <c r="C3201" i="10"/>
  <c r="C3200" i="10"/>
  <c r="C3199" i="10"/>
  <c r="C3198" i="10"/>
  <c r="C3197" i="10"/>
  <c r="C3196" i="10"/>
  <c r="C3195" i="10"/>
  <c r="C3194" i="10"/>
  <c r="C3193" i="10"/>
  <c r="C3192" i="10"/>
  <c r="C3191" i="10"/>
  <c r="C3190" i="10"/>
  <c r="C3189" i="10"/>
  <c r="C3188" i="10"/>
  <c r="C3187" i="10"/>
  <c r="C3186" i="10"/>
  <c r="C3185" i="10"/>
  <c r="C3184" i="10"/>
  <c r="C3183" i="10"/>
  <c r="C3182" i="10"/>
  <c r="C3181" i="10"/>
  <c r="C3180" i="10"/>
  <c r="C3179" i="10"/>
  <c r="C3178" i="10"/>
  <c r="C3177" i="10"/>
  <c r="C3176" i="10"/>
  <c r="C3175" i="10"/>
  <c r="C3174" i="10"/>
  <c r="C3173" i="10"/>
  <c r="C3172" i="10"/>
  <c r="C3171" i="10"/>
  <c r="C3170" i="10"/>
  <c r="C3169" i="10"/>
  <c r="C3168" i="10"/>
  <c r="C3167" i="10"/>
  <c r="C3166" i="10"/>
  <c r="C3165" i="10"/>
  <c r="C3164" i="10"/>
  <c r="C3163" i="10"/>
  <c r="C3162" i="10"/>
  <c r="C3161" i="10"/>
  <c r="C3160" i="10"/>
  <c r="C3159" i="10"/>
  <c r="C3158" i="10"/>
  <c r="C3157" i="10"/>
  <c r="C3156" i="10"/>
  <c r="C3155" i="10"/>
  <c r="C3154" i="10"/>
  <c r="C3153" i="10"/>
  <c r="C3152" i="10"/>
  <c r="C3151" i="10"/>
  <c r="C3150" i="10"/>
  <c r="C3149" i="10"/>
  <c r="C3148" i="10"/>
  <c r="C3147" i="10"/>
  <c r="C3146" i="10"/>
  <c r="C3145" i="10"/>
  <c r="C3144" i="10"/>
  <c r="C3143" i="10"/>
  <c r="C3142" i="10"/>
  <c r="C3141" i="10"/>
  <c r="C3140" i="10"/>
  <c r="C3139" i="10"/>
  <c r="C3138" i="10"/>
  <c r="C3137" i="10"/>
  <c r="C3136" i="10"/>
  <c r="C3135" i="10"/>
  <c r="C3134" i="10"/>
  <c r="C3133" i="10"/>
  <c r="C3132" i="10"/>
  <c r="C3131" i="10"/>
  <c r="C3130" i="10"/>
  <c r="C3129" i="10"/>
  <c r="C3128" i="10"/>
  <c r="C3127" i="10"/>
  <c r="C3126" i="10"/>
  <c r="C3125" i="10"/>
  <c r="C3124" i="10"/>
  <c r="C3123" i="10"/>
  <c r="C3122" i="10"/>
  <c r="C3121" i="10"/>
  <c r="C3120" i="10"/>
  <c r="C3119" i="10"/>
  <c r="C3118" i="10"/>
  <c r="C3117" i="10"/>
  <c r="C3116" i="10"/>
  <c r="C3115" i="10"/>
  <c r="C3114" i="10"/>
  <c r="C3113" i="10"/>
  <c r="C3112" i="10"/>
  <c r="C3111" i="10"/>
  <c r="C3110" i="10"/>
  <c r="C3109" i="10"/>
  <c r="C3108" i="10"/>
  <c r="C3107" i="10"/>
  <c r="C3106" i="10"/>
  <c r="C3105" i="10"/>
  <c r="C3104" i="10"/>
  <c r="C3103" i="10"/>
  <c r="C3102" i="10"/>
  <c r="C3101" i="10"/>
  <c r="C3100" i="10"/>
  <c r="C3099" i="10"/>
  <c r="C3098" i="10"/>
  <c r="C3097" i="10"/>
  <c r="C3096" i="10"/>
  <c r="C3095" i="10"/>
  <c r="C3094" i="10"/>
  <c r="C3093" i="10"/>
  <c r="C3092" i="10"/>
  <c r="C3091" i="10"/>
  <c r="C3090" i="10"/>
  <c r="C3089" i="10"/>
  <c r="C3088" i="10"/>
  <c r="C3087" i="10"/>
  <c r="C3086" i="10"/>
  <c r="C3085" i="10"/>
  <c r="C3084" i="10"/>
  <c r="C3083" i="10"/>
  <c r="C3082" i="10"/>
  <c r="C3081" i="10"/>
  <c r="C3080" i="10"/>
  <c r="C3079" i="10"/>
  <c r="C3078" i="10"/>
  <c r="C3077" i="10"/>
  <c r="C3076" i="10"/>
  <c r="C3075" i="10"/>
  <c r="C3074" i="10"/>
  <c r="C3073" i="10"/>
  <c r="C3072" i="10"/>
  <c r="C3071" i="10"/>
  <c r="C3070" i="10"/>
  <c r="C3069" i="10"/>
  <c r="C3068" i="10"/>
  <c r="C3067" i="10"/>
  <c r="C3066" i="10"/>
  <c r="C3065" i="10"/>
  <c r="C3064" i="10"/>
  <c r="C3063" i="10"/>
  <c r="C3062" i="10"/>
  <c r="C3061" i="10"/>
  <c r="C3060" i="10"/>
  <c r="C3059" i="10"/>
  <c r="C3058" i="10"/>
  <c r="C3057" i="10"/>
  <c r="C3056" i="10"/>
  <c r="C3055" i="10"/>
  <c r="C3054" i="10"/>
  <c r="C3053" i="10"/>
  <c r="C3052" i="10"/>
  <c r="C3051" i="10"/>
  <c r="C3050" i="10"/>
  <c r="C3049" i="10"/>
  <c r="C3048" i="10"/>
  <c r="C3047" i="10"/>
  <c r="C3046" i="10"/>
  <c r="C3045" i="10"/>
  <c r="C3044" i="10"/>
  <c r="C3043" i="10"/>
  <c r="C3042" i="10"/>
  <c r="C3041" i="10"/>
  <c r="C3040" i="10"/>
  <c r="C3039" i="10"/>
  <c r="C3038" i="10"/>
  <c r="C3037" i="10"/>
  <c r="C3036" i="10"/>
  <c r="C3035" i="10"/>
  <c r="C3034" i="10"/>
  <c r="C3033" i="10"/>
  <c r="C3032" i="10"/>
  <c r="C3031" i="10"/>
  <c r="C3030" i="10"/>
  <c r="C3029" i="10"/>
  <c r="C3028" i="10"/>
  <c r="C3027" i="10"/>
  <c r="C3026" i="10"/>
  <c r="C3025" i="10"/>
  <c r="C3024" i="10"/>
  <c r="C3023" i="10"/>
  <c r="C3022" i="10"/>
  <c r="C3021" i="10"/>
  <c r="C3020" i="10"/>
  <c r="C3019" i="10"/>
  <c r="C3018" i="10"/>
  <c r="C3017" i="10"/>
  <c r="C3016" i="10"/>
  <c r="C3015" i="10"/>
  <c r="C3014" i="10"/>
  <c r="C3013" i="10"/>
  <c r="C3012" i="10"/>
  <c r="C3011" i="10"/>
  <c r="C3010" i="10"/>
  <c r="C3009" i="10"/>
  <c r="C3008" i="10"/>
  <c r="C3007" i="10"/>
  <c r="C3006" i="10"/>
  <c r="C3005" i="10"/>
  <c r="C3004" i="10"/>
  <c r="C3003" i="10"/>
  <c r="C3002" i="10"/>
  <c r="C3001" i="10"/>
  <c r="C3000" i="10"/>
  <c r="C2999" i="10"/>
  <c r="C2998" i="10"/>
  <c r="C2997" i="10"/>
  <c r="C2996" i="10"/>
  <c r="C2995" i="10"/>
  <c r="C2994" i="10"/>
  <c r="C2993" i="10"/>
  <c r="C2992" i="10"/>
  <c r="C2991" i="10"/>
  <c r="C2990" i="10"/>
  <c r="C2989" i="10"/>
  <c r="C2988" i="10"/>
  <c r="C2987" i="10"/>
  <c r="C2986" i="10"/>
  <c r="C2985" i="10"/>
  <c r="C2984" i="10"/>
  <c r="C2983" i="10"/>
  <c r="C2982" i="10"/>
  <c r="C2981" i="10"/>
  <c r="C2980" i="10"/>
  <c r="C2979" i="10"/>
  <c r="C2978" i="10"/>
  <c r="C2977" i="10"/>
  <c r="C2976" i="10"/>
  <c r="C2975" i="10"/>
  <c r="C2974" i="10"/>
  <c r="C2973" i="10"/>
  <c r="C2972" i="10"/>
  <c r="C2971" i="10"/>
  <c r="C2970" i="10"/>
  <c r="C2969" i="10"/>
  <c r="C2968" i="10"/>
  <c r="C2967" i="10"/>
  <c r="C2966" i="10"/>
  <c r="C2965" i="10"/>
  <c r="C2964" i="10"/>
  <c r="C2963" i="10"/>
  <c r="C2962" i="10"/>
  <c r="C2961" i="10"/>
  <c r="C2960" i="10"/>
  <c r="C2959" i="10"/>
  <c r="C2958" i="10"/>
  <c r="C2957" i="10"/>
  <c r="C2956" i="10"/>
  <c r="C2955" i="10"/>
  <c r="C2954" i="10"/>
  <c r="C2953" i="10"/>
  <c r="C2952" i="10"/>
  <c r="C2951" i="10"/>
  <c r="C2950" i="10"/>
  <c r="C2949" i="10"/>
  <c r="C2948" i="10"/>
  <c r="C2947" i="10"/>
  <c r="C2946" i="10"/>
  <c r="C2945" i="10"/>
  <c r="C2944" i="10"/>
  <c r="C2943" i="10"/>
  <c r="C2942" i="10"/>
  <c r="C2941" i="10"/>
  <c r="C2940" i="10"/>
  <c r="C2939" i="10"/>
  <c r="C2938" i="10"/>
  <c r="C2937" i="10"/>
  <c r="C2936" i="10"/>
  <c r="C2935" i="10"/>
  <c r="C2934" i="10"/>
  <c r="C2933" i="10"/>
  <c r="C2932" i="10"/>
  <c r="C2931" i="10"/>
  <c r="C2930" i="10"/>
  <c r="C2929" i="10"/>
  <c r="C2928" i="10"/>
  <c r="C2927" i="10"/>
  <c r="C2926" i="10"/>
  <c r="C2925" i="10"/>
  <c r="C2924" i="10"/>
  <c r="C2923" i="10"/>
  <c r="C2922" i="10"/>
  <c r="C2921" i="10"/>
  <c r="C2920" i="10"/>
  <c r="C2919" i="10"/>
  <c r="C2918" i="10"/>
  <c r="C2917" i="10"/>
  <c r="C2916" i="10"/>
  <c r="C2915" i="10"/>
  <c r="C2914" i="10"/>
  <c r="C2913" i="10"/>
  <c r="C2912" i="10"/>
  <c r="C2911" i="10"/>
  <c r="C2910" i="10"/>
  <c r="C2909" i="10"/>
  <c r="C2908" i="10"/>
  <c r="C2907" i="10"/>
  <c r="C2906" i="10"/>
  <c r="C2905" i="10"/>
  <c r="C2904" i="10"/>
  <c r="C2903" i="10"/>
  <c r="C2902" i="10"/>
  <c r="C2901" i="10"/>
  <c r="C2900" i="10"/>
  <c r="C2899" i="10"/>
  <c r="C2898" i="10"/>
  <c r="C2897" i="10"/>
  <c r="C2896" i="10"/>
  <c r="C2895" i="10"/>
  <c r="C2894" i="10"/>
  <c r="C2893" i="10"/>
  <c r="C2892" i="10"/>
  <c r="C2891" i="10"/>
  <c r="C2890" i="10"/>
  <c r="C2889" i="10"/>
  <c r="C2888" i="10"/>
  <c r="C2887" i="10"/>
  <c r="C2886" i="10"/>
  <c r="C2885" i="10"/>
  <c r="C2884" i="10"/>
  <c r="C2883" i="10"/>
  <c r="C2882" i="10"/>
  <c r="C2881" i="10"/>
  <c r="C2880" i="10"/>
  <c r="C2879" i="10"/>
  <c r="C2878" i="10"/>
  <c r="C2877" i="10"/>
  <c r="C2876" i="10"/>
  <c r="C2875" i="10"/>
  <c r="C2874" i="10"/>
  <c r="C2873" i="10"/>
  <c r="C2872" i="10"/>
  <c r="C2871" i="10"/>
  <c r="C2870" i="10"/>
  <c r="C2869" i="10"/>
  <c r="C2868" i="10"/>
  <c r="C2867" i="10"/>
  <c r="C2866" i="10"/>
  <c r="C2865" i="10"/>
  <c r="C2864" i="10"/>
  <c r="C2863" i="10"/>
  <c r="C2862" i="10"/>
  <c r="C2861" i="10"/>
  <c r="C2860" i="10"/>
  <c r="C2859" i="10"/>
  <c r="C2858" i="10"/>
  <c r="C2857" i="10"/>
  <c r="C2856" i="10"/>
  <c r="C2855" i="10"/>
  <c r="C2854" i="10"/>
  <c r="C2853" i="10"/>
  <c r="C2852" i="10"/>
  <c r="C2851" i="10"/>
  <c r="C2850" i="10"/>
  <c r="C2849" i="10"/>
  <c r="C2848" i="10"/>
  <c r="C2847" i="10"/>
  <c r="C2846" i="10"/>
  <c r="C2845" i="10"/>
  <c r="C2844" i="10"/>
  <c r="C2843" i="10"/>
  <c r="C2842" i="10"/>
  <c r="C2841" i="10"/>
  <c r="C2840" i="10"/>
  <c r="C2839" i="10"/>
  <c r="C2838" i="10"/>
  <c r="C2837" i="10"/>
  <c r="C2836" i="10"/>
  <c r="C2835" i="10"/>
  <c r="C2834" i="10"/>
  <c r="C2833" i="10"/>
  <c r="C2832" i="10"/>
  <c r="C2831" i="10"/>
  <c r="C2830" i="10"/>
  <c r="C2829" i="10"/>
  <c r="C2828" i="10"/>
  <c r="C2827" i="10"/>
  <c r="C2826" i="10"/>
  <c r="C2825" i="10"/>
  <c r="C2824" i="10"/>
  <c r="C2823" i="10"/>
  <c r="C2822" i="10"/>
  <c r="C2821" i="10"/>
  <c r="C2820" i="10"/>
  <c r="C2819" i="10"/>
  <c r="C2818" i="10"/>
  <c r="C2817" i="10"/>
  <c r="C2816" i="10"/>
  <c r="C2815" i="10"/>
  <c r="C2814" i="10"/>
  <c r="C2813" i="10"/>
  <c r="C2812" i="10"/>
  <c r="C2811" i="10"/>
  <c r="C2810" i="10"/>
  <c r="C2809" i="10"/>
  <c r="C2808" i="10"/>
  <c r="C2807" i="10"/>
  <c r="C2806" i="10"/>
  <c r="C2805" i="10"/>
  <c r="C2804" i="10"/>
  <c r="C2803" i="10"/>
  <c r="C2802" i="10"/>
  <c r="C2801" i="10"/>
  <c r="C2800" i="10"/>
  <c r="C2799" i="10"/>
  <c r="C2798" i="10"/>
  <c r="C2797" i="10"/>
  <c r="C2796" i="10"/>
  <c r="C2795" i="10"/>
  <c r="C2794" i="10"/>
  <c r="C2793" i="10"/>
  <c r="C2792" i="10"/>
  <c r="C2791" i="10"/>
  <c r="C2790" i="10"/>
  <c r="C2789" i="10"/>
  <c r="C2788" i="10"/>
  <c r="C2787" i="10"/>
  <c r="C2786" i="10"/>
  <c r="C2785" i="10"/>
  <c r="C2784" i="10"/>
  <c r="C2783" i="10"/>
  <c r="C2782" i="10"/>
  <c r="C2781" i="10"/>
  <c r="C2780" i="10"/>
  <c r="C2779" i="10"/>
  <c r="C2778" i="10"/>
  <c r="C2777" i="10"/>
  <c r="C2776" i="10"/>
  <c r="C2775" i="10"/>
  <c r="C2774" i="10"/>
  <c r="C2773" i="10"/>
  <c r="C2772" i="10"/>
  <c r="C2771" i="10"/>
  <c r="C2770" i="10"/>
  <c r="C2769" i="10"/>
  <c r="C2768" i="10"/>
  <c r="C2767" i="10"/>
  <c r="C2766" i="10"/>
  <c r="C2765" i="10"/>
  <c r="C2764" i="10"/>
  <c r="C2763" i="10"/>
  <c r="C2762" i="10"/>
  <c r="C2761" i="10"/>
  <c r="C2760" i="10"/>
  <c r="C2759" i="10"/>
  <c r="C2758" i="10"/>
  <c r="C2757" i="10"/>
  <c r="C2756" i="10"/>
  <c r="C2755" i="10"/>
  <c r="C2754" i="10"/>
  <c r="C2753" i="10"/>
  <c r="C2752" i="10"/>
  <c r="C2751" i="10"/>
  <c r="C2750" i="10"/>
  <c r="C2749" i="10"/>
  <c r="C2748" i="10"/>
  <c r="C2747" i="10"/>
  <c r="C2746" i="10"/>
  <c r="C2745" i="10"/>
  <c r="C2744" i="10"/>
  <c r="C2743" i="10"/>
  <c r="C2742" i="10"/>
  <c r="C2741" i="10"/>
  <c r="C2740" i="10"/>
  <c r="C2739" i="10"/>
  <c r="C2738" i="10"/>
  <c r="C2737" i="10"/>
  <c r="C2736" i="10"/>
  <c r="C2735" i="10"/>
  <c r="C2734" i="10"/>
  <c r="C2733" i="10"/>
  <c r="C2732" i="10"/>
  <c r="C2731" i="10"/>
  <c r="C2730" i="10"/>
  <c r="C2729" i="10"/>
  <c r="C2728" i="10"/>
  <c r="C2727" i="10"/>
  <c r="C2726" i="10"/>
  <c r="C2725" i="10"/>
  <c r="C2724" i="10"/>
  <c r="C2723" i="10"/>
  <c r="C2722" i="10"/>
  <c r="C2721" i="10"/>
  <c r="C2720" i="10"/>
  <c r="C2719" i="10"/>
  <c r="C2718" i="10"/>
  <c r="C2717" i="10"/>
  <c r="C2716" i="10"/>
  <c r="C2715" i="10"/>
  <c r="C2714" i="10"/>
  <c r="C2713" i="10"/>
  <c r="C2712" i="10"/>
  <c r="C2711" i="10"/>
  <c r="C2710" i="10"/>
  <c r="C2709" i="10"/>
  <c r="C2708" i="10"/>
  <c r="C2707" i="10"/>
  <c r="C2706" i="10"/>
  <c r="C2705" i="10"/>
  <c r="C2704" i="10"/>
  <c r="C2703" i="10"/>
  <c r="C2702" i="10"/>
  <c r="C2701" i="10"/>
  <c r="C2700" i="10"/>
  <c r="C2699" i="10"/>
  <c r="C2698" i="10"/>
  <c r="C2697" i="10"/>
  <c r="C2696" i="10"/>
  <c r="C2695" i="10"/>
  <c r="C2694" i="10"/>
  <c r="C2693" i="10"/>
  <c r="C2692" i="10"/>
  <c r="C2691" i="10"/>
  <c r="C2690" i="10"/>
  <c r="C2689" i="10"/>
  <c r="C2688" i="10"/>
  <c r="C2687" i="10"/>
  <c r="C2686" i="10"/>
  <c r="C2685" i="10"/>
  <c r="C2684" i="10"/>
  <c r="C2683" i="10"/>
  <c r="C2682" i="10"/>
  <c r="C2681" i="10"/>
  <c r="C2680" i="10"/>
  <c r="C2679" i="10"/>
  <c r="C2678" i="10"/>
  <c r="C2677" i="10"/>
  <c r="C2676" i="10"/>
  <c r="C2675" i="10"/>
  <c r="C2674" i="10"/>
  <c r="C2673" i="10"/>
  <c r="C2672" i="10"/>
  <c r="C2671" i="10"/>
  <c r="C2670" i="10"/>
  <c r="C2669" i="10"/>
  <c r="C2668" i="10"/>
  <c r="C2667" i="10"/>
  <c r="C2666" i="10"/>
  <c r="C2665" i="10"/>
  <c r="C2664" i="10"/>
  <c r="C2663" i="10"/>
  <c r="C2662" i="10"/>
  <c r="C2661" i="10"/>
  <c r="C2660" i="10"/>
  <c r="C2659" i="10"/>
  <c r="C2658" i="10"/>
  <c r="C2657" i="10"/>
  <c r="C2656" i="10"/>
  <c r="C2655" i="10"/>
  <c r="C2654" i="10"/>
  <c r="C2653" i="10"/>
  <c r="C2652" i="10"/>
  <c r="C2651" i="10"/>
  <c r="C2650" i="10"/>
  <c r="C2649" i="10"/>
  <c r="C2648" i="10"/>
  <c r="C2647" i="10"/>
  <c r="C2646" i="10"/>
  <c r="C2645" i="10"/>
  <c r="C2644" i="10"/>
  <c r="C2643" i="10"/>
  <c r="C2642" i="10"/>
  <c r="C2641" i="10"/>
  <c r="C2640" i="10"/>
  <c r="C2639" i="10"/>
  <c r="C2638" i="10"/>
  <c r="C2637" i="10"/>
  <c r="C2636" i="10"/>
  <c r="C2635" i="10"/>
  <c r="C2634" i="10"/>
  <c r="C2633" i="10"/>
  <c r="C2632" i="10"/>
  <c r="C2631" i="10"/>
  <c r="C2630" i="10"/>
  <c r="C2629" i="10"/>
  <c r="C2628" i="10"/>
  <c r="C2627" i="10"/>
  <c r="C2626" i="10"/>
  <c r="C2625" i="10"/>
  <c r="C2624" i="10"/>
  <c r="C2623" i="10"/>
  <c r="C2622" i="10"/>
  <c r="C2621" i="10"/>
  <c r="C2620" i="10"/>
  <c r="C2619" i="10"/>
  <c r="C2618" i="10"/>
  <c r="C2617" i="10"/>
  <c r="C2616" i="10"/>
  <c r="C2615" i="10"/>
  <c r="C2614" i="10"/>
  <c r="C2613" i="10"/>
  <c r="C2612" i="10"/>
  <c r="C2611" i="10"/>
  <c r="C2610" i="10"/>
  <c r="C2609" i="10"/>
  <c r="C2608" i="10"/>
  <c r="C2607" i="10"/>
  <c r="C2606" i="10"/>
  <c r="C2605" i="10"/>
  <c r="C2604" i="10"/>
  <c r="C2603" i="10"/>
  <c r="C2602" i="10"/>
  <c r="C2601" i="10"/>
  <c r="C2600" i="10"/>
  <c r="C2599" i="10"/>
  <c r="C2598" i="10"/>
  <c r="C2597" i="10"/>
  <c r="C2596" i="10"/>
  <c r="C2595" i="10"/>
  <c r="C2594" i="10"/>
  <c r="C2593" i="10"/>
  <c r="C2592" i="10"/>
  <c r="C2591" i="10"/>
  <c r="C2590" i="10"/>
  <c r="C2589" i="10"/>
  <c r="C2588" i="10"/>
  <c r="C2587" i="10"/>
  <c r="C2586" i="10"/>
  <c r="C2585" i="10"/>
  <c r="C2584" i="10"/>
  <c r="C2583" i="10"/>
  <c r="C2582" i="10"/>
  <c r="C2581" i="10"/>
  <c r="C2580" i="10"/>
  <c r="C2579" i="10"/>
  <c r="C2578" i="10"/>
  <c r="C2577" i="10"/>
  <c r="C2576" i="10"/>
  <c r="C2575" i="10"/>
  <c r="C2574" i="10"/>
  <c r="C2573" i="10"/>
  <c r="C2572" i="10"/>
  <c r="C2571" i="10"/>
  <c r="C2570" i="10"/>
  <c r="C2569" i="10"/>
  <c r="C2568" i="10"/>
  <c r="C2567" i="10"/>
  <c r="C2566" i="10"/>
  <c r="C2565" i="10"/>
  <c r="C2564" i="10"/>
  <c r="C2563" i="10"/>
  <c r="C2562" i="10"/>
  <c r="C2561" i="10"/>
  <c r="C2560" i="10"/>
  <c r="C2559" i="10"/>
  <c r="C2558" i="10"/>
  <c r="C2557" i="10"/>
  <c r="C2556" i="10"/>
  <c r="C2555" i="10"/>
  <c r="C2554" i="10"/>
  <c r="C2553" i="10"/>
  <c r="C2552" i="10"/>
  <c r="C2551" i="10"/>
  <c r="C2550" i="10"/>
  <c r="C2549" i="10"/>
  <c r="C2548" i="10"/>
  <c r="C2547" i="10"/>
  <c r="C2546" i="10"/>
  <c r="C2545" i="10"/>
  <c r="C2544" i="10"/>
  <c r="C2543" i="10"/>
  <c r="C2542" i="10"/>
  <c r="C2541" i="10"/>
  <c r="C2540" i="10"/>
  <c r="C2539" i="10"/>
  <c r="C2538" i="10"/>
  <c r="C2537" i="10"/>
  <c r="C2536" i="10"/>
  <c r="C2535" i="10"/>
  <c r="C2534" i="10"/>
  <c r="C2533" i="10"/>
  <c r="C2532" i="10"/>
  <c r="C2531" i="10"/>
  <c r="C2530" i="10"/>
  <c r="C2529" i="10"/>
  <c r="C2528" i="10"/>
  <c r="C2527" i="10"/>
  <c r="C2526" i="10"/>
  <c r="C2525" i="10"/>
  <c r="C2524" i="10"/>
  <c r="C2523" i="10"/>
  <c r="C2522" i="10"/>
  <c r="C2521" i="10"/>
  <c r="C2520" i="10"/>
  <c r="C2519" i="10"/>
  <c r="C2518" i="10"/>
  <c r="C2517" i="10"/>
  <c r="C2516" i="10"/>
  <c r="C2515" i="10"/>
  <c r="C2514" i="10"/>
  <c r="C2513" i="10"/>
  <c r="C2512" i="10"/>
  <c r="C2511" i="10"/>
  <c r="C2510" i="10"/>
  <c r="C2509" i="10"/>
  <c r="C2508" i="10"/>
  <c r="C2507" i="10"/>
  <c r="C2506" i="10"/>
  <c r="C2505" i="10"/>
  <c r="C2504" i="10"/>
  <c r="C2503" i="10"/>
  <c r="C2502" i="10"/>
  <c r="C2501" i="10"/>
  <c r="C2500" i="10"/>
  <c r="C2499" i="10"/>
  <c r="C2498" i="10"/>
  <c r="C2497" i="10"/>
  <c r="C2496" i="10"/>
  <c r="C2495" i="10"/>
  <c r="C2494" i="10"/>
  <c r="C2493" i="10"/>
  <c r="C2492" i="10"/>
  <c r="C2491" i="10"/>
  <c r="C2490" i="10"/>
  <c r="C2489" i="10"/>
  <c r="C2488" i="10"/>
  <c r="C2487" i="10"/>
  <c r="C2486" i="10"/>
  <c r="C2485" i="10"/>
  <c r="C2484" i="10"/>
  <c r="C2483" i="10"/>
  <c r="C2482" i="10"/>
  <c r="C2481" i="10"/>
  <c r="C2480" i="10"/>
  <c r="C2479" i="10"/>
  <c r="C2478" i="10"/>
  <c r="C2477" i="10"/>
  <c r="C2476" i="10"/>
  <c r="C2475" i="10"/>
  <c r="C2474" i="10"/>
  <c r="C2473" i="10"/>
  <c r="C2472" i="10"/>
  <c r="C2471" i="10"/>
  <c r="C2470" i="10"/>
  <c r="C2469" i="10"/>
  <c r="C2468" i="10"/>
  <c r="C2467" i="10"/>
  <c r="C2466" i="10"/>
  <c r="C2465" i="10"/>
  <c r="C2464" i="10"/>
  <c r="C2463" i="10"/>
  <c r="C2462" i="10"/>
  <c r="C2461" i="10"/>
  <c r="C2460" i="10"/>
  <c r="C2459" i="10"/>
  <c r="C2458" i="10"/>
  <c r="C2457" i="10"/>
  <c r="C2456" i="10"/>
  <c r="C2455" i="10"/>
  <c r="C2454" i="10"/>
  <c r="C2453" i="10"/>
  <c r="C2452" i="10"/>
  <c r="C2451" i="10"/>
  <c r="C2450" i="10"/>
  <c r="C2449" i="10"/>
  <c r="C2448" i="10"/>
  <c r="C2447" i="10"/>
  <c r="C2446" i="10"/>
  <c r="C2445" i="10"/>
  <c r="C2444" i="10"/>
  <c r="C2443" i="10"/>
  <c r="C2442" i="10"/>
  <c r="C2441" i="10"/>
  <c r="C2440" i="10"/>
  <c r="C2439" i="10"/>
  <c r="C2438" i="10"/>
  <c r="C2437" i="10"/>
  <c r="C2436" i="10"/>
  <c r="C2435" i="10"/>
  <c r="C2434" i="10"/>
  <c r="C2433" i="10"/>
  <c r="C2432" i="10"/>
  <c r="C2431" i="10"/>
  <c r="C2430" i="10"/>
  <c r="C2429" i="10"/>
  <c r="C2428" i="10"/>
  <c r="C2427" i="10"/>
  <c r="C2426" i="10"/>
  <c r="C2425" i="10"/>
  <c r="C2424" i="10"/>
  <c r="C2423" i="10"/>
  <c r="C2422" i="10"/>
  <c r="C2421" i="10"/>
  <c r="C2420" i="10"/>
  <c r="C2419" i="10"/>
  <c r="C2418" i="10"/>
  <c r="C2417" i="10"/>
  <c r="C2416" i="10"/>
  <c r="C2415" i="10"/>
  <c r="C2414" i="10"/>
  <c r="C2413" i="10"/>
  <c r="C2412" i="10"/>
  <c r="C2411" i="10"/>
  <c r="C2410" i="10"/>
  <c r="C2409" i="10"/>
  <c r="C2408" i="10"/>
  <c r="C2407" i="10"/>
  <c r="C2406" i="10"/>
  <c r="C2405" i="10"/>
  <c r="C2404" i="10"/>
  <c r="C2403" i="10"/>
  <c r="C2402" i="10"/>
  <c r="C2401" i="10"/>
  <c r="C2400" i="10"/>
  <c r="C2399" i="10"/>
  <c r="C2398" i="10"/>
  <c r="C2397" i="10"/>
  <c r="C2396" i="10"/>
  <c r="C2395" i="10"/>
  <c r="C2394" i="10"/>
  <c r="C2393" i="10"/>
  <c r="C2392" i="10"/>
  <c r="C2391" i="10"/>
  <c r="C2390" i="10"/>
  <c r="C2389" i="10"/>
  <c r="C2388" i="10"/>
  <c r="C2387" i="10"/>
  <c r="C2386" i="10"/>
  <c r="C2385" i="10"/>
  <c r="C2384" i="10"/>
  <c r="C2383" i="10"/>
  <c r="C2382" i="10"/>
  <c r="C2381" i="10"/>
  <c r="C2380" i="10"/>
  <c r="C2379" i="10"/>
  <c r="C2378" i="10"/>
  <c r="C2377" i="10"/>
  <c r="C2376" i="10"/>
  <c r="C2375" i="10"/>
  <c r="C2374" i="10"/>
  <c r="C2373" i="10"/>
  <c r="C2372" i="10"/>
  <c r="C2371" i="10"/>
  <c r="C2370" i="10"/>
  <c r="C2369" i="10"/>
  <c r="C2368" i="10"/>
  <c r="C2367" i="10"/>
  <c r="C2366" i="10"/>
  <c r="C2365" i="10"/>
  <c r="C2364" i="10"/>
  <c r="C2363" i="10"/>
  <c r="C2362" i="10"/>
  <c r="C2361" i="10"/>
  <c r="C2360" i="10"/>
  <c r="C2359" i="10"/>
  <c r="C2358" i="10"/>
  <c r="C2357" i="10"/>
  <c r="C2356" i="10"/>
  <c r="C2355" i="10"/>
  <c r="C2354" i="10"/>
  <c r="C2353" i="10"/>
  <c r="C2352" i="10"/>
  <c r="C2351" i="10"/>
  <c r="C2350" i="10"/>
  <c r="C2349" i="10"/>
  <c r="C2348" i="10"/>
  <c r="C2347" i="10"/>
  <c r="C2346" i="10"/>
  <c r="C2345" i="10"/>
  <c r="C2344" i="10"/>
  <c r="C2343" i="10"/>
  <c r="C2342" i="10"/>
  <c r="C2341" i="10"/>
  <c r="C2340" i="10"/>
  <c r="C2339" i="10"/>
  <c r="C2338" i="10"/>
  <c r="C2337" i="10"/>
  <c r="C2336" i="10"/>
  <c r="C2335" i="10"/>
  <c r="C2334" i="10"/>
  <c r="C2333" i="10"/>
  <c r="C2332" i="10"/>
  <c r="C2331" i="10"/>
  <c r="C2330" i="10"/>
  <c r="C2329" i="10"/>
  <c r="C2328" i="10"/>
  <c r="C2327" i="10"/>
  <c r="C2326" i="10"/>
  <c r="C2325" i="10"/>
  <c r="C2324" i="10"/>
  <c r="C2323" i="10"/>
  <c r="C2322" i="10"/>
  <c r="C2321" i="10"/>
  <c r="C2320" i="10"/>
  <c r="C2319" i="10"/>
  <c r="C2318" i="10"/>
  <c r="C2317" i="10"/>
  <c r="C2316" i="10"/>
  <c r="C2315" i="10"/>
  <c r="C2314" i="10"/>
  <c r="C2313" i="10"/>
  <c r="C2312" i="10"/>
  <c r="C2311" i="10"/>
  <c r="C2310" i="10"/>
  <c r="C2309" i="10"/>
  <c r="C2308" i="10"/>
  <c r="C2307" i="10"/>
  <c r="C2306" i="10"/>
  <c r="C2305" i="10"/>
  <c r="C2304" i="10"/>
  <c r="C2303" i="10"/>
  <c r="C2302" i="10"/>
  <c r="C2301" i="10"/>
  <c r="C2300" i="10"/>
  <c r="C2299" i="10"/>
  <c r="C2298" i="10"/>
  <c r="C2297" i="10"/>
  <c r="C2296" i="10"/>
  <c r="C2295" i="10"/>
  <c r="C2294" i="10"/>
  <c r="C2293" i="10"/>
  <c r="C2292" i="10"/>
  <c r="C2291" i="10"/>
  <c r="C2290" i="10"/>
  <c r="C2289" i="10"/>
  <c r="C2288" i="10"/>
  <c r="C2287" i="10"/>
  <c r="C2286" i="10"/>
  <c r="C2285" i="10"/>
  <c r="C2284" i="10"/>
  <c r="C2283" i="10"/>
  <c r="C2282" i="10"/>
  <c r="C2281" i="10"/>
  <c r="C2280" i="10"/>
  <c r="C2279" i="10"/>
  <c r="C2278" i="10"/>
  <c r="C2277" i="10"/>
  <c r="C2276" i="10"/>
  <c r="C2275" i="10"/>
  <c r="C2274" i="10"/>
  <c r="C2273" i="10"/>
  <c r="C2272" i="10"/>
  <c r="C2271" i="10"/>
  <c r="C2270" i="10"/>
  <c r="C2269" i="10"/>
  <c r="C2268" i="10"/>
  <c r="C2267" i="10"/>
  <c r="C2266" i="10"/>
  <c r="C2265" i="10"/>
  <c r="C2264" i="10"/>
  <c r="C2263" i="10"/>
  <c r="C2262" i="10"/>
  <c r="C2261" i="10"/>
  <c r="C2260" i="10"/>
  <c r="C2259" i="10"/>
  <c r="C2258" i="10"/>
  <c r="C2257" i="10"/>
  <c r="C2256" i="10"/>
  <c r="C2255" i="10"/>
  <c r="C2254" i="10"/>
  <c r="C2253" i="10"/>
  <c r="C2252" i="10"/>
  <c r="C2251" i="10"/>
  <c r="C2250" i="10"/>
  <c r="C2249" i="10"/>
  <c r="C2248" i="10"/>
  <c r="C2247" i="10"/>
  <c r="C2246" i="10"/>
  <c r="C2245" i="10"/>
  <c r="C2244" i="10"/>
  <c r="C2243" i="10"/>
  <c r="C2242" i="10"/>
  <c r="C2241" i="10"/>
  <c r="C2240" i="10"/>
  <c r="C2239" i="10"/>
  <c r="C2238" i="10"/>
  <c r="C2237" i="10"/>
  <c r="C2236" i="10"/>
  <c r="C2235" i="10"/>
  <c r="C2234" i="10"/>
  <c r="C2233" i="10"/>
  <c r="C2232" i="10"/>
  <c r="C2231" i="10"/>
  <c r="C2230" i="10"/>
  <c r="C2229" i="10"/>
  <c r="C2228" i="10"/>
  <c r="C2227" i="10"/>
  <c r="C2226" i="10"/>
  <c r="C2225" i="10"/>
  <c r="C2224" i="10"/>
  <c r="C2223" i="10"/>
  <c r="C2222" i="10"/>
  <c r="C2221" i="10"/>
  <c r="C2220" i="10"/>
  <c r="C2219" i="10"/>
  <c r="C2218" i="10"/>
  <c r="C2217" i="10"/>
  <c r="C2216" i="10"/>
  <c r="C2215" i="10"/>
  <c r="C2214" i="10"/>
  <c r="C2213" i="10"/>
  <c r="C2212" i="10"/>
  <c r="C2211" i="10"/>
  <c r="C2210" i="10"/>
  <c r="C2209" i="10"/>
  <c r="C2208" i="10"/>
  <c r="C2207" i="10"/>
  <c r="C2206" i="10"/>
  <c r="C2205" i="10"/>
  <c r="C2204" i="10"/>
  <c r="C2203" i="10"/>
  <c r="C2202" i="10"/>
  <c r="C2201" i="10"/>
  <c r="C2200" i="10"/>
  <c r="C2199" i="10"/>
  <c r="C2198" i="10"/>
  <c r="C2197" i="10"/>
  <c r="C2196" i="10"/>
  <c r="C2195" i="10"/>
  <c r="C2194" i="10"/>
  <c r="C2193" i="10"/>
  <c r="C2192" i="10"/>
  <c r="C2191" i="10"/>
  <c r="C2190" i="10"/>
  <c r="C2189" i="10"/>
  <c r="C2188" i="10"/>
  <c r="C2187" i="10"/>
  <c r="C2186" i="10"/>
  <c r="C2185" i="10"/>
  <c r="C2184" i="10"/>
  <c r="C2183" i="10"/>
  <c r="C2182" i="10"/>
  <c r="C2181" i="10"/>
  <c r="C2180" i="10"/>
  <c r="C2179" i="10"/>
  <c r="C2178" i="10"/>
  <c r="C2177" i="10"/>
  <c r="C2176" i="10"/>
  <c r="C2175" i="10"/>
  <c r="C2174" i="10"/>
  <c r="C2173" i="10"/>
  <c r="C2172" i="10"/>
  <c r="C2171" i="10"/>
  <c r="C2170" i="10"/>
  <c r="C2169" i="10"/>
  <c r="C2168" i="10"/>
  <c r="C2167" i="10"/>
  <c r="C2166" i="10"/>
  <c r="C2165" i="10"/>
  <c r="C2164" i="10"/>
  <c r="C2163" i="10"/>
  <c r="C2162" i="10"/>
  <c r="C2161" i="10"/>
  <c r="C2160" i="10"/>
  <c r="C2159" i="10"/>
  <c r="C2158" i="10"/>
  <c r="C2157" i="10"/>
  <c r="C2156" i="10"/>
  <c r="C2155" i="10"/>
  <c r="C2154" i="10"/>
  <c r="C2153" i="10"/>
  <c r="C2152" i="10"/>
  <c r="C2151" i="10"/>
  <c r="C2150" i="10"/>
  <c r="C2149" i="10"/>
  <c r="C2148" i="10"/>
  <c r="C2147" i="10"/>
  <c r="C2146" i="10"/>
  <c r="C2145" i="10"/>
  <c r="C2144" i="10"/>
  <c r="C2143" i="10"/>
  <c r="C2142" i="10"/>
  <c r="C2141" i="10"/>
  <c r="C2140" i="10"/>
  <c r="C2139" i="10"/>
  <c r="C2138" i="10"/>
  <c r="C2137" i="10"/>
  <c r="C2136" i="10"/>
  <c r="C2135" i="10"/>
  <c r="C2134" i="10"/>
  <c r="C2133" i="10"/>
  <c r="C2132" i="10"/>
  <c r="C2131" i="10"/>
  <c r="C2130" i="10"/>
  <c r="C2129" i="10"/>
  <c r="C2128" i="10"/>
  <c r="C2127" i="10"/>
  <c r="C2126" i="10"/>
  <c r="C2125" i="10"/>
  <c r="C2124" i="10"/>
  <c r="C2123" i="10"/>
  <c r="C2122" i="10"/>
  <c r="C2121" i="10"/>
  <c r="C2120" i="10"/>
  <c r="C2119" i="10"/>
  <c r="C2118" i="10"/>
  <c r="C2117" i="10"/>
  <c r="C2116" i="10"/>
  <c r="C2115" i="10"/>
  <c r="C2114" i="10"/>
  <c r="C2113" i="10"/>
  <c r="C2112" i="10"/>
  <c r="C2111" i="10"/>
  <c r="C2110" i="10"/>
  <c r="C2109" i="10"/>
  <c r="C2108" i="10"/>
  <c r="C2107" i="10"/>
  <c r="C2106" i="10"/>
  <c r="C2105" i="10"/>
  <c r="C2104" i="10"/>
  <c r="C2103" i="10"/>
  <c r="C2102" i="10"/>
  <c r="C2101" i="10"/>
  <c r="C2100" i="10"/>
  <c r="C2099" i="10"/>
  <c r="C2098" i="10"/>
  <c r="C2097" i="10"/>
  <c r="C2096" i="10"/>
  <c r="C2095" i="10"/>
  <c r="C2094" i="10"/>
  <c r="C2093" i="10"/>
  <c r="C2092" i="10"/>
  <c r="C2091" i="10"/>
  <c r="C2090" i="10"/>
  <c r="C2089" i="10"/>
  <c r="C2088" i="10"/>
  <c r="C2087" i="10"/>
  <c r="C2086" i="10"/>
  <c r="C2085" i="10"/>
  <c r="C2084" i="10"/>
  <c r="C2083" i="10"/>
  <c r="C2082" i="10"/>
  <c r="C2081" i="10"/>
  <c r="C2080" i="10"/>
  <c r="C2079" i="10"/>
  <c r="C2078" i="10"/>
  <c r="C2077" i="10"/>
  <c r="C2076" i="10"/>
  <c r="C2075" i="10"/>
  <c r="C2074" i="10"/>
  <c r="C2073" i="10"/>
  <c r="C2072" i="10"/>
  <c r="C2071" i="10"/>
  <c r="C2070" i="10"/>
  <c r="C2069" i="10"/>
  <c r="C2068" i="10"/>
  <c r="C2067" i="10"/>
  <c r="C2066" i="10"/>
  <c r="C2065" i="10"/>
  <c r="C2064" i="10"/>
  <c r="C2063" i="10"/>
  <c r="C2062" i="10"/>
  <c r="C2061" i="10"/>
  <c r="C2060" i="10"/>
  <c r="C2059" i="10"/>
  <c r="C2058" i="10"/>
  <c r="C2057" i="10"/>
  <c r="C2056" i="10"/>
  <c r="C2055" i="10"/>
  <c r="C2054" i="10"/>
  <c r="C2053" i="10"/>
  <c r="C2052" i="10"/>
  <c r="C2051" i="10"/>
  <c r="C2050" i="10"/>
  <c r="C2049" i="10"/>
  <c r="C2048" i="10"/>
  <c r="C2047" i="10"/>
  <c r="C2046" i="10"/>
  <c r="C2045" i="10"/>
  <c r="C2044" i="10"/>
  <c r="C2043" i="10"/>
  <c r="C2042" i="10"/>
  <c r="C2041" i="10"/>
  <c r="C2040" i="10"/>
  <c r="C2039" i="10"/>
  <c r="C2038" i="10"/>
  <c r="C2037" i="10"/>
  <c r="C2036" i="10"/>
  <c r="C2035" i="10"/>
  <c r="C2034" i="10"/>
  <c r="C2033" i="10"/>
  <c r="C2032" i="10"/>
  <c r="C2031" i="10"/>
  <c r="C2030" i="10"/>
  <c r="C2029" i="10"/>
  <c r="C2028" i="10"/>
  <c r="C2027" i="10"/>
  <c r="C2026" i="10"/>
  <c r="C2025" i="10"/>
  <c r="C2024" i="10"/>
  <c r="C2023" i="10"/>
  <c r="C2022" i="10"/>
  <c r="C2021" i="10"/>
  <c r="C2020" i="10"/>
  <c r="C2019" i="10"/>
  <c r="C2018" i="10"/>
  <c r="C2017" i="10"/>
  <c r="C2016" i="10"/>
  <c r="C2015" i="10"/>
  <c r="C2014" i="10"/>
  <c r="C2013" i="10"/>
  <c r="C2012" i="10"/>
  <c r="C2011" i="10"/>
  <c r="C2010" i="10"/>
  <c r="C2009" i="10"/>
  <c r="C2008" i="10"/>
  <c r="C2007" i="10"/>
  <c r="C2006" i="10"/>
  <c r="C2005" i="10"/>
  <c r="C2004" i="10"/>
  <c r="C2003" i="10"/>
  <c r="C2002" i="10"/>
  <c r="C2001" i="10"/>
  <c r="C2000" i="10"/>
  <c r="C1999" i="10"/>
  <c r="C1998" i="10"/>
  <c r="C1997" i="10"/>
  <c r="C1996" i="10"/>
  <c r="C1995" i="10"/>
  <c r="C1994" i="10"/>
  <c r="C1993" i="10"/>
  <c r="C1992" i="10"/>
  <c r="C1991" i="10"/>
  <c r="C1990" i="10"/>
  <c r="C1989" i="10"/>
  <c r="C1988" i="10"/>
  <c r="C1987" i="10"/>
  <c r="C1986" i="10"/>
  <c r="C1985" i="10"/>
  <c r="C1984" i="10"/>
  <c r="C1983" i="10"/>
  <c r="C1982" i="10"/>
  <c r="C1981" i="10"/>
  <c r="C1980" i="10"/>
  <c r="C1979" i="10"/>
  <c r="C1978" i="10"/>
  <c r="C1977" i="10"/>
  <c r="C1976" i="10"/>
  <c r="C1975" i="10"/>
  <c r="C1974" i="10"/>
  <c r="C1973" i="10"/>
  <c r="C1972" i="10"/>
  <c r="C1971" i="10"/>
  <c r="C1970" i="10"/>
  <c r="C1969" i="10"/>
  <c r="C1968" i="10"/>
  <c r="C1967" i="10"/>
  <c r="C1966" i="10"/>
  <c r="C1965" i="10"/>
  <c r="C1964" i="10"/>
  <c r="C1963" i="10"/>
  <c r="C1962" i="10"/>
  <c r="C1961" i="10"/>
  <c r="C1960" i="10"/>
  <c r="C1959" i="10"/>
  <c r="C1958" i="10"/>
  <c r="C1957" i="10"/>
  <c r="C1956" i="10"/>
  <c r="C1955" i="10"/>
  <c r="C1954" i="10"/>
  <c r="C1953" i="10"/>
  <c r="C1952" i="10"/>
  <c r="C1951" i="10"/>
  <c r="C1950" i="10"/>
  <c r="C1949" i="10"/>
  <c r="C1948" i="10"/>
  <c r="C1947" i="10"/>
  <c r="C1946" i="10"/>
  <c r="C1945" i="10"/>
  <c r="C1944" i="10"/>
  <c r="C1943" i="10"/>
  <c r="C1942" i="10"/>
  <c r="C1941" i="10"/>
  <c r="C1940" i="10"/>
  <c r="C1939" i="10"/>
  <c r="C1938" i="10"/>
  <c r="C1937" i="10"/>
  <c r="C1936" i="10"/>
  <c r="C1935" i="10"/>
  <c r="C1934" i="10"/>
  <c r="C1933" i="10"/>
  <c r="C1932" i="10"/>
  <c r="C1931" i="10"/>
  <c r="C1930" i="10"/>
  <c r="C1929" i="10"/>
  <c r="C1928" i="10"/>
  <c r="C1927" i="10"/>
  <c r="C1926" i="10"/>
  <c r="C1925" i="10"/>
  <c r="C1924" i="10"/>
  <c r="C1923" i="10"/>
  <c r="C1922" i="10"/>
  <c r="C1921" i="10"/>
  <c r="C1920" i="10"/>
  <c r="C1919" i="10"/>
  <c r="C1918" i="10"/>
  <c r="C1917" i="10"/>
  <c r="C1916" i="10"/>
  <c r="C1915" i="10"/>
  <c r="C1914" i="10"/>
  <c r="C1913" i="10"/>
  <c r="C1912" i="10"/>
  <c r="C1911" i="10"/>
  <c r="C1910" i="10"/>
  <c r="C1909" i="10"/>
  <c r="C1908" i="10"/>
  <c r="C1907" i="10"/>
  <c r="C1906" i="10"/>
  <c r="C1905" i="10"/>
  <c r="C1904" i="10"/>
  <c r="C1903" i="10"/>
  <c r="C1902" i="10"/>
  <c r="C1901" i="10"/>
  <c r="C1900" i="10"/>
  <c r="C1899" i="10"/>
  <c r="C1898" i="10"/>
  <c r="C1897" i="10"/>
  <c r="C1896" i="10"/>
  <c r="C1895" i="10"/>
  <c r="C1894" i="10"/>
  <c r="C1893" i="10"/>
  <c r="C1892" i="10"/>
  <c r="C1891" i="10"/>
  <c r="C1890" i="10"/>
  <c r="C1889" i="10"/>
  <c r="C1888" i="10"/>
  <c r="C1887" i="10"/>
  <c r="C1886" i="10"/>
  <c r="C1885" i="10"/>
  <c r="C1884" i="10"/>
  <c r="C1883" i="10"/>
  <c r="C1882" i="10"/>
  <c r="C1881" i="10"/>
  <c r="C1880" i="10"/>
  <c r="C1879" i="10"/>
  <c r="C1878" i="10"/>
  <c r="C1877" i="10"/>
  <c r="C1876" i="10"/>
  <c r="C1875" i="10"/>
  <c r="C1874" i="10"/>
  <c r="C1873" i="10"/>
  <c r="C1872" i="10"/>
  <c r="C1871" i="10"/>
  <c r="C1870" i="10"/>
  <c r="C1869" i="10"/>
  <c r="C1868" i="10"/>
  <c r="C1867" i="10"/>
  <c r="C1866" i="10"/>
  <c r="C1865" i="10"/>
  <c r="C1864" i="10"/>
  <c r="C1863" i="10"/>
  <c r="C1862" i="10"/>
  <c r="C1861" i="10"/>
  <c r="C1860" i="10"/>
  <c r="C1859" i="10"/>
  <c r="C1858" i="10"/>
  <c r="C1857" i="10"/>
  <c r="C1856" i="10"/>
  <c r="C1855" i="10"/>
  <c r="C1854" i="10"/>
  <c r="C1853" i="10"/>
  <c r="C1852" i="10"/>
  <c r="C1851" i="10"/>
  <c r="C1850" i="10"/>
  <c r="C1849" i="10"/>
  <c r="C1848" i="10"/>
  <c r="C1847" i="10"/>
  <c r="C1846" i="10"/>
  <c r="C1845" i="10"/>
  <c r="C1844" i="10"/>
  <c r="C1843" i="10"/>
  <c r="C1842" i="10"/>
  <c r="C1841" i="10"/>
  <c r="C1840" i="10"/>
  <c r="C1839" i="10"/>
  <c r="C1838" i="10"/>
  <c r="C1837" i="10"/>
  <c r="C1836" i="10"/>
  <c r="C1835" i="10"/>
  <c r="C1834" i="10"/>
  <c r="C1833" i="10"/>
  <c r="C1832" i="10"/>
  <c r="C1831" i="10"/>
  <c r="C1830" i="10"/>
  <c r="C1829" i="10"/>
  <c r="C1828" i="10"/>
  <c r="C1827" i="10"/>
  <c r="C1826" i="10"/>
  <c r="C1825" i="10"/>
  <c r="C1824" i="10"/>
  <c r="C1823" i="10"/>
  <c r="C1822" i="10"/>
  <c r="C1821" i="10"/>
  <c r="C1820" i="10"/>
  <c r="C1819" i="10"/>
  <c r="C1818" i="10"/>
  <c r="C1817" i="10"/>
  <c r="C1816" i="10"/>
  <c r="C1815" i="10"/>
  <c r="C1814" i="10"/>
  <c r="C1813" i="10"/>
  <c r="C1812" i="10"/>
  <c r="C1811" i="10"/>
  <c r="C1810" i="10"/>
  <c r="C1809" i="10"/>
  <c r="C1808" i="10"/>
  <c r="C1807" i="10"/>
  <c r="C1806" i="10"/>
  <c r="C1805" i="10"/>
  <c r="C1804" i="10"/>
  <c r="C1803" i="10"/>
  <c r="C1802" i="10"/>
  <c r="C1801" i="10"/>
  <c r="C1800" i="10"/>
  <c r="C1799" i="10"/>
  <c r="C1798" i="10"/>
  <c r="C1797" i="10"/>
  <c r="C1796" i="10"/>
  <c r="C1795" i="10"/>
  <c r="C1794" i="10"/>
  <c r="C1793" i="10"/>
  <c r="C1792" i="10"/>
  <c r="C1791" i="10"/>
  <c r="C1790" i="10"/>
  <c r="C1789" i="10"/>
  <c r="C1788" i="10"/>
  <c r="C1787" i="10"/>
  <c r="C1786" i="10"/>
  <c r="C1785" i="10"/>
  <c r="C1784" i="10"/>
  <c r="C1783" i="10"/>
  <c r="C1782" i="10"/>
  <c r="C1781" i="10"/>
  <c r="C1780" i="10"/>
  <c r="C1779" i="10"/>
  <c r="C1778" i="10"/>
  <c r="C1777" i="10"/>
  <c r="C1776" i="10"/>
  <c r="C1775" i="10"/>
  <c r="C1774" i="10"/>
  <c r="C1773" i="10"/>
  <c r="C1772" i="10"/>
  <c r="C1771" i="10"/>
  <c r="C1770" i="10"/>
  <c r="C1769" i="10"/>
  <c r="C1768" i="10"/>
  <c r="C1767" i="10"/>
  <c r="C1766" i="10"/>
  <c r="C1765" i="10"/>
  <c r="C1764" i="10"/>
  <c r="C1763" i="10"/>
  <c r="C1762" i="10"/>
  <c r="C1761" i="10"/>
  <c r="C1760" i="10"/>
  <c r="C1759" i="10"/>
  <c r="C1758" i="10"/>
  <c r="C1757" i="10"/>
  <c r="C1756" i="10"/>
  <c r="C1755" i="10"/>
  <c r="C1754" i="10"/>
  <c r="C1753" i="10"/>
  <c r="C1752" i="10"/>
  <c r="C1751" i="10"/>
  <c r="C1750" i="10"/>
  <c r="C1749" i="10"/>
  <c r="C1748" i="10"/>
  <c r="C1747" i="10"/>
  <c r="C1746" i="10"/>
  <c r="C1745" i="10"/>
  <c r="C1744" i="10"/>
  <c r="C1743" i="10"/>
  <c r="C1742" i="10"/>
  <c r="C1741" i="10"/>
  <c r="C1740" i="10"/>
  <c r="C1739" i="10"/>
  <c r="C1738" i="10"/>
  <c r="C1737" i="10"/>
  <c r="C1736" i="10"/>
  <c r="C1735" i="10"/>
  <c r="C1734" i="10"/>
  <c r="C1733" i="10"/>
  <c r="C1732" i="10"/>
  <c r="C1731" i="10"/>
  <c r="C1730" i="10"/>
  <c r="C1729" i="10"/>
  <c r="C1728" i="10"/>
  <c r="C1727" i="10"/>
  <c r="C1726" i="10"/>
  <c r="C1725" i="10"/>
  <c r="C1724" i="10"/>
  <c r="C1723" i="10"/>
  <c r="C1722" i="10"/>
  <c r="C1721" i="10"/>
  <c r="C1720" i="10"/>
  <c r="C1719" i="10"/>
  <c r="C1718" i="10"/>
  <c r="C1717" i="10"/>
  <c r="C1716" i="10"/>
  <c r="C1715" i="10"/>
  <c r="C1714" i="10"/>
  <c r="C1713" i="10"/>
  <c r="C1712" i="10"/>
  <c r="C1711" i="10"/>
  <c r="C1710" i="10"/>
  <c r="C1709" i="10"/>
  <c r="C1708" i="10"/>
  <c r="C1707" i="10"/>
  <c r="C1706" i="10"/>
  <c r="C1705" i="10"/>
  <c r="C1704" i="10"/>
  <c r="C1703" i="10"/>
  <c r="C1702" i="10"/>
  <c r="C1701" i="10"/>
  <c r="C1700" i="10"/>
  <c r="C1699" i="10"/>
  <c r="C1698" i="10"/>
  <c r="C1697" i="10"/>
  <c r="C1696" i="10"/>
  <c r="C1695" i="10"/>
  <c r="C1694" i="10"/>
  <c r="C1693" i="10"/>
  <c r="C1692" i="10"/>
  <c r="C1691" i="10"/>
  <c r="C1690" i="10"/>
  <c r="C1689" i="10"/>
  <c r="C1688" i="10"/>
  <c r="C1687" i="10"/>
  <c r="C1686" i="10"/>
  <c r="C1685" i="10"/>
  <c r="C1684" i="10"/>
  <c r="C1683" i="10"/>
  <c r="C1682" i="10"/>
  <c r="C1681" i="10"/>
  <c r="C1680" i="10"/>
  <c r="C1679" i="10"/>
  <c r="C1678" i="10"/>
  <c r="C1677" i="10"/>
  <c r="C1676" i="10"/>
  <c r="C1675" i="10"/>
  <c r="C1674" i="10"/>
  <c r="C1673" i="10"/>
  <c r="C1672" i="10"/>
  <c r="C1671" i="10"/>
  <c r="C1670" i="10"/>
  <c r="C1669" i="10"/>
  <c r="C1668" i="10"/>
  <c r="C1667" i="10"/>
  <c r="C1666" i="10"/>
  <c r="C1665" i="10"/>
  <c r="C1664" i="10"/>
  <c r="C1663" i="10"/>
  <c r="C1662" i="10"/>
  <c r="C1661" i="10"/>
  <c r="C1660" i="10"/>
  <c r="C1659" i="10"/>
  <c r="C1658" i="10"/>
  <c r="C1657" i="10"/>
  <c r="C1656" i="10"/>
  <c r="C1655" i="10"/>
  <c r="C1654" i="10"/>
  <c r="C1653" i="10"/>
  <c r="C1652" i="10"/>
  <c r="C1651" i="10"/>
  <c r="C1650" i="10"/>
  <c r="C1649" i="10"/>
  <c r="C1648" i="10"/>
  <c r="C1647" i="10"/>
  <c r="C1646" i="10"/>
  <c r="C1645" i="10"/>
  <c r="C1644" i="10"/>
  <c r="C1643" i="10"/>
  <c r="C1642" i="10"/>
  <c r="C1641" i="10"/>
  <c r="C1640" i="10"/>
  <c r="C1639" i="10"/>
  <c r="C1638" i="10"/>
  <c r="C1637" i="10"/>
  <c r="C1636" i="10"/>
  <c r="C1635" i="10"/>
  <c r="C1634" i="10"/>
  <c r="C1633" i="10"/>
  <c r="C1632" i="10"/>
  <c r="C1631" i="10"/>
  <c r="C1630" i="10"/>
  <c r="C1629" i="10"/>
  <c r="C1628" i="10"/>
  <c r="C1627" i="10"/>
  <c r="C1626" i="10"/>
  <c r="C1625" i="10"/>
  <c r="C1624" i="10"/>
  <c r="C1623" i="10"/>
  <c r="C1622" i="10"/>
  <c r="C1621" i="10"/>
  <c r="C1620" i="10"/>
  <c r="C1619" i="10"/>
  <c r="C1618" i="10"/>
  <c r="C1617" i="10"/>
  <c r="C1616" i="10"/>
  <c r="C1615" i="10"/>
  <c r="C1614" i="10"/>
  <c r="C1613" i="10"/>
  <c r="C1612" i="10"/>
  <c r="C1611" i="10"/>
  <c r="C1610" i="10"/>
  <c r="C1609" i="10"/>
  <c r="C1608" i="10"/>
  <c r="C1607" i="10"/>
  <c r="C1606" i="10"/>
  <c r="C1605" i="10"/>
  <c r="C1604" i="10"/>
  <c r="C1603" i="10"/>
  <c r="C1602" i="10"/>
  <c r="C1601" i="10"/>
  <c r="C1600" i="10"/>
  <c r="C1599" i="10"/>
  <c r="C1598" i="10"/>
  <c r="C1597" i="10"/>
  <c r="C1596" i="10"/>
  <c r="C1595" i="10"/>
  <c r="C1594" i="10"/>
  <c r="C1593" i="10"/>
  <c r="C1592" i="10"/>
  <c r="C1591" i="10"/>
  <c r="C1590" i="10"/>
  <c r="C1589" i="10"/>
  <c r="C1588" i="10"/>
  <c r="C1587" i="10"/>
  <c r="C1586" i="10"/>
  <c r="C1585" i="10"/>
  <c r="C1584" i="10"/>
  <c r="C1583" i="10"/>
  <c r="C1582" i="10"/>
  <c r="C1581" i="10"/>
  <c r="C1580" i="10"/>
  <c r="C1579" i="10"/>
  <c r="C1578" i="10"/>
  <c r="C1577" i="10"/>
  <c r="C1576" i="10"/>
  <c r="C1575" i="10"/>
  <c r="C1574" i="10"/>
  <c r="C1573" i="10"/>
  <c r="C1572" i="10"/>
  <c r="C1571" i="10"/>
  <c r="C1570" i="10"/>
  <c r="C1569" i="10"/>
  <c r="C1568" i="10"/>
  <c r="C1567" i="10"/>
  <c r="C1566" i="10"/>
  <c r="C1565" i="10"/>
  <c r="C1564" i="10"/>
  <c r="C1563" i="10"/>
  <c r="C1562" i="10"/>
  <c r="C1561" i="10"/>
  <c r="C1560" i="10"/>
  <c r="C1559" i="10"/>
  <c r="C1558" i="10"/>
  <c r="C1557" i="10"/>
  <c r="C1556" i="10"/>
  <c r="C1555" i="10"/>
  <c r="C1554" i="10"/>
  <c r="C1553" i="10"/>
  <c r="C1552" i="10"/>
  <c r="C1551" i="10"/>
  <c r="C1550" i="10"/>
  <c r="C1549" i="10"/>
  <c r="C1548" i="10"/>
  <c r="C1547" i="10"/>
  <c r="C1546" i="10"/>
  <c r="C1545" i="10"/>
  <c r="C1544" i="10"/>
  <c r="C1543" i="10"/>
  <c r="C1542" i="10"/>
  <c r="C1541" i="10"/>
  <c r="C1540" i="10"/>
  <c r="C1539" i="10"/>
  <c r="C1538" i="10"/>
  <c r="C1537" i="10"/>
  <c r="C1536" i="10"/>
  <c r="C1535" i="10"/>
  <c r="C1534" i="10"/>
  <c r="C1533" i="10"/>
  <c r="C1532" i="10"/>
  <c r="C1531" i="10"/>
  <c r="C1530" i="10"/>
  <c r="C1529" i="10"/>
  <c r="C1528" i="10"/>
  <c r="C1527" i="10"/>
  <c r="C1526" i="10"/>
  <c r="C1525" i="10"/>
  <c r="C1524" i="10"/>
  <c r="C1523" i="10"/>
  <c r="C1522" i="10"/>
  <c r="C1521" i="10"/>
  <c r="C1520" i="10"/>
  <c r="C1519" i="10"/>
  <c r="C1518" i="10"/>
  <c r="C1517" i="10"/>
  <c r="C1516" i="10"/>
  <c r="C1515" i="10"/>
  <c r="C1514" i="10"/>
  <c r="C1513" i="10"/>
  <c r="C1512" i="10"/>
  <c r="C1511" i="10"/>
  <c r="C1510" i="10"/>
  <c r="C1509" i="10"/>
  <c r="C1508" i="10"/>
  <c r="C1507" i="10"/>
  <c r="C1506" i="10"/>
  <c r="C1505" i="10"/>
  <c r="C1504" i="10"/>
  <c r="C1503" i="10"/>
  <c r="C1502" i="10"/>
  <c r="C1501" i="10"/>
  <c r="C1500" i="10"/>
  <c r="C1499" i="10"/>
  <c r="C1498" i="10"/>
  <c r="C1497" i="10"/>
  <c r="C1496" i="10"/>
  <c r="C1495" i="10"/>
  <c r="C1494" i="10"/>
  <c r="C1493" i="10"/>
  <c r="C1492" i="10"/>
  <c r="C1491" i="10"/>
  <c r="C1490" i="10"/>
  <c r="C1489" i="10"/>
  <c r="C1488" i="10"/>
  <c r="C1487" i="10"/>
  <c r="C1486" i="10"/>
  <c r="C1485" i="10"/>
  <c r="C1484" i="10"/>
  <c r="C1483" i="10"/>
  <c r="C1482" i="10"/>
  <c r="C1481" i="10"/>
  <c r="C1480" i="10"/>
  <c r="C1479" i="10"/>
  <c r="C1478" i="10"/>
  <c r="C1477" i="10"/>
  <c r="C1476" i="10"/>
  <c r="C1475" i="10"/>
  <c r="C1474" i="10"/>
  <c r="C1473" i="10"/>
  <c r="C1472" i="10"/>
  <c r="C1471" i="10"/>
  <c r="C1470" i="10"/>
  <c r="C1469" i="10"/>
  <c r="C1468" i="10"/>
  <c r="C1467" i="10"/>
  <c r="C1466" i="10"/>
  <c r="C1465" i="10"/>
  <c r="C1464" i="10"/>
  <c r="C1463" i="10"/>
  <c r="C1462" i="10"/>
  <c r="C1461" i="10"/>
  <c r="C1460" i="10"/>
  <c r="C1459" i="10"/>
  <c r="C1458" i="10"/>
  <c r="C1457" i="10"/>
  <c r="C1456" i="10"/>
  <c r="C1455" i="10"/>
  <c r="C1454" i="10"/>
  <c r="C1453" i="10"/>
  <c r="C1452" i="10"/>
  <c r="C1451" i="10"/>
  <c r="C1450" i="10"/>
  <c r="C1449" i="10"/>
  <c r="C1448" i="10"/>
  <c r="C1447" i="10"/>
  <c r="C1446" i="10"/>
  <c r="C1445" i="10"/>
  <c r="C1444" i="10"/>
  <c r="C1443" i="10"/>
  <c r="C1442" i="10"/>
  <c r="C1441" i="10"/>
  <c r="C1440" i="10"/>
  <c r="C1439" i="10"/>
  <c r="C1438" i="10"/>
  <c r="C1437" i="10"/>
  <c r="C1436" i="10"/>
  <c r="C1435" i="10"/>
  <c r="C1434" i="10"/>
  <c r="C1433" i="10"/>
  <c r="C1432" i="10"/>
  <c r="C1431" i="10"/>
  <c r="C1430" i="10"/>
  <c r="C1429" i="10"/>
  <c r="C1428" i="10"/>
  <c r="C1427" i="10"/>
  <c r="C1426" i="10"/>
  <c r="C1425" i="10"/>
  <c r="C1424" i="10"/>
  <c r="C1423" i="10"/>
  <c r="C1422" i="10"/>
  <c r="C1421" i="10"/>
  <c r="C1420" i="10"/>
  <c r="C1419" i="10"/>
  <c r="C1418" i="10"/>
  <c r="C1417" i="10"/>
  <c r="C1416" i="10"/>
  <c r="C1415" i="10"/>
  <c r="C1414" i="10"/>
  <c r="C1413" i="10"/>
  <c r="C1412" i="10"/>
  <c r="C1411" i="10"/>
  <c r="C1410" i="10"/>
  <c r="C1409" i="10"/>
  <c r="C1408" i="10"/>
  <c r="C1407" i="10"/>
  <c r="C1406" i="10"/>
  <c r="C1405" i="10"/>
  <c r="C1404" i="10"/>
  <c r="C1403" i="10"/>
  <c r="C1402" i="10"/>
  <c r="C1401" i="10"/>
  <c r="C1400" i="10"/>
  <c r="C1399" i="10"/>
  <c r="C1398" i="10"/>
  <c r="C1397" i="10"/>
  <c r="C1396" i="10"/>
  <c r="C1395" i="10"/>
  <c r="C1394" i="10"/>
  <c r="C1393" i="10"/>
  <c r="C1392" i="10"/>
  <c r="C1391" i="10"/>
  <c r="C1390" i="10"/>
  <c r="C1389" i="10"/>
  <c r="C1388" i="10"/>
  <c r="C1387" i="10"/>
  <c r="C1386" i="10"/>
  <c r="C1385" i="10"/>
  <c r="C1384" i="10"/>
  <c r="C1383" i="10"/>
  <c r="C1382" i="10"/>
  <c r="C1381" i="10"/>
  <c r="C1380" i="10"/>
  <c r="C1379" i="10"/>
  <c r="C1378" i="10"/>
  <c r="C1377" i="10"/>
  <c r="C1376" i="10"/>
  <c r="C1375" i="10"/>
  <c r="C1374" i="10"/>
  <c r="C1373" i="10"/>
  <c r="C1372" i="10"/>
  <c r="C1371" i="10"/>
  <c r="C1370" i="10"/>
  <c r="C1369" i="10"/>
  <c r="C1368" i="10"/>
  <c r="C1367" i="10"/>
  <c r="C1366" i="10"/>
  <c r="C1365" i="10"/>
  <c r="C1364" i="10"/>
  <c r="C1363" i="10"/>
  <c r="C1362" i="10"/>
  <c r="C1361" i="10"/>
  <c r="C1360" i="10"/>
  <c r="C1359" i="10"/>
  <c r="C1358" i="10"/>
  <c r="C1357" i="10"/>
  <c r="C1356" i="10"/>
  <c r="C1355" i="10"/>
  <c r="C1354" i="10"/>
  <c r="C1353" i="10"/>
  <c r="C1352" i="10"/>
  <c r="C1351" i="10"/>
  <c r="C1350" i="10"/>
  <c r="C1349" i="10"/>
  <c r="C1348" i="10"/>
  <c r="C1347" i="10"/>
  <c r="C1346" i="10"/>
  <c r="C1345" i="10"/>
  <c r="C1344" i="10"/>
  <c r="C1343" i="10"/>
  <c r="C1342" i="10"/>
  <c r="C1341" i="10"/>
  <c r="C1340" i="10"/>
  <c r="C1339" i="10"/>
  <c r="C1338" i="10"/>
  <c r="C1337" i="10"/>
  <c r="C1336" i="10"/>
  <c r="C1335" i="10"/>
  <c r="C1334" i="10"/>
  <c r="C1333" i="10"/>
  <c r="C1332" i="10"/>
  <c r="C1331" i="10"/>
  <c r="C1330" i="10"/>
  <c r="C1329" i="10"/>
  <c r="C1328" i="10"/>
  <c r="C1327" i="10"/>
  <c r="C1326" i="10"/>
  <c r="C1325" i="10"/>
  <c r="C1324" i="10"/>
  <c r="C1323" i="10"/>
  <c r="C1322" i="10"/>
  <c r="C1321" i="10"/>
  <c r="C1320" i="10"/>
  <c r="C1319" i="10"/>
  <c r="C1318" i="10"/>
  <c r="C1317" i="10"/>
  <c r="C1316" i="10"/>
  <c r="C1315" i="10"/>
  <c r="C1314" i="10"/>
  <c r="C1313" i="10"/>
  <c r="C1312" i="10"/>
  <c r="C1311" i="10"/>
  <c r="C1310" i="10"/>
  <c r="C1309" i="10"/>
  <c r="C1308" i="10"/>
  <c r="C1307" i="10"/>
  <c r="C1306" i="10"/>
  <c r="C1305" i="10"/>
  <c r="C1304" i="10"/>
  <c r="C1303" i="10"/>
  <c r="C1302" i="10"/>
  <c r="C1301" i="10"/>
  <c r="C1300" i="10"/>
  <c r="C1299" i="10"/>
  <c r="C1298" i="10"/>
  <c r="C1297" i="10"/>
  <c r="C1296" i="10"/>
  <c r="C1295" i="10"/>
  <c r="C1294" i="10"/>
  <c r="C1293" i="10"/>
  <c r="C1292" i="10"/>
  <c r="C1291" i="10"/>
  <c r="C1290" i="10"/>
  <c r="C1289" i="10"/>
  <c r="C1288" i="10"/>
  <c r="C1287" i="10"/>
  <c r="C1286" i="10"/>
  <c r="C1285" i="10"/>
  <c r="C1284" i="10"/>
  <c r="C1283" i="10"/>
  <c r="C1282" i="10"/>
  <c r="C1281" i="10"/>
  <c r="C1280" i="10"/>
  <c r="C1279" i="10"/>
  <c r="C1278" i="10"/>
  <c r="C1277" i="10"/>
  <c r="C1276" i="10"/>
  <c r="C1275" i="10"/>
  <c r="C1274" i="10"/>
  <c r="C1273" i="10"/>
  <c r="C1272" i="10"/>
  <c r="C1271" i="10"/>
  <c r="C1270" i="10"/>
  <c r="C1269" i="10"/>
  <c r="C1268" i="10"/>
  <c r="C1267" i="10"/>
  <c r="C1266" i="10"/>
  <c r="C1265" i="10"/>
  <c r="C1264" i="10"/>
  <c r="C1263" i="10"/>
  <c r="C1262" i="10"/>
  <c r="C1261" i="10"/>
  <c r="C1260" i="10"/>
  <c r="C1259" i="10"/>
  <c r="C1258" i="10"/>
  <c r="C1257" i="10"/>
  <c r="C1256" i="10"/>
  <c r="C1255" i="10"/>
  <c r="C1254" i="10"/>
  <c r="C1253" i="10"/>
  <c r="C1252" i="10"/>
  <c r="C1251" i="10"/>
  <c r="C1250" i="10"/>
  <c r="C1249" i="10"/>
  <c r="C1248" i="10"/>
  <c r="C1247" i="10"/>
  <c r="C1246" i="10"/>
  <c r="C1245" i="10"/>
  <c r="C1244" i="10"/>
  <c r="C1243" i="10"/>
  <c r="C1242" i="10"/>
  <c r="C1241" i="10"/>
  <c r="C1240" i="10"/>
  <c r="C1239" i="10"/>
  <c r="C1238" i="10"/>
  <c r="C1237" i="10"/>
  <c r="C1236" i="10"/>
  <c r="C1235" i="10"/>
  <c r="C1234" i="10"/>
  <c r="C1233" i="10"/>
  <c r="C1232" i="10"/>
  <c r="C1231" i="10"/>
  <c r="C1230" i="10"/>
  <c r="C1229" i="10"/>
  <c r="C1228" i="10"/>
  <c r="C1227" i="10"/>
  <c r="C1226" i="10"/>
  <c r="C1225" i="10"/>
  <c r="C1224" i="10"/>
  <c r="C1223" i="10"/>
  <c r="C1222" i="10"/>
  <c r="C1221" i="10"/>
  <c r="C1220" i="10"/>
  <c r="C1219" i="10"/>
  <c r="C1218" i="10"/>
  <c r="C1217" i="10"/>
  <c r="C1216" i="10"/>
  <c r="C1215" i="10"/>
  <c r="C1214" i="10"/>
  <c r="C1213" i="10"/>
  <c r="C1212" i="10"/>
  <c r="C1211" i="10"/>
  <c r="C1210" i="10"/>
  <c r="C1209" i="10"/>
  <c r="C1208" i="10"/>
  <c r="C1207" i="10"/>
  <c r="C1206" i="10"/>
  <c r="C1205" i="10"/>
  <c r="C1204" i="10"/>
  <c r="C1203" i="10"/>
  <c r="C1202" i="10"/>
  <c r="C1201" i="10"/>
  <c r="C1200" i="10"/>
  <c r="C1199" i="10"/>
  <c r="C1198" i="10"/>
  <c r="C1197" i="10"/>
  <c r="C1196" i="10"/>
  <c r="C1195" i="10"/>
  <c r="C1194" i="10"/>
  <c r="C1193" i="10"/>
  <c r="C1192" i="10"/>
  <c r="C1191" i="10"/>
  <c r="C1190" i="10"/>
  <c r="C1189" i="10"/>
  <c r="C1188" i="10"/>
  <c r="C1187" i="10"/>
  <c r="C1186" i="10"/>
  <c r="C1185" i="10"/>
  <c r="C1184" i="10"/>
  <c r="C1183" i="10"/>
  <c r="C1182" i="10"/>
  <c r="C1181" i="10"/>
  <c r="C1180" i="10"/>
  <c r="C1179" i="10"/>
  <c r="C1178" i="10"/>
  <c r="C1177" i="10"/>
  <c r="C1176" i="10"/>
  <c r="C1175" i="10"/>
  <c r="C1174" i="10"/>
  <c r="C1173" i="10"/>
  <c r="C1172" i="10"/>
  <c r="C1171" i="10"/>
  <c r="C1170" i="10"/>
  <c r="C1169" i="10"/>
  <c r="C1168" i="10"/>
  <c r="C1167" i="10"/>
  <c r="C1166" i="10"/>
  <c r="C1165" i="10"/>
  <c r="C1164" i="10"/>
  <c r="C1163" i="10"/>
  <c r="C1162" i="10"/>
  <c r="C1161" i="10"/>
  <c r="C1160" i="10"/>
  <c r="C1159" i="10"/>
  <c r="C1158" i="10"/>
  <c r="C1157" i="10"/>
  <c r="C1156" i="10"/>
  <c r="C1155" i="10"/>
  <c r="C1154" i="10"/>
  <c r="C1153" i="10"/>
  <c r="C1152" i="10"/>
  <c r="C1151" i="10"/>
  <c r="C1150" i="10"/>
  <c r="C1149" i="10"/>
  <c r="C1148" i="10"/>
  <c r="C1147" i="10"/>
  <c r="C1146" i="10"/>
  <c r="C1145" i="10"/>
  <c r="C1144" i="10"/>
  <c r="C1143" i="10"/>
  <c r="C1142" i="10"/>
  <c r="C1141" i="10"/>
  <c r="C1140" i="10"/>
  <c r="C1139" i="10"/>
  <c r="C1138" i="10"/>
  <c r="C1137" i="10"/>
  <c r="C1136" i="10"/>
  <c r="C1135" i="10"/>
  <c r="C1134" i="10"/>
  <c r="C1133" i="10"/>
  <c r="C1132" i="10"/>
  <c r="C1131" i="10"/>
  <c r="C1130" i="10"/>
  <c r="C1129" i="10"/>
  <c r="C1128" i="10"/>
  <c r="C1127" i="10"/>
  <c r="C1126" i="10"/>
  <c r="C1125" i="10"/>
  <c r="C1124" i="10"/>
  <c r="C1123" i="10"/>
  <c r="C1122" i="10"/>
  <c r="C1121" i="10"/>
  <c r="C1120" i="10"/>
  <c r="C1119" i="10"/>
  <c r="C1118" i="10"/>
  <c r="C1117" i="10"/>
  <c r="C1116" i="10"/>
  <c r="C1115" i="10"/>
  <c r="C1114" i="10"/>
  <c r="C1113" i="10"/>
  <c r="C1112" i="10"/>
  <c r="C1111" i="10"/>
  <c r="C1110" i="10"/>
  <c r="C1109" i="10"/>
  <c r="C1108" i="10"/>
  <c r="C1107" i="10"/>
  <c r="C1106" i="10"/>
  <c r="C1105" i="10"/>
  <c r="C1104" i="10"/>
  <c r="C1103" i="10"/>
  <c r="C1102" i="10"/>
  <c r="C1101" i="10"/>
  <c r="C1100" i="10"/>
  <c r="C1099" i="10"/>
  <c r="C1098" i="10"/>
  <c r="C1097" i="10"/>
  <c r="C1096" i="10"/>
  <c r="C1095" i="10"/>
  <c r="C1094" i="10"/>
  <c r="C1093" i="10"/>
  <c r="C1092" i="10"/>
  <c r="C1091" i="10"/>
  <c r="C1090" i="10"/>
  <c r="C1089" i="10"/>
  <c r="C1088" i="10"/>
  <c r="C1087" i="10"/>
  <c r="C1086" i="10"/>
  <c r="C1085" i="10"/>
  <c r="C1084" i="10"/>
  <c r="C1083" i="10"/>
  <c r="C1082" i="10"/>
  <c r="C1081" i="10"/>
  <c r="C1080" i="10"/>
  <c r="C1079" i="10"/>
  <c r="C1078" i="10"/>
  <c r="C1077" i="10"/>
  <c r="C1076" i="10"/>
  <c r="C1075" i="10"/>
  <c r="C1074" i="10"/>
  <c r="C1073" i="10"/>
  <c r="C1072" i="10"/>
  <c r="C1071" i="10"/>
  <c r="C1070" i="10"/>
  <c r="C1069" i="10"/>
  <c r="C1068" i="10"/>
  <c r="C1067" i="10"/>
  <c r="C1066" i="10"/>
  <c r="C1065" i="10"/>
  <c r="C1064" i="10"/>
  <c r="C1063" i="10"/>
  <c r="C1062" i="10"/>
  <c r="C1061" i="10"/>
  <c r="C1060" i="10"/>
  <c r="C1059" i="10"/>
  <c r="C1058" i="10"/>
  <c r="C1057" i="10"/>
  <c r="C1056" i="10"/>
  <c r="C1055" i="10"/>
  <c r="C1054" i="10"/>
  <c r="C1053" i="10"/>
  <c r="C1052" i="10"/>
  <c r="C1051" i="10"/>
  <c r="C1050" i="10"/>
  <c r="C1049" i="10"/>
  <c r="C1048" i="10"/>
  <c r="C1047" i="10"/>
  <c r="C1046" i="10"/>
  <c r="C1045" i="10"/>
  <c r="C1044" i="10"/>
  <c r="C1043" i="10"/>
  <c r="C1042" i="10"/>
  <c r="C1041" i="10"/>
  <c r="C1040" i="10"/>
  <c r="C1039" i="10"/>
  <c r="C1038" i="10"/>
  <c r="C1037" i="10"/>
  <c r="C1036" i="10"/>
  <c r="C1035" i="10"/>
  <c r="C1034" i="10"/>
  <c r="C1033" i="10"/>
  <c r="C1032" i="10"/>
  <c r="C1031" i="10"/>
  <c r="C1030" i="10"/>
  <c r="C1029" i="10"/>
  <c r="C1028" i="10"/>
  <c r="C1027" i="10"/>
  <c r="C1026" i="10"/>
  <c r="C1025" i="10"/>
  <c r="C1024" i="10"/>
  <c r="C1023" i="10"/>
  <c r="C1022" i="10"/>
  <c r="C1021" i="10"/>
  <c r="C1020" i="10"/>
  <c r="C1019" i="10"/>
  <c r="C1018" i="10"/>
  <c r="C1017" i="10"/>
  <c r="C1016" i="10"/>
  <c r="C1015" i="10"/>
  <c r="C1014" i="10"/>
  <c r="C1013" i="10"/>
  <c r="C1012" i="10"/>
  <c r="C1011" i="10"/>
  <c r="C1010" i="10"/>
  <c r="C1009" i="10"/>
  <c r="C1008" i="10"/>
  <c r="C1007" i="10"/>
  <c r="C1006" i="10"/>
  <c r="C1005" i="10"/>
  <c r="C1004" i="10"/>
  <c r="C1003" i="10"/>
  <c r="C1002" i="10"/>
  <c r="C1001" i="10"/>
  <c r="C1000" i="10"/>
  <c r="C999" i="10"/>
  <c r="C998" i="10"/>
  <c r="C997" i="10"/>
  <c r="C996" i="10"/>
  <c r="C995" i="10"/>
  <c r="C994" i="10"/>
  <c r="C993" i="10"/>
  <c r="C992" i="10"/>
  <c r="C991" i="10"/>
  <c r="C990" i="10"/>
  <c r="C989" i="10"/>
  <c r="C988" i="10"/>
  <c r="C987" i="10"/>
  <c r="C986" i="10"/>
  <c r="C985" i="10"/>
  <c r="C984" i="10"/>
  <c r="C983" i="10"/>
  <c r="C982" i="10"/>
  <c r="C981" i="10"/>
  <c r="C980" i="10"/>
  <c r="C979" i="10"/>
  <c r="C978" i="10"/>
  <c r="C977" i="10"/>
  <c r="C976" i="10"/>
  <c r="C975" i="10"/>
  <c r="C974" i="10"/>
  <c r="C973" i="10"/>
  <c r="C972" i="10"/>
  <c r="C971" i="10"/>
  <c r="C970" i="10"/>
  <c r="C969" i="10"/>
  <c r="C968" i="10"/>
  <c r="C967" i="10"/>
  <c r="C966" i="10"/>
  <c r="C965" i="10"/>
  <c r="C964" i="10"/>
  <c r="C963" i="10"/>
  <c r="C962" i="10"/>
  <c r="C961" i="10"/>
  <c r="C960" i="10"/>
  <c r="C959" i="10"/>
  <c r="C958" i="10"/>
  <c r="C957" i="10"/>
  <c r="C956" i="10"/>
  <c r="C955" i="10"/>
  <c r="C954" i="10"/>
  <c r="C953" i="10"/>
  <c r="C952" i="10"/>
  <c r="C951" i="10"/>
  <c r="C950" i="10"/>
  <c r="C949" i="10"/>
  <c r="C948" i="10"/>
  <c r="C947" i="10"/>
  <c r="C946" i="10"/>
  <c r="C945" i="10"/>
  <c r="C944" i="10"/>
  <c r="C943" i="10"/>
  <c r="C942" i="10"/>
  <c r="C941" i="10"/>
  <c r="C940" i="10"/>
  <c r="C939" i="10"/>
  <c r="C938" i="10"/>
  <c r="C937" i="10"/>
  <c r="C936" i="10"/>
  <c r="C935" i="10"/>
  <c r="C934" i="10"/>
  <c r="C933" i="10"/>
  <c r="C932" i="10"/>
  <c r="C931" i="10"/>
  <c r="C930" i="10"/>
  <c r="C929" i="10"/>
  <c r="C928" i="10"/>
  <c r="C927" i="10"/>
  <c r="C926" i="10"/>
  <c r="C925" i="10"/>
  <c r="C924" i="10"/>
  <c r="C923" i="10"/>
  <c r="C922" i="10"/>
  <c r="C921" i="10"/>
  <c r="C920" i="10"/>
  <c r="C919" i="10"/>
  <c r="C918" i="10"/>
  <c r="C917" i="10"/>
  <c r="C916" i="10"/>
  <c r="C915" i="10"/>
  <c r="C914" i="10"/>
  <c r="C913" i="10"/>
  <c r="C912" i="10"/>
  <c r="C911" i="10"/>
  <c r="C910" i="10"/>
  <c r="C909" i="10"/>
  <c r="C908" i="10"/>
  <c r="C907" i="10"/>
  <c r="C906" i="10"/>
  <c r="C905" i="10"/>
  <c r="C904" i="10"/>
  <c r="C903" i="10"/>
  <c r="C902" i="10"/>
  <c r="C901" i="10"/>
  <c r="C900" i="10"/>
  <c r="C899" i="10"/>
  <c r="C898" i="10"/>
  <c r="C897" i="10"/>
  <c r="C896" i="10"/>
  <c r="C895" i="10"/>
  <c r="C894" i="10"/>
  <c r="C893" i="10"/>
  <c r="C892" i="10"/>
  <c r="C891" i="10"/>
  <c r="C890" i="10"/>
  <c r="C889" i="10"/>
  <c r="C888" i="10"/>
  <c r="C887" i="10"/>
  <c r="C886" i="10"/>
  <c r="C885" i="10"/>
  <c r="C884" i="10"/>
  <c r="C883" i="10"/>
  <c r="C882" i="10"/>
  <c r="C881" i="10"/>
  <c r="C880" i="10"/>
  <c r="C879" i="10"/>
  <c r="C878" i="10"/>
  <c r="C877" i="10"/>
  <c r="C876" i="10"/>
  <c r="C875" i="10"/>
  <c r="C874" i="10"/>
  <c r="C873" i="10"/>
  <c r="C872" i="10"/>
  <c r="C871" i="10"/>
  <c r="C870" i="10"/>
  <c r="C869" i="10"/>
  <c r="C868" i="10"/>
  <c r="C867" i="10"/>
  <c r="C866" i="10"/>
  <c r="C865" i="10"/>
  <c r="C864" i="10"/>
  <c r="C863" i="10"/>
  <c r="C862" i="10"/>
  <c r="C861" i="10"/>
  <c r="C860" i="10"/>
  <c r="C859" i="10"/>
  <c r="C858" i="10"/>
  <c r="C857" i="10"/>
  <c r="C856" i="10"/>
  <c r="C855" i="10"/>
  <c r="C854" i="10"/>
  <c r="C853" i="10"/>
  <c r="C852" i="10"/>
  <c r="C851" i="10"/>
  <c r="C850" i="10"/>
  <c r="C849" i="10"/>
  <c r="C848" i="10"/>
  <c r="C847" i="10"/>
  <c r="C846" i="10"/>
  <c r="C845" i="10"/>
  <c r="C844" i="10"/>
  <c r="C843" i="10"/>
  <c r="C842" i="10"/>
  <c r="C841" i="10"/>
  <c r="C840" i="10"/>
  <c r="C839" i="10"/>
  <c r="C838" i="10"/>
  <c r="C837" i="10"/>
  <c r="C836" i="10"/>
  <c r="C835" i="10"/>
  <c r="C834" i="10"/>
  <c r="C833" i="10"/>
  <c r="C832" i="10"/>
  <c r="C831" i="10"/>
  <c r="C830" i="10"/>
  <c r="C829" i="10"/>
  <c r="C828" i="10"/>
  <c r="C827" i="10"/>
  <c r="C826" i="10"/>
  <c r="C825" i="10"/>
  <c r="C824" i="10"/>
  <c r="C823" i="10"/>
  <c r="C822" i="10"/>
  <c r="C821" i="10"/>
  <c r="C820" i="10"/>
  <c r="C819" i="10"/>
  <c r="C818" i="10"/>
  <c r="C817" i="10"/>
  <c r="C816" i="10"/>
  <c r="C815" i="10"/>
  <c r="C814" i="10"/>
  <c r="C813" i="10"/>
  <c r="C812" i="10"/>
  <c r="C811" i="10"/>
  <c r="C810" i="10"/>
  <c r="C809" i="10"/>
  <c r="C808" i="10"/>
  <c r="C807" i="10"/>
  <c r="C806" i="10"/>
  <c r="C805" i="10"/>
  <c r="C804" i="10"/>
  <c r="C803" i="10"/>
  <c r="C802" i="10"/>
  <c r="C801" i="10"/>
  <c r="C800" i="10"/>
  <c r="C799" i="10"/>
  <c r="C798" i="10"/>
  <c r="C797" i="10"/>
  <c r="C796" i="10"/>
  <c r="C795" i="10"/>
  <c r="C794" i="10"/>
  <c r="C793" i="10"/>
  <c r="C792" i="10"/>
  <c r="C791" i="10"/>
  <c r="C790" i="10"/>
  <c r="C789" i="10"/>
  <c r="C788" i="10"/>
  <c r="C787" i="10"/>
  <c r="C786" i="10"/>
  <c r="C785" i="10"/>
  <c r="C784" i="10"/>
  <c r="C783" i="10"/>
  <c r="C782" i="10"/>
  <c r="C781" i="10"/>
  <c r="C780" i="10"/>
  <c r="C779" i="10"/>
  <c r="C778" i="10"/>
  <c r="C777" i="10"/>
  <c r="C776" i="10"/>
  <c r="C775" i="10"/>
  <c r="C774" i="10"/>
  <c r="C773" i="10"/>
  <c r="C772" i="10"/>
  <c r="C771" i="10"/>
  <c r="C770" i="10"/>
  <c r="C769" i="10"/>
  <c r="C768" i="10"/>
  <c r="C767" i="10"/>
  <c r="C766" i="10"/>
  <c r="C765" i="10"/>
  <c r="C764" i="10"/>
  <c r="C763" i="10"/>
  <c r="C762" i="10"/>
  <c r="C761" i="10"/>
  <c r="C760" i="10"/>
  <c r="B3203" i="10"/>
  <c r="B3202" i="10"/>
  <c r="B3201" i="10"/>
  <c r="B3200" i="10"/>
  <c r="B3199" i="10"/>
  <c r="B3198" i="10"/>
  <c r="B3197" i="10"/>
  <c r="B3196" i="10"/>
  <c r="B3195" i="10"/>
  <c r="B3194" i="10"/>
  <c r="B3193" i="10"/>
  <c r="B3192" i="10"/>
  <c r="B3191" i="10"/>
  <c r="B3190" i="10"/>
  <c r="B3189" i="10"/>
  <c r="B3188" i="10"/>
  <c r="B3187" i="10"/>
  <c r="B3186" i="10"/>
  <c r="B3185" i="10"/>
  <c r="B3184" i="10"/>
  <c r="B3183" i="10"/>
  <c r="B3182" i="10"/>
  <c r="B3181" i="10"/>
  <c r="B3180" i="10"/>
  <c r="B3179" i="10"/>
  <c r="B3178" i="10"/>
  <c r="B3177" i="10"/>
  <c r="B3176" i="10"/>
  <c r="B3175" i="10"/>
  <c r="B3174" i="10"/>
  <c r="B3173" i="10"/>
  <c r="B3172" i="10"/>
  <c r="B3171" i="10"/>
  <c r="B3170" i="10"/>
  <c r="B3169" i="10"/>
  <c r="B3168" i="10"/>
  <c r="B3167" i="10"/>
  <c r="B3166" i="10"/>
  <c r="B3165" i="10"/>
  <c r="B3164" i="10"/>
  <c r="B3163" i="10"/>
  <c r="B3162" i="10"/>
  <c r="B3161" i="10"/>
  <c r="B3160" i="10"/>
  <c r="B3159" i="10"/>
  <c r="B3158" i="10"/>
  <c r="B3157" i="10"/>
  <c r="B3156" i="10"/>
  <c r="B3155" i="10"/>
  <c r="B3154" i="10"/>
  <c r="B3153" i="10"/>
  <c r="B3152" i="10"/>
  <c r="B3151" i="10"/>
  <c r="B3150" i="10"/>
  <c r="B3149" i="10"/>
  <c r="B3148" i="10"/>
  <c r="B3147" i="10"/>
  <c r="B3146" i="10"/>
  <c r="B3145" i="10"/>
  <c r="B3144" i="10"/>
  <c r="B3143" i="10"/>
  <c r="B3142" i="10"/>
  <c r="B3141" i="10"/>
  <c r="B3140" i="10"/>
  <c r="B3139" i="10"/>
  <c r="B3138" i="10"/>
  <c r="B3137" i="10"/>
  <c r="B3136" i="10"/>
  <c r="B3135" i="10"/>
  <c r="B3134" i="10"/>
  <c r="B3133" i="10"/>
  <c r="B3132" i="10"/>
  <c r="B3131" i="10"/>
  <c r="B3130" i="10"/>
  <c r="B3129" i="10"/>
  <c r="B3128" i="10"/>
  <c r="B3127" i="10"/>
  <c r="B3126" i="10"/>
  <c r="B3125" i="10"/>
  <c r="B3124" i="10"/>
  <c r="B3123" i="10"/>
  <c r="B3122" i="10"/>
  <c r="B3121" i="10"/>
  <c r="B3120" i="10"/>
  <c r="B3119" i="10"/>
  <c r="B3118" i="10"/>
  <c r="B3117" i="10"/>
  <c r="B3116" i="10"/>
  <c r="B3115" i="10"/>
  <c r="B3114" i="10"/>
  <c r="B3113" i="10"/>
  <c r="B3112" i="10"/>
  <c r="B3111" i="10"/>
  <c r="B3110" i="10"/>
  <c r="B3109" i="10"/>
  <c r="B3108" i="10"/>
  <c r="B3107" i="10"/>
  <c r="B3106" i="10"/>
  <c r="B3105" i="10"/>
  <c r="B3104" i="10"/>
  <c r="B3103" i="10"/>
  <c r="B3102" i="10"/>
  <c r="B3101" i="10"/>
  <c r="B3100" i="10"/>
  <c r="B3099" i="10"/>
  <c r="B3098" i="10"/>
  <c r="B3097" i="10"/>
  <c r="B3096" i="10"/>
  <c r="B3095" i="10"/>
  <c r="B3094" i="10"/>
  <c r="B3093" i="10"/>
  <c r="B3092" i="10"/>
  <c r="B3091" i="10"/>
  <c r="B3090" i="10"/>
  <c r="B3089" i="10"/>
  <c r="B3088" i="10"/>
  <c r="B3087" i="10"/>
  <c r="B3086" i="10"/>
  <c r="B3085" i="10"/>
  <c r="B3084" i="10"/>
  <c r="B3083" i="10"/>
  <c r="B3082" i="10"/>
  <c r="B3081" i="10"/>
  <c r="B3080" i="10"/>
  <c r="B3079" i="10"/>
  <c r="B3078" i="10"/>
  <c r="B3077" i="10"/>
  <c r="B3076" i="10"/>
  <c r="B3075" i="10"/>
  <c r="B3074" i="10"/>
  <c r="B3073" i="10"/>
  <c r="B3072" i="10"/>
  <c r="B3071" i="10"/>
  <c r="B3070" i="10"/>
  <c r="B3069" i="10"/>
  <c r="B3068" i="10"/>
  <c r="B3067" i="10"/>
  <c r="B3066" i="10"/>
  <c r="B3065" i="10"/>
  <c r="B3064" i="10"/>
  <c r="B3063" i="10"/>
  <c r="B3062" i="10"/>
  <c r="B3061" i="10"/>
  <c r="B3060" i="10"/>
  <c r="B3059" i="10"/>
  <c r="B3058" i="10"/>
  <c r="B3057" i="10"/>
  <c r="B3056" i="10"/>
  <c r="B3055" i="10"/>
  <c r="B3054" i="10"/>
  <c r="B3053" i="10"/>
  <c r="B3052" i="10"/>
  <c r="B3051" i="10"/>
  <c r="B3050" i="10"/>
  <c r="B3049" i="10"/>
  <c r="B3048" i="10"/>
  <c r="B3047" i="10"/>
  <c r="B3046" i="10"/>
  <c r="B3045" i="10"/>
  <c r="B3044" i="10"/>
  <c r="B3043" i="10"/>
  <c r="B3042" i="10"/>
  <c r="B3041" i="10"/>
  <c r="B3040" i="10"/>
  <c r="B3039" i="10"/>
  <c r="B3038" i="10"/>
  <c r="B3037" i="10"/>
  <c r="B3036" i="10"/>
  <c r="B3035" i="10"/>
  <c r="B3034" i="10"/>
  <c r="B3033" i="10"/>
  <c r="B3032" i="10"/>
  <c r="B3031" i="10"/>
  <c r="B3030" i="10"/>
  <c r="B3029" i="10"/>
  <c r="B3028" i="10"/>
  <c r="B3027" i="10"/>
  <c r="B3026" i="10"/>
  <c r="B3025" i="10"/>
  <c r="B3024" i="10"/>
  <c r="B3023" i="10"/>
  <c r="B3022" i="10"/>
  <c r="B3021" i="10"/>
  <c r="B3020" i="10"/>
  <c r="B3019" i="10"/>
  <c r="B3018" i="10"/>
  <c r="B3017" i="10"/>
  <c r="B3016" i="10"/>
  <c r="B3015" i="10"/>
  <c r="B3014" i="10"/>
  <c r="B3013" i="10"/>
  <c r="B3012" i="10"/>
  <c r="B3011" i="10"/>
  <c r="B3010" i="10"/>
  <c r="B3009" i="10"/>
  <c r="B3008" i="10"/>
  <c r="B3007" i="10"/>
  <c r="B3006" i="10"/>
  <c r="B3005" i="10"/>
  <c r="B3004" i="10"/>
  <c r="B3003" i="10"/>
  <c r="B3002" i="10"/>
  <c r="B3001" i="10"/>
  <c r="B3000" i="10"/>
  <c r="B2999" i="10"/>
  <c r="B2998" i="10"/>
  <c r="B2997" i="10"/>
  <c r="B2996" i="10"/>
  <c r="B2995" i="10"/>
  <c r="B2994" i="10"/>
  <c r="B2993" i="10"/>
  <c r="B2992" i="10"/>
  <c r="B2991" i="10"/>
  <c r="B2990" i="10"/>
  <c r="B2989" i="10"/>
  <c r="B2988" i="10"/>
  <c r="B2987" i="10"/>
  <c r="B2986" i="10"/>
  <c r="B2985" i="10"/>
  <c r="B2984" i="10"/>
  <c r="B2983" i="10"/>
  <c r="B2982" i="10"/>
  <c r="B2981" i="10"/>
  <c r="B2980" i="10"/>
  <c r="B2979" i="10"/>
  <c r="B2978" i="10"/>
  <c r="B2977" i="10"/>
  <c r="B2976" i="10"/>
  <c r="B2975" i="10"/>
  <c r="B2974" i="10"/>
  <c r="B2973" i="10"/>
  <c r="B2972" i="10"/>
  <c r="B2971" i="10"/>
  <c r="B2970" i="10"/>
  <c r="B2969" i="10"/>
  <c r="B2968" i="10"/>
  <c r="B2967" i="10"/>
  <c r="B2966" i="10"/>
  <c r="B2965" i="10"/>
  <c r="B2964" i="10"/>
  <c r="B2963" i="10"/>
  <c r="B2962" i="10"/>
  <c r="B2961" i="10"/>
  <c r="B2960" i="10"/>
  <c r="B2959" i="10"/>
  <c r="B2958" i="10"/>
  <c r="B2957" i="10"/>
  <c r="B2956" i="10"/>
  <c r="B2955" i="10"/>
  <c r="B2954" i="10"/>
  <c r="B2953" i="10"/>
  <c r="B2952" i="10"/>
  <c r="B2951" i="10"/>
  <c r="B2950" i="10"/>
  <c r="B2949" i="10"/>
  <c r="B2948" i="10"/>
  <c r="B2947" i="10"/>
  <c r="B2946" i="10"/>
  <c r="B2945" i="10"/>
  <c r="B2944" i="10"/>
  <c r="B2943" i="10"/>
  <c r="B2942" i="10"/>
  <c r="B2941" i="10"/>
  <c r="B2940" i="10"/>
  <c r="B2939" i="10"/>
  <c r="B2938" i="10"/>
  <c r="B2937" i="10"/>
  <c r="B2936" i="10"/>
  <c r="B2935" i="10"/>
  <c r="B2934" i="10"/>
  <c r="B2933" i="10"/>
  <c r="B2932" i="10"/>
  <c r="B2931" i="10"/>
  <c r="B2930" i="10"/>
  <c r="B2929" i="10"/>
  <c r="B2928" i="10"/>
  <c r="B2927" i="10"/>
  <c r="B2926" i="10"/>
  <c r="B2925" i="10"/>
  <c r="B2924" i="10"/>
  <c r="B2923" i="10"/>
  <c r="B2922" i="10"/>
  <c r="B2921" i="10"/>
  <c r="B2920" i="10"/>
  <c r="B2919" i="10"/>
  <c r="B2918" i="10"/>
  <c r="B2917" i="10"/>
  <c r="B2916" i="10"/>
  <c r="B2915" i="10"/>
  <c r="B2914" i="10"/>
  <c r="B2913" i="10"/>
  <c r="B2912" i="10"/>
  <c r="B2911" i="10"/>
  <c r="B2910" i="10"/>
  <c r="B2909" i="10"/>
  <c r="B2908" i="10"/>
  <c r="B2907" i="10"/>
  <c r="B2906" i="10"/>
  <c r="B2905" i="10"/>
  <c r="B2904" i="10"/>
  <c r="B2903" i="10"/>
  <c r="B2902" i="10"/>
  <c r="B2901" i="10"/>
  <c r="B2900" i="10"/>
  <c r="B2899" i="10"/>
  <c r="B2898" i="10"/>
  <c r="B2897" i="10"/>
  <c r="B2896" i="10"/>
  <c r="B2895" i="10"/>
  <c r="B2894" i="10"/>
  <c r="B2893" i="10"/>
  <c r="B2892" i="10"/>
  <c r="B2891" i="10"/>
  <c r="B2890" i="10"/>
  <c r="B2889" i="10"/>
  <c r="B2888" i="10"/>
  <c r="B2887" i="10"/>
  <c r="B2886" i="10"/>
  <c r="B2885" i="10"/>
  <c r="B2884" i="10"/>
  <c r="B2883" i="10"/>
  <c r="B2882" i="10"/>
  <c r="B2881" i="10"/>
  <c r="B2880" i="10"/>
  <c r="B2879" i="10"/>
  <c r="B2878" i="10"/>
  <c r="B2877" i="10"/>
  <c r="B2876" i="10"/>
  <c r="B2875" i="10"/>
  <c r="B2874" i="10"/>
  <c r="B2873" i="10"/>
  <c r="B2872" i="10"/>
  <c r="B2871" i="10"/>
  <c r="B2870" i="10"/>
  <c r="B2869" i="10"/>
  <c r="B2868" i="10"/>
  <c r="B2867" i="10"/>
  <c r="B2866" i="10"/>
  <c r="B2865" i="10"/>
  <c r="B2864" i="10"/>
  <c r="B2863" i="10"/>
  <c r="B2862" i="10"/>
  <c r="B2861" i="10"/>
  <c r="B2860" i="10"/>
  <c r="B2859" i="10"/>
  <c r="B2858" i="10"/>
  <c r="B2857" i="10"/>
  <c r="B2856" i="10"/>
  <c r="B2855" i="10"/>
  <c r="B2854" i="10"/>
  <c r="B2853" i="10"/>
  <c r="B2852" i="10"/>
  <c r="B2851" i="10"/>
  <c r="B2850" i="10"/>
  <c r="B2849" i="10"/>
  <c r="B2848" i="10"/>
  <c r="B2847" i="10"/>
  <c r="B2846" i="10"/>
  <c r="B2845" i="10"/>
  <c r="B2844" i="10"/>
  <c r="B2843" i="10"/>
  <c r="B2842" i="10"/>
  <c r="B2841" i="10"/>
  <c r="B2840" i="10"/>
  <c r="B2839" i="10"/>
  <c r="B2838" i="10"/>
  <c r="B2837" i="10"/>
  <c r="B2836" i="10"/>
  <c r="B2835" i="10"/>
  <c r="B2834" i="10"/>
  <c r="B2833" i="10"/>
  <c r="B2832" i="10"/>
  <c r="B2831" i="10"/>
  <c r="B2830" i="10"/>
  <c r="B2829" i="10"/>
  <c r="B2828" i="10"/>
  <c r="B2827" i="10"/>
  <c r="B2826" i="10"/>
  <c r="B2825" i="10"/>
  <c r="B2824" i="10"/>
  <c r="B2823" i="10"/>
  <c r="B2822" i="10"/>
  <c r="B2821" i="10"/>
  <c r="B2820" i="10"/>
  <c r="B2819" i="10"/>
  <c r="B2818" i="10"/>
  <c r="B2817" i="10"/>
  <c r="B2816" i="10"/>
  <c r="B2815" i="10"/>
  <c r="B2814" i="10"/>
  <c r="B2813" i="10"/>
  <c r="B2812" i="10"/>
  <c r="B2811" i="10"/>
  <c r="B2810" i="10"/>
  <c r="B2809" i="10"/>
  <c r="B2808" i="10"/>
  <c r="B2807" i="10"/>
  <c r="B2806" i="10"/>
  <c r="B2805" i="10"/>
  <c r="B2804" i="10"/>
  <c r="B2803" i="10"/>
  <c r="B2802" i="10"/>
  <c r="B2801" i="10"/>
  <c r="B2800" i="10"/>
  <c r="B2799" i="10"/>
  <c r="B2798" i="10"/>
  <c r="B2797" i="10"/>
  <c r="B2796" i="10"/>
  <c r="B2795" i="10"/>
  <c r="B2794" i="10"/>
  <c r="B2793" i="10"/>
  <c r="B2792" i="10"/>
  <c r="B2791" i="10"/>
  <c r="B2790" i="10"/>
  <c r="B2789" i="10"/>
  <c r="B2788" i="10"/>
  <c r="B2787" i="10"/>
  <c r="B2786" i="10"/>
  <c r="B2785" i="10"/>
  <c r="B2784" i="10"/>
  <c r="B2783" i="10"/>
  <c r="B2782" i="10"/>
  <c r="B2781" i="10"/>
  <c r="B2780" i="10"/>
  <c r="B2779" i="10"/>
  <c r="B2778" i="10"/>
  <c r="B2777" i="10"/>
  <c r="B2776" i="10"/>
  <c r="B2775" i="10"/>
  <c r="B2774" i="10"/>
  <c r="B2773" i="10"/>
  <c r="B2772" i="10"/>
  <c r="B2771" i="10"/>
  <c r="B2770" i="10"/>
  <c r="B2769" i="10"/>
  <c r="B2768" i="10"/>
  <c r="B2767" i="10"/>
  <c r="B2766" i="10"/>
  <c r="B2765" i="10"/>
  <c r="B2764" i="10"/>
  <c r="B2763" i="10"/>
  <c r="B2762" i="10"/>
  <c r="B2761" i="10"/>
  <c r="B2760" i="10"/>
  <c r="B2759" i="10"/>
  <c r="B2758" i="10"/>
  <c r="B2757" i="10"/>
  <c r="B2756" i="10"/>
  <c r="B2755" i="10"/>
  <c r="B2754" i="10"/>
  <c r="B2753" i="10"/>
  <c r="B2752" i="10"/>
  <c r="B2751" i="10"/>
  <c r="B2750" i="10"/>
  <c r="B2749" i="10"/>
  <c r="B2748" i="10"/>
  <c r="B2747" i="10"/>
  <c r="B2746" i="10"/>
  <c r="B2745" i="10"/>
  <c r="B2744" i="10"/>
  <c r="B2743" i="10"/>
  <c r="B2742" i="10"/>
  <c r="B2741" i="10"/>
  <c r="B2740" i="10"/>
  <c r="B2739" i="10"/>
  <c r="B2738" i="10"/>
  <c r="B2737" i="10"/>
  <c r="B2736" i="10"/>
  <c r="B2735" i="10"/>
  <c r="B2734" i="10"/>
  <c r="B2733" i="10"/>
  <c r="B2732" i="10"/>
  <c r="B2731" i="10"/>
  <c r="B2730" i="10"/>
  <c r="B2729" i="10"/>
  <c r="B2728" i="10"/>
  <c r="B2727" i="10"/>
  <c r="B2726" i="10"/>
  <c r="B2725" i="10"/>
  <c r="B2724" i="10"/>
  <c r="B2723" i="10"/>
  <c r="B2722" i="10"/>
  <c r="B2721" i="10"/>
  <c r="B2720" i="10"/>
  <c r="B2719" i="10"/>
  <c r="B2718" i="10"/>
  <c r="B2717" i="10"/>
  <c r="B2716" i="10"/>
  <c r="B2715" i="10"/>
  <c r="B2714" i="10"/>
  <c r="B2713" i="10"/>
  <c r="B2712" i="10"/>
  <c r="B2711" i="10"/>
  <c r="B2710" i="10"/>
  <c r="B2709" i="10"/>
  <c r="B2708" i="10"/>
  <c r="B2707" i="10"/>
  <c r="B2706" i="10"/>
  <c r="B2705" i="10"/>
  <c r="B2704" i="10"/>
  <c r="B2703" i="10"/>
  <c r="B2702" i="10"/>
  <c r="B2701" i="10"/>
  <c r="B2700" i="10"/>
  <c r="B2699" i="10"/>
  <c r="B2698" i="10"/>
  <c r="B2697" i="10"/>
  <c r="B2696" i="10"/>
  <c r="B2695" i="10"/>
  <c r="B2694" i="10"/>
  <c r="B2693" i="10"/>
  <c r="B2692" i="10"/>
  <c r="B2691" i="10"/>
  <c r="B2690" i="10"/>
  <c r="B2689" i="10"/>
  <c r="B2688" i="10"/>
  <c r="B2687" i="10"/>
  <c r="B2686" i="10"/>
  <c r="B2685" i="10"/>
  <c r="B2684" i="10"/>
  <c r="B2683" i="10"/>
  <c r="B2682" i="10"/>
  <c r="B2681" i="10"/>
  <c r="B2680" i="10"/>
  <c r="B2679" i="10"/>
  <c r="B2678" i="10"/>
  <c r="B2677" i="10"/>
  <c r="B2676" i="10"/>
  <c r="B2675" i="10"/>
  <c r="B2674" i="10"/>
  <c r="B2673" i="10"/>
  <c r="B2672" i="10"/>
  <c r="B2671" i="10"/>
  <c r="B2670" i="10"/>
  <c r="B2669" i="10"/>
  <c r="B2668" i="10"/>
  <c r="B2667" i="10"/>
  <c r="B2666" i="10"/>
  <c r="B2665" i="10"/>
  <c r="B2664" i="10"/>
  <c r="B2663" i="10"/>
  <c r="B2662" i="10"/>
  <c r="B2661" i="10"/>
  <c r="B2660" i="10"/>
  <c r="B2659" i="10"/>
  <c r="B2658" i="10"/>
  <c r="B2657" i="10"/>
  <c r="B2656" i="10"/>
  <c r="B2655" i="10"/>
  <c r="B2654" i="10"/>
  <c r="B2653" i="10"/>
  <c r="B2652" i="10"/>
  <c r="B2651" i="10"/>
  <c r="B2650" i="10"/>
  <c r="B2649" i="10"/>
  <c r="B2648" i="10"/>
  <c r="B2647" i="10"/>
  <c r="B2646" i="10"/>
  <c r="B2645" i="10"/>
  <c r="B2644" i="10"/>
  <c r="B2643" i="10"/>
  <c r="B2642" i="10"/>
  <c r="B2641" i="10"/>
  <c r="B2640" i="10"/>
  <c r="B2639" i="10"/>
  <c r="B2638" i="10"/>
  <c r="B2637" i="10"/>
  <c r="B2636" i="10"/>
  <c r="B2635" i="10"/>
  <c r="B2634" i="10"/>
  <c r="B2633" i="10"/>
  <c r="B2632" i="10"/>
  <c r="B2631" i="10"/>
  <c r="B2630" i="10"/>
  <c r="B2629" i="10"/>
  <c r="B2628" i="10"/>
  <c r="B2627" i="10"/>
  <c r="B2626" i="10"/>
  <c r="B2625" i="10"/>
  <c r="B2624" i="10"/>
  <c r="B2623" i="10"/>
  <c r="B2622" i="10"/>
  <c r="B2621" i="10"/>
  <c r="B2620" i="10"/>
  <c r="B2619" i="10"/>
  <c r="B2618" i="10"/>
  <c r="B2617" i="10"/>
  <c r="B2616" i="10"/>
  <c r="B2615" i="10"/>
  <c r="B2614" i="10"/>
  <c r="B2613" i="10"/>
  <c r="B2612" i="10"/>
  <c r="B2611" i="10"/>
  <c r="B2610" i="10"/>
  <c r="B2609" i="10"/>
  <c r="B2608" i="10"/>
  <c r="B2607" i="10"/>
  <c r="B2606" i="10"/>
  <c r="B2605" i="10"/>
  <c r="B2604" i="10"/>
  <c r="B2603" i="10"/>
  <c r="B2602" i="10"/>
  <c r="B2601" i="10"/>
  <c r="B2600" i="10"/>
  <c r="B2599" i="10"/>
  <c r="B2598" i="10"/>
  <c r="B2597" i="10"/>
  <c r="B2596" i="10"/>
  <c r="B2595" i="10"/>
  <c r="B2594" i="10"/>
  <c r="B2593" i="10"/>
  <c r="B2592" i="10"/>
  <c r="B2591" i="10"/>
  <c r="B2590" i="10"/>
  <c r="B2589" i="10"/>
  <c r="B2588" i="10"/>
  <c r="B2587" i="10"/>
  <c r="B2586" i="10"/>
  <c r="B2585" i="10"/>
  <c r="B2584" i="10"/>
  <c r="B2583" i="10"/>
  <c r="B2582" i="10"/>
  <c r="B2581" i="10"/>
  <c r="B2580" i="10"/>
  <c r="B2579" i="10"/>
  <c r="B2578" i="10"/>
  <c r="B2577" i="10"/>
  <c r="B2576" i="10"/>
  <c r="B2575" i="10"/>
  <c r="B2574" i="10"/>
  <c r="B2573" i="10"/>
  <c r="B2572" i="10"/>
  <c r="B2571" i="10"/>
  <c r="B2570" i="10"/>
  <c r="B2569" i="10"/>
  <c r="B2568" i="10"/>
  <c r="B2567" i="10"/>
  <c r="B2566" i="10"/>
  <c r="B2565" i="10"/>
  <c r="B2564" i="10"/>
  <c r="B2563" i="10"/>
  <c r="B2562" i="10"/>
  <c r="B2561" i="10"/>
  <c r="B2560" i="10"/>
  <c r="B2559" i="10"/>
  <c r="B2558" i="10"/>
  <c r="B2557" i="10"/>
  <c r="B2556" i="10"/>
  <c r="B2555" i="10"/>
  <c r="B2554" i="10"/>
  <c r="B2553" i="10"/>
  <c r="B2552" i="10"/>
  <c r="B2551" i="10"/>
  <c r="B2550" i="10"/>
  <c r="B2549" i="10"/>
  <c r="B2548" i="10"/>
  <c r="B2547" i="10"/>
  <c r="B2546" i="10"/>
  <c r="B2545" i="10"/>
  <c r="B2544" i="10"/>
  <c r="B2543" i="10"/>
  <c r="B2542" i="10"/>
  <c r="B2541" i="10"/>
  <c r="B2540" i="10"/>
  <c r="B2539" i="10"/>
  <c r="B2538" i="10"/>
  <c r="B2537" i="10"/>
  <c r="B2536" i="10"/>
  <c r="B2535" i="10"/>
  <c r="B2534" i="10"/>
  <c r="B2533" i="10"/>
  <c r="B2532" i="10"/>
  <c r="B2531" i="10"/>
  <c r="B2530" i="10"/>
  <c r="B2529" i="10"/>
  <c r="B2528" i="10"/>
  <c r="B2527" i="10"/>
  <c r="B2526" i="10"/>
  <c r="B2525" i="10"/>
  <c r="B2524" i="10"/>
  <c r="B2523" i="10"/>
  <c r="B2522" i="10"/>
  <c r="B2521" i="10"/>
  <c r="B2520" i="10"/>
  <c r="B2519" i="10"/>
  <c r="B2518" i="10"/>
  <c r="B2517" i="10"/>
  <c r="B2516" i="10"/>
  <c r="B2515" i="10"/>
  <c r="B2514" i="10"/>
  <c r="B2513" i="10"/>
  <c r="B2512" i="10"/>
  <c r="B2511" i="10"/>
  <c r="B2510" i="10"/>
  <c r="B2509" i="10"/>
  <c r="B2508" i="10"/>
  <c r="B2507" i="10"/>
  <c r="B2506" i="10"/>
  <c r="B2505" i="10"/>
  <c r="B2504" i="10"/>
  <c r="B2503" i="10"/>
  <c r="B2502" i="10"/>
  <c r="B2501" i="10"/>
  <c r="B2500" i="10"/>
  <c r="B2499" i="10"/>
  <c r="B2498" i="10"/>
  <c r="B2497" i="10"/>
  <c r="B2496" i="10"/>
  <c r="B2495" i="10"/>
  <c r="B2494" i="10"/>
  <c r="B2493" i="10"/>
  <c r="B2492" i="10"/>
  <c r="B2491" i="10"/>
  <c r="B2490" i="10"/>
  <c r="B2489" i="10"/>
  <c r="B2488" i="10"/>
  <c r="B2487" i="10"/>
  <c r="B2486" i="10"/>
  <c r="B2485" i="10"/>
  <c r="B2484" i="10"/>
  <c r="B2483" i="10"/>
  <c r="B2482" i="10"/>
  <c r="B2481" i="10"/>
  <c r="B2480" i="10"/>
  <c r="B2479" i="10"/>
  <c r="B2478" i="10"/>
  <c r="B2477" i="10"/>
  <c r="B2476" i="10"/>
  <c r="B2475" i="10"/>
  <c r="B2474" i="10"/>
  <c r="B2473" i="10"/>
  <c r="B2472" i="10"/>
  <c r="B2471" i="10"/>
  <c r="B2470" i="10"/>
  <c r="B2469" i="10"/>
  <c r="B2468" i="10"/>
  <c r="B2467" i="10"/>
  <c r="B2466" i="10"/>
  <c r="B2465" i="10"/>
  <c r="B2464" i="10"/>
  <c r="B2463" i="10"/>
  <c r="B2462" i="10"/>
  <c r="B2461" i="10"/>
  <c r="B2460" i="10"/>
  <c r="B2459" i="10"/>
  <c r="B2458" i="10"/>
  <c r="B2457" i="10"/>
  <c r="B2456" i="10"/>
  <c r="B2455" i="10"/>
  <c r="B2454" i="10"/>
  <c r="B2453" i="10"/>
  <c r="B2452" i="10"/>
  <c r="B2451" i="10"/>
  <c r="B2450" i="10"/>
  <c r="B2449" i="10"/>
  <c r="B2448" i="10"/>
  <c r="B2447" i="10"/>
  <c r="B2446" i="10"/>
  <c r="B2445" i="10"/>
  <c r="B2444" i="10"/>
  <c r="B2443" i="10"/>
  <c r="B2442" i="10"/>
  <c r="B2441" i="10"/>
  <c r="B2440" i="10"/>
  <c r="B2439" i="10"/>
  <c r="B2438" i="10"/>
  <c r="B2437" i="10"/>
  <c r="B2436" i="10"/>
  <c r="B2435" i="10"/>
  <c r="B2434" i="10"/>
  <c r="B2433" i="10"/>
  <c r="B2432" i="10"/>
  <c r="B2431" i="10"/>
  <c r="B2430" i="10"/>
  <c r="B2429" i="10"/>
  <c r="B2428" i="10"/>
  <c r="B2427" i="10"/>
  <c r="B2426" i="10"/>
  <c r="B2425" i="10"/>
  <c r="B2424" i="10"/>
  <c r="B2423" i="10"/>
  <c r="B2422" i="10"/>
  <c r="B2421" i="10"/>
  <c r="B2420" i="10"/>
  <c r="B2419" i="10"/>
  <c r="B2418" i="10"/>
  <c r="B2417" i="10"/>
  <c r="B2416" i="10"/>
  <c r="B2415" i="10"/>
  <c r="B2414" i="10"/>
  <c r="B2413" i="10"/>
  <c r="B2412" i="10"/>
  <c r="B2411" i="10"/>
  <c r="B2410" i="10"/>
  <c r="B2409" i="10"/>
  <c r="B2408" i="10"/>
  <c r="B2407" i="10"/>
  <c r="B2406" i="10"/>
  <c r="B2405" i="10"/>
  <c r="B2404" i="10"/>
  <c r="B2403" i="10"/>
  <c r="B2402" i="10"/>
  <c r="B2401" i="10"/>
  <c r="B2400" i="10"/>
  <c r="B2399" i="10"/>
  <c r="B2398" i="10"/>
  <c r="B2397" i="10"/>
  <c r="B2396" i="10"/>
  <c r="B2395" i="10"/>
  <c r="B2394" i="10"/>
  <c r="B2393" i="10"/>
  <c r="B2392" i="10"/>
  <c r="B2391" i="10"/>
  <c r="B2390" i="10"/>
  <c r="B2389" i="10"/>
  <c r="B2388" i="10"/>
  <c r="B2387" i="10"/>
  <c r="B2386" i="10"/>
  <c r="B2385" i="10"/>
  <c r="B2384" i="10"/>
  <c r="B2383" i="10"/>
  <c r="B2382" i="10"/>
  <c r="B2381" i="10"/>
  <c r="B2380" i="10"/>
  <c r="B2379" i="10"/>
  <c r="B2378" i="10"/>
  <c r="B2377" i="10"/>
  <c r="B2376" i="10"/>
  <c r="B2375" i="10"/>
  <c r="B2374" i="10"/>
  <c r="B2373" i="10"/>
  <c r="B2372" i="10"/>
  <c r="B2371" i="10"/>
  <c r="B2370" i="10"/>
  <c r="B2369" i="10"/>
  <c r="B2368" i="10"/>
  <c r="B2367" i="10"/>
  <c r="B2366" i="10"/>
  <c r="B2365" i="10"/>
  <c r="B2364" i="10"/>
  <c r="B2363" i="10"/>
  <c r="B2362" i="10"/>
  <c r="B2361" i="10"/>
  <c r="B2360" i="10"/>
  <c r="B2359" i="10"/>
  <c r="B2358" i="10"/>
  <c r="B2357" i="10"/>
  <c r="B2356" i="10"/>
  <c r="B2355" i="10"/>
  <c r="B2354" i="10"/>
  <c r="B2353" i="10"/>
  <c r="B2352" i="10"/>
  <c r="B2351" i="10"/>
  <c r="B2350" i="10"/>
  <c r="B2349" i="10"/>
  <c r="B2348" i="10"/>
  <c r="B2347" i="10"/>
  <c r="B2346" i="10"/>
  <c r="B2345" i="10"/>
  <c r="B2344" i="10"/>
  <c r="B2343" i="10"/>
  <c r="B2342" i="10"/>
  <c r="B2341" i="10"/>
  <c r="B2340" i="10"/>
  <c r="B2339" i="10"/>
  <c r="B2338" i="10"/>
  <c r="B2337" i="10"/>
  <c r="B2336" i="10"/>
  <c r="B2335" i="10"/>
  <c r="B2334" i="10"/>
  <c r="B2333" i="10"/>
  <c r="B2332" i="10"/>
  <c r="B2331" i="10"/>
  <c r="B2330" i="10"/>
  <c r="B2329" i="10"/>
  <c r="B2328" i="10"/>
  <c r="B2327" i="10"/>
  <c r="B2326" i="10"/>
  <c r="B2325" i="10"/>
  <c r="B2324" i="10"/>
  <c r="B2323" i="10"/>
  <c r="B2322" i="10"/>
  <c r="B2321" i="10"/>
  <c r="B2320" i="10"/>
  <c r="B2319" i="10"/>
  <c r="B2318" i="10"/>
  <c r="B2317" i="10"/>
  <c r="B2316" i="10"/>
  <c r="B2315" i="10"/>
  <c r="B2314" i="10"/>
  <c r="B2313" i="10"/>
  <c r="B2312" i="10"/>
  <c r="B2311" i="10"/>
  <c r="B2310" i="10"/>
  <c r="B2309" i="10"/>
  <c r="B2308" i="10"/>
  <c r="B2307" i="10"/>
  <c r="B2306" i="10"/>
  <c r="B2305" i="10"/>
  <c r="B2304" i="10"/>
  <c r="B2303" i="10"/>
  <c r="B2302" i="10"/>
  <c r="B2301" i="10"/>
  <c r="B2300" i="10"/>
  <c r="B2299" i="10"/>
  <c r="B2298" i="10"/>
  <c r="B2297" i="10"/>
  <c r="B2296" i="10"/>
  <c r="B2295" i="10"/>
  <c r="B2294" i="10"/>
  <c r="B2293" i="10"/>
  <c r="B2292" i="10"/>
  <c r="B2291" i="10"/>
  <c r="B2290" i="10"/>
  <c r="B2289" i="10"/>
  <c r="B2288" i="10"/>
  <c r="B2287" i="10"/>
  <c r="B2286" i="10"/>
  <c r="B2285" i="10"/>
  <c r="B2284" i="10"/>
  <c r="B2283" i="10"/>
  <c r="B2282" i="10"/>
  <c r="B2281" i="10"/>
  <c r="B2280" i="10"/>
  <c r="B2279" i="10"/>
  <c r="B2278" i="10"/>
  <c r="B2277" i="10"/>
  <c r="B2276" i="10"/>
  <c r="B2275" i="10"/>
  <c r="B2274" i="10"/>
  <c r="B2273" i="10"/>
  <c r="B2272" i="10"/>
  <c r="B2271" i="10"/>
  <c r="B2270" i="10"/>
  <c r="B2269" i="10"/>
  <c r="B2268" i="10"/>
  <c r="B2267" i="10"/>
  <c r="B2266" i="10"/>
  <c r="B2265" i="10"/>
  <c r="B2264" i="10"/>
  <c r="B2263" i="10"/>
  <c r="B2262" i="10"/>
  <c r="B2261" i="10"/>
  <c r="B2260" i="10"/>
  <c r="B2259" i="10"/>
  <c r="B2258" i="10"/>
  <c r="B2257" i="10"/>
  <c r="B2256" i="10"/>
  <c r="B2255" i="10"/>
  <c r="B2254" i="10"/>
  <c r="B2253" i="10"/>
  <c r="B2252" i="10"/>
  <c r="B2251" i="10"/>
  <c r="B2250" i="10"/>
  <c r="B2249" i="10"/>
  <c r="B2248" i="10"/>
  <c r="B2247" i="10"/>
  <c r="B2246" i="10"/>
  <c r="B2245" i="10"/>
  <c r="B2244" i="10"/>
  <c r="B2243" i="10"/>
  <c r="B2242" i="10"/>
  <c r="B2241" i="10"/>
  <c r="B2240" i="10"/>
  <c r="B2239" i="10"/>
  <c r="B2238" i="10"/>
  <c r="B2237" i="10"/>
  <c r="B2236" i="10"/>
  <c r="B2235" i="10"/>
  <c r="B2234" i="10"/>
  <c r="B2233" i="10"/>
  <c r="B2232" i="10"/>
  <c r="B2231" i="10"/>
  <c r="B2230" i="10"/>
  <c r="B2229" i="10"/>
  <c r="B2228" i="10"/>
  <c r="B2227" i="10"/>
  <c r="B2226" i="10"/>
  <c r="B2225" i="10"/>
  <c r="B2224" i="10"/>
  <c r="B2223" i="10"/>
  <c r="B2222" i="10"/>
  <c r="B2221" i="10"/>
  <c r="B2220" i="10"/>
  <c r="B2219" i="10"/>
  <c r="B2218" i="10"/>
  <c r="B2217" i="10"/>
  <c r="B2216" i="10"/>
  <c r="B2215" i="10"/>
  <c r="B2214" i="10"/>
  <c r="B2213" i="10"/>
  <c r="B2212" i="10"/>
  <c r="B2211" i="10"/>
  <c r="B2210" i="10"/>
  <c r="B2209" i="10"/>
  <c r="B2208" i="10"/>
  <c r="B2207" i="10"/>
  <c r="B2206" i="10"/>
  <c r="B2205" i="10"/>
  <c r="B2204" i="10"/>
  <c r="B2203" i="10"/>
  <c r="B2202" i="10"/>
  <c r="B2201" i="10"/>
  <c r="B2200" i="10"/>
  <c r="B2199" i="10"/>
  <c r="B2198" i="10"/>
  <c r="B2197" i="10"/>
  <c r="B2196" i="10"/>
  <c r="B2195" i="10"/>
  <c r="B2194" i="10"/>
  <c r="B2193" i="10"/>
  <c r="B2192" i="10"/>
  <c r="B2191" i="10"/>
  <c r="B2190" i="10"/>
  <c r="B2189" i="10"/>
  <c r="B2188" i="10"/>
  <c r="B2187" i="10"/>
  <c r="B2186" i="10"/>
  <c r="B2185" i="10"/>
  <c r="B2184" i="10"/>
  <c r="B2183" i="10"/>
  <c r="B2182" i="10"/>
  <c r="B2181" i="10"/>
  <c r="B2180" i="10"/>
  <c r="B2179" i="10"/>
  <c r="B2178" i="10"/>
  <c r="B2177" i="10"/>
  <c r="B2176" i="10"/>
  <c r="B2175" i="10"/>
  <c r="B2174" i="10"/>
  <c r="B2173" i="10"/>
  <c r="B2172" i="10"/>
  <c r="B2171" i="10"/>
  <c r="B2170" i="10"/>
  <c r="B2169" i="10"/>
  <c r="B2168" i="10"/>
  <c r="B2167" i="10"/>
  <c r="B2166" i="10"/>
  <c r="B2165" i="10"/>
  <c r="B2164" i="10"/>
  <c r="B2163" i="10"/>
  <c r="B2162" i="10"/>
  <c r="B2161" i="10"/>
  <c r="B2160" i="10"/>
  <c r="B2159" i="10"/>
  <c r="B2158" i="10"/>
  <c r="B2157" i="10"/>
  <c r="B2156" i="10"/>
  <c r="B2155" i="10"/>
  <c r="B2154" i="10"/>
  <c r="B2153" i="10"/>
  <c r="B2152" i="10"/>
  <c r="B2151" i="10"/>
  <c r="B2150" i="10"/>
  <c r="B2149" i="10"/>
  <c r="B2148" i="10"/>
  <c r="B2147" i="10"/>
  <c r="B2146" i="10"/>
  <c r="B2145" i="10"/>
  <c r="B2144" i="10"/>
  <c r="B2143" i="10"/>
  <c r="B2142" i="10"/>
  <c r="B2141" i="10"/>
  <c r="B2140" i="10"/>
  <c r="B2139" i="10"/>
  <c r="B2138" i="10"/>
  <c r="B2137" i="10"/>
  <c r="B2136" i="10"/>
  <c r="B2135" i="10"/>
  <c r="B2134" i="10"/>
  <c r="B2133" i="10"/>
  <c r="B2132" i="10"/>
  <c r="B2131" i="10"/>
  <c r="B2130" i="10"/>
  <c r="B2129" i="10"/>
  <c r="B2128" i="10"/>
  <c r="B2127" i="10"/>
  <c r="B2126" i="10"/>
  <c r="B2125" i="10"/>
  <c r="B2124" i="10"/>
  <c r="B2123" i="10"/>
  <c r="B2122" i="10"/>
  <c r="B2121" i="10"/>
  <c r="B2120" i="10"/>
  <c r="B2119" i="10"/>
  <c r="B2118" i="10"/>
  <c r="B2117" i="10"/>
  <c r="B2116" i="10"/>
  <c r="B2115" i="10"/>
  <c r="B2114" i="10"/>
  <c r="B2113" i="10"/>
  <c r="B2112" i="10"/>
  <c r="B2111" i="10"/>
  <c r="B2110" i="10"/>
  <c r="B2109" i="10"/>
  <c r="B2108" i="10"/>
  <c r="B2107" i="10"/>
  <c r="B2106" i="10"/>
  <c r="B2105" i="10"/>
  <c r="B2104" i="10"/>
  <c r="B2103" i="10"/>
  <c r="B2102" i="10"/>
  <c r="B2101" i="10"/>
  <c r="B2100" i="10"/>
  <c r="B2099" i="10"/>
  <c r="B2098" i="10"/>
  <c r="B2097" i="10"/>
  <c r="B2096" i="10"/>
  <c r="B2095" i="10"/>
  <c r="B2094" i="10"/>
  <c r="B2093" i="10"/>
  <c r="B2092" i="10"/>
  <c r="B2091" i="10"/>
  <c r="B2090" i="10"/>
  <c r="B2089" i="10"/>
  <c r="B2088" i="10"/>
  <c r="B2087" i="10"/>
  <c r="B2086" i="10"/>
  <c r="B2085" i="10"/>
  <c r="B2084" i="10"/>
  <c r="B2083" i="10"/>
  <c r="B2082" i="10"/>
  <c r="B2081" i="10"/>
  <c r="B2080" i="10"/>
  <c r="B2079" i="10"/>
  <c r="B2078" i="10"/>
  <c r="B2077" i="10"/>
  <c r="B2076" i="10"/>
  <c r="B2075" i="10"/>
  <c r="B2074" i="10"/>
  <c r="B2073" i="10"/>
  <c r="B2072" i="10"/>
  <c r="B2071" i="10"/>
  <c r="B2070" i="10"/>
  <c r="B2069" i="10"/>
  <c r="B2068" i="10"/>
  <c r="B2067" i="10"/>
  <c r="B2066" i="10"/>
  <c r="B2065" i="10"/>
  <c r="B2064" i="10"/>
  <c r="B2063" i="10"/>
  <c r="B2062" i="10"/>
  <c r="B2061" i="10"/>
  <c r="B2060" i="10"/>
  <c r="B2059" i="10"/>
  <c r="B2058" i="10"/>
  <c r="B2057" i="10"/>
  <c r="B2056" i="10"/>
  <c r="B2055" i="10"/>
  <c r="B2054" i="10"/>
  <c r="B2053" i="10"/>
  <c r="B2052" i="10"/>
  <c r="B2051" i="10"/>
  <c r="B2050" i="10"/>
  <c r="B2049" i="10"/>
  <c r="B2048" i="10"/>
  <c r="B2047" i="10"/>
  <c r="B2046" i="10"/>
  <c r="B2045" i="10"/>
  <c r="B2044" i="10"/>
  <c r="B2043" i="10"/>
  <c r="B2042" i="10"/>
  <c r="B2041" i="10"/>
  <c r="B2040" i="10"/>
  <c r="B2039" i="10"/>
  <c r="B2038" i="10"/>
  <c r="B2037" i="10"/>
  <c r="B2036" i="10"/>
  <c r="B2035" i="10"/>
  <c r="B2034" i="10"/>
  <c r="B2033" i="10"/>
  <c r="B2032" i="10"/>
  <c r="B2031" i="10"/>
  <c r="B2030" i="10"/>
  <c r="B2029" i="10"/>
  <c r="B2028" i="10"/>
  <c r="B2027" i="10"/>
  <c r="B2026" i="10"/>
  <c r="B2025" i="10"/>
  <c r="B2024" i="10"/>
  <c r="B2023" i="10"/>
  <c r="B2022" i="10"/>
  <c r="B2021" i="10"/>
  <c r="B2020" i="10"/>
  <c r="B2019" i="10"/>
  <c r="B2018" i="10"/>
  <c r="B2017" i="10"/>
  <c r="B2016" i="10"/>
  <c r="B2015" i="10"/>
  <c r="B2014" i="10"/>
  <c r="B2013" i="10"/>
  <c r="B2012" i="10"/>
  <c r="B2011" i="10"/>
  <c r="B2010" i="10"/>
  <c r="B2009" i="10"/>
  <c r="B2008" i="10"/>
  <c r="B2007" i="10"/>
  <c r="B2006" i="10"/>
  <c r="B2005" i="10"/>
  <c r="B2004" i="10"/>
  <c r="B2003" i="10"/>
  <c r="B2002" i="10"/>
  <c r="B2001" i="10"/>
  <c r="B2000" i="10"/>
  <c r="B1999" i="10"/>
  <c r="B1998" i="10"/>
  <c r="B1997" i="10"/>
  <c r="B1996" i="10"/>
  <c r="B1995" i="10"/>
  <c r="B1994" i="10"/>
  <c r="B1993" i="10"/>
  <c r="B1992" i="10"/>
  <c r="B1991" i="10"/>
  <c r="B1990" i="10"/>
  <c r="B1989" i="10"/>
  <c r="B1988" i="10"/>
  <c r="B1987" i="10"/>
  <c r="B1986" i="10"/>
  <c r="B1985" i="10"/>
  <c r="B1984" i="10"/>
  <c r="B1983" i="10"/>
  <c r="B1982" i="10"/>
  <c r="B1981" i="10"/>
  <c r="B1980" i="10"/>
  <c r="B1979" i="10"/>
  <c r="B1978" i="10"/>
  <c r="B1977" i="10"/>
  <c r="B1976" i="10"/>
  <c r="B1975" i="10"/>
  <c r="B1974" i="10"/>
  <c r="B1973" i="10"/>
  <c r="B1972" i="10"/>
  <c r="B1971" i="10"/>
  <c r="B1970" i="10"/>
  <c r="B1969" i="10"/>
  <c r="B1968" i="10"/>
  <c r="B1967" i="10"/>
  <c r="B1966" i="10"/>
  <c r="B1965" i="10"/>
  <c r="B1964" i="10"/>
  <c r="B1963" i="10"/>
  <c r="B1962" i="10"/>
  <c r="B1961" i="10"/>
  <c r="B1960" i="10"/>
  <c r="B1959" i="10"/>
  <c r="B1958" i="10"/>
  <c r="B1957" i="10"/>
  <c r="B1956" i="10"/>
  <c r="B1955" i="10"/>
  <c r="B1954" i="10"/>
  <c r="B1953" i="10"/>
  <c r="B1952" i="10"/>
  <c r="B1951" i="10"/>
  <c r="B1950" i="10"/>
  <c r="B1949" i="10"/>
  <c r="B1948" i="10"/>
  <c r="B1947" i="10"/>
  <c r="B1946" i="10"/>
  <c r="B1945" i="10"/>
  <c r="B1944" i="10"/>
  <c r="B1943" i="10"/>
  <c r="B1942" i="10"/>
  <c r="B1941" i="10"/>
  <c r="B1940" i="10"/>
  <c r="B1939" i="10"/>
  <c r="B1938" i="10"/>
  <c r="B1937" i="10"/>
  <c r="B1936" i="10"/>
  <c r="B1935" i="10"/>
  <c r="B1934" i="10"/>
  <c r="B1933" i="10"/>
  <c r="B1932" i="10"/>
  <c r="B1931" i="10"/>
  <c r="B1930" i="10"/>
  <c r="B1929" i="10"/>
  <c r="B1928" i="10"/>
  <c r="B1927" i="10"/>
  <c r="B1926" i="10"/>
  <c r="B1925" i="10"/>
  <c r="B1924" i="10"/>
  <c r="B1923" i="10"/>
  <c r="B1922" i="10"/>
  <c r="B1921" i="10"/>
  <c r="B1920" i="10"/>
  <c r="B1919" i="10"/>
  <c r="B1918" i="10"/>
  <c r="B1917" i="10"/>
  <c r="B1916" i="10"/>
  <c r="B1915" i="10"/>
  <c r="B1914" i="10"/>
  <c r="B1913" i="10"/>
  <c r="B1912" i="10"/>
  <c r="B1911" i="10"/>
  <c r="B1910" i="10"/>
  <c r="B1909" i="10"/>
  <c r="B1908" i="10"/>
  <c r="B1907" i="10"/>
  <c r="B1906" i="10"/>
  <c r="B1905" i="10"/>
  <c r="B1904" i="10"/>
  <c r="B1903" i="10"/>
  <c r="B1902" i="10"/>
  <c r="B1901" i="10"/>
  <c r="B1900" i="10"/>
  <c r="B1899" i="10"/>
  <c r="B1898" i="10"/>
  <c r="B1897" i="10"/>
  <c r="B1896" i="10"/>
  <c r="B1895" i="10"/>
  <c r="B1894" i="10"/>
  <c r="B1893" i="10"/>
  <c r="B1892" i="10"/>
  <c r="B1891" i="10"/>
  <c r="B1890" i="10"/>
  <c r="B1889" i="10"/>
  <c r="B1888" i="10"/>
  <c r="B1887" i="10"/>
  <c r="B1886" i="10"/>
  <c r="B1885" i="10"/>
  <c r="B1884" i="10"/>
  <c r="B1883" i="10"/>
  <c r="B1882" i="10"/>
  <c r="B1881" i="10"/>
  <c r="B1880" i="10"/>
  <c r="B1879" i="10"/>
  <c r="B1878" i="10"/>
  <c r="B1877" i="10"/>
  <c r="B1876" i="10"/>
  <c r="B1875" i="10"/>
  <c r="B1874" i="10"/>
  <c r="B1873" i="10"/>
  <c r="B1872" i="10"/>
  <c r="B1871" i="10"/>
  <c r="B1870" i="10"/>
  <c r="B1869" i="10"/>
  <c r="B1868" i="10"/>
  <c r="B1867" i="10"/>
  <c r="B1866" i="10"/>
  <c r="B1865" i="10"/>
  <c r="B1864" i="10"/>
  <c r="B1863" i="10"/>
  <c r="B1862" i="10"/>
  <c r="B1861" i="10"/>
  <c r="B1860" i="10"/>
  <c r="B1859" i="10"/>
  <c r="B1858" i="10"/>
  <c r="B1857" i="10"/>
  <c r="B1856" i="10"/>
  <c r="B1855" i="10"/>
  <c r="B1854" i="10"/>
  <c r="B1853" i="10"/>
  <c r="B1852" i="10"/>
  <c r="B1851" i="10"/>
  <c r="B1850" i="10"/>
  <c r="B1849" i="10"/>
  <c r="B1848" i="10"/>
  <c r="B1847" i="10"/>
  <c r="B1846" i="10"/>
  <c r="B1845" i="10"/>
  <c r="B1844" i="10"/>
  <c r="B1843" i="10"/>
  <c r="B1842" i="10"/>
  <c r="B1841" i="10"/>
  <c r="B1840" i="10"/>
  <c r="B1839" i="10"/>
  <c r="B1838" i="10"/>
  <c r="B1837" i="10"/>
  <c r="B1836" i="10"/>
  <c r="B1835" i="10"/>
  <c r="B1834" i="10"/>
  <c r="B1833" i="10"/>
  <c r="B1832" i="10"/>
  <c r="B1831" i="10"/>
  <c r="B1830" i="10"/>
  <c r="B1829" i="10"/>
  <c r="B1828" i="10"/>
  <c r="B1827" i="10"/>
  <c r="B1826" i="10"/>
  <c r="B1825" i="10"/>
  <c r="B1824" i="10"/>
  <c r="B1823" i="10"/>
  <c r="B1822" i="10"/>
  <c r="B1821" i="10"/>
  <c r="B1820" i="10"/>
  <c r="B1819" i="10"/>
  <c r="B1818" i="10"/>
  <c r="B1817" i="10"/>
  <c r="B1816" i="10"/>
  <c r="B1815" i="10"/>
  <c r="B1814" i="10"/>
  <c r="B1813" i="10"/>
  <c r="B1812" i="10"/>
  <c r="B1811" i="10"/>
  <c r="B1810" i="10"/>
  <c r="B1809" i="10"/>
  <c r="B1808" i="10"/>
  <c r="B1807" i="10"/>
  <c r="B1806" i="10"/>
  <c r="B1805" i="10"/>
  <c r="B1804" i="10"/>
  <c r="B1803" i="10"/>
  <c r="B1802" i="10"/>
  <c r="B1801" i="10"/>
  <c r="B1800" i="10"/>
  <c r="B1799" i="10"/>
  <c r="B1798" i="10"/>
  <c r="B1797" i="10"/>
  <c r="B1796" i="10"/>
  <c r="B1795" i="10"/>
  <c r="B1794" i="10"/>
  <c r="B1793" i="10"/>
  <c r="B1792" i="10"/>
  <c r="B1791" i="10"/>
  <c r="B1790" i="10"/>
  <c r="B1789" i="10"/>
  <c r="B1788" i="10"/>
  <c r="B1787" i="10"/>
  <c r="B1786" i="10"/>
  <c r="B1785" i="10"/>
  <c r="B1784" i="10"/>
  <c r="B1783" i="10"/>
  <c r="B1782" i="10"/>
  <c r="B1781" i="10"/>
  <c r="B1780" i="10"/>
  <c r="B1779" i="10"/>
  <c r="B1778" i="10"/>
  <c r="B1777" i="10"/>
  <c r="B1776" i="10"/>
  <c r="B1775" i="10"/>
  <c r="B1774" i="10"/>
  <c r="B1773" i="10"/>
  <c r="B1772" i="10"/>
  <c r="B1771" i="10"/>
  <c r="B1770" i="10"/>
  <c r="B1769" i="10"/>
  <c r="B1768" i="10"/>
  <c r="B1767" i="10"/>
  <c r="B1766" i="10"/>
  <c r="B1765" i="10"/>
  <c r="B1764" i="10"/>
  <c r="B1763" i="10"/>
  <c r="B1762" i="10"/>
  <c r="B1761" i="10"/>
  <c r="B1760" i="10"/>
  <c r="B1759" i="10"/>
  <c r="B1758" i="10"/>
  <c r="B1757" i="10"/>
  <c r="B1756" i="10"/>
  <c r="B1755" i="10"/>
  <c r="B1754" i="10"/>
  <c r="B1753" i="10"/>
  <c r="B1752" i="10"/>
  <c r="B1751" i="10"/>
  <c r="B1750" i="10"/>
  <c r="B1749" i="10"/>
  <c r="B1748" i="10"/>
  <c r="B1747" i="10"/>
  <c r="B1746" i="10"/>
  <c r="B1745" i="10"/>
  <c r="B1744" i="10"/>
  <c r="B1743" i="10"/>
  <c r="B1742" i="10"/>
  <c r="B1741" i="10"/>
  <c r="B1740" i="10"/>
  <c r="B1739" i="10"/>
  <c r="B1738" i="10"/>
  <c r="B1737" i="10"/>
  <c r="B1736" i="10"/>
  <c r="B1735" i="10"/>
  <c r="B1734" i="10"/>
  <c r="B1733" i="10"/>
  <c r="B1732" i="10"/>
  <c r="B1731" i="10"/>
  <c r="B1730" i="10"/>
  <c r="B1729" i="10"/>
  <c r="B1728" i="10"/>
  <c r="B1727" i="10"/>
  <c r="B1726" i="10"/>
  <c r="B1725" i="10"/>
  <c r="B1724" i="10"/>
  <c r="B1723" i="10"/>
  <c r="B1722" i="10"/>
  <c r="B1721" i="10"/>
  <c r="B1720" i="10"/>
  <c r="B1719" i="10"/>
  <c r="B1718" i="10"/>
  <c r="B1717" i="10"/>
  <c r="B1716" i="10"/>
  <c r="B1715" i="10"/>
  <c r="B1714" i="10"/>
  <c r="B1713" i="10"/>
  <c r="B1712" i="10"/>
  <c r="B1711" i="10"/>
  <c r="B1710" i="10"/>
  <c r="B1709" i="10"/>
  <c r="B1708" i="10"/>
  <c r="B1707" i="10"/>
  <c r="B1706" i="10"/>
  <c r="B1705" i="10"/>
  <c r="B1704" i="10"/>
  <c r="B1703" i="10"/>
  <c r="B1702" i="10"/>
  <c r="B1701" i="10"/>
  <c r="B1700" i="10"/>
  <c r="B1699" i="10"/>
  <c r="B1698" i="10"/>
  <c r="B1697" i="10"/>
  <c r="B1696" i="10"/>
  <c r="B1695" i="10"/>
  <c r="B1694" i="10"/>
  <c r="B1693" i="10"/>
  <c r="B1692" i="10"/>
  <c r="B1691" i="10"/>
  <c r="B1690" i="10"/>
  <c r="B1689" i="10"/>
  <c r="B1688" i="10"/>
  <c r="B1687" i="10"/>
  <c r="B1686" i="10"/>
  <c r="B1685" i="10"/>
  <c r="B1684" i="10"/>
  <c r="B1683" i="10"/>
  <c r="B1682" i="10"/>
  <c r="B1681" i="10"/>
  <c r="B1680" i="10"/>
  <c r="B1679" i="10"/>
  <c r="B1678" i="10"/>
  <c r="B1677" i="10"/>
  <c r="B1676" i="10"/>
  <c r="B1675" i="10"/>
  <c r="B1674" i="10"/>
  <c r="B1673" i="10"/>
  <c r="B1672" i="10"/>
  <c r="B1671" i="10"/>
  <c r="B1670" i="10"/>
  <c r="B1669" i="10"/>
  <c r="B1668" i="10"/>
  <c r="B1667" i="10"/>
  <c r="B1666" i="10"/>
  <c r="B1665" i="10"/>
  <c r="B1664" i="10"/>
  <c r="B1663" i="10"/>
  <c r="B1662" i="10"/>
  <c r="B1661" i="10"/>
  <c r="B1660" i="10"/>
  <c r="B1659" i="10"/>
  <c r="B1658" i="10"/>
  <c r="B1657" i="10"/>
  <c r="B1656" i="10"/>
  <c r="B1655" i="10"/>
  <c r="B1654" i="10"/>
  <c r="B1653" i="10"/>
  <c r="B1652" i="10"/>
  <c r="B1651" i="10"/>
  <c r="B1650" i="10"/>
  <c r="B1649" i="10"/>
  <c r="B1648" i="10"/>
  <c r="B1647" i="10"/>
  <c r="B1646" i="10"/>
  <c r="B1645" i="10"/>
  <c r="B1644" i="10"/>
  <c r="B1643" i="10"/>
  <c r="B1642" i="10"/>
  <c r="B1641" i="10"/>
  <c r="B1640" i="10"/>
  <c r="B1639" i="10"/>
  <c r="B1638" i="10"/>
  <c r="B1637" i="10"/>
  <c r="B1636" i="10"/>
  <c r="B1635" i="10"/>
  <c r="B1634" i="10"/>
  <c r="B1633" i="10"/>
  <c r="B1632" i="10"/>
  <c r="B1631" i="10"/>
  <c r="B1630" i="10"/>
  <c r="B1629" i="10"/>
  <c r="B1628" i="10"/>
  <c r="B1627" i="10"/>
  <c r="B1626" i="10"/>
  <c r="B1625" i="10"/>
  <c r="B1624" i="10"/>
  <c r="B1623" i="10"/>
  <c r="B1622" i="10"/>
  <c r="B1621" i="10"/>
  <c r="B1620" i="10"/>
  <c r="B1619" i="10"/>
  <c r="B1618" i="10"/>
  <c r="B1617" i="10"/>
  <c r="B1616" i="10"/>
  <c r="B1615" i="10"/>
  <c r="B1614" i="10"/>
  <c r="B1613" i="10"/>
  <c r="B1612" i="10"/>
  <c r="B1611" i="10"/>
  <c r="B1610" i="10"/>
  <c r="B1609" i="10"/>
  <c r="B1608" i="10"/>
  <c r="B1607" i="10"/>
  <c r="B1606" i="10"/>
  <c r="B1605" i="10"/>
  <c r="B1604" i="10"/>
  <c r="B1603" i="10"/>
  <c r="B1602" i="10"/>
  <c r="B1601" i="10"/>
  <c r="B1600" i="10"/>
  <c r="B1599" i="10"/>
  <c r="B1598" i="10"/>
  <c r="B1597" i="10"/>
  <c r="B1596" i="10"/>
  <c r="B1595" i="10"/>
  <c r="B1594" i="10"/>
  <c r="B1593" i="10"/>
  <c r="B1592" i="10"/>
  <c r="B1591" i="10"/>
  <c r="B1590" i="10"/>
  <c r="B1589" i="10"/>
  <c r="B1588" i="10"/>
  <c r="B1587" i="10"/>
  <c r="B1586" i="10"/>
  <c r="B1585" i="10"/>
  <c r="B1584" i="10"/>
  <c r="B1583" i="10"/>
  <c r="B1582" i="10"/>
  <c r="B1581" i="10"/>
  <c r="B1580" i="10"/>
  <c r="B1579" i="10"/>
  <c r="B1578" i="10"/>
  <c r="B1577" i="10"/>
  <c r="B1576" i="10"/>
  <c r="B1575" i="10"/>
  <c r="B1574" i="10"/>
  <c r="B1573" i="10"/>
  <c r="B1572" i="10"/>
  <c r="B1571" i="10"/>
  <c r="B1570" i="10"/>
  <c r="B1569" i="10"/>
  <c r="B1568" i="10"/>
  <c r="B1567" i="10"/>
  <c r="B1566" i="10"/>
  <c r="B1565" i="10"/>
  <c r="B1564" i="10"/>
  <c r="B1563" i="10"/>
  <c r="B1562" i="10"/>
  <c r="B1561" i="10"/>
  <c r="B1560" i="10"/>
  <c r="B1559" i="10"/>
  <c r="B1558" i="10"/>
  <c r="B1557" i="10"/>
  <c r="B1556" i="10"/>
  <c r="B1555" i="10"/>
  <c r="B1554" i="10"/>
  <c r="B1553" i="10"/>
  <c r="B1552" i="10"/>
  <c r="B1551" i="10"/>
  <c r="B1550" i="10"/>
  <c r="B1549" i="10"/>
  <c r="B1548" i="10"/>
  <c r="B1547" i="10"/>
  <c r="B1546" i="10"/>
  <c r="B1545" i="10"/>
  <c r="B1544" i="10"/>
  <c r="B1543" i="10"/>
  <c r="B1542" i="10"/>
  <c r="B1541" i="10"/>
  <c r="B1540" i="10"/>
  <c r="B1539" i="10"/>
  <c r="B1538" i="10"/>
  <c r="B1537" i="10"/>
  <c r="B1536" i="10"/>
  <c r="B1535" i="10"/>
  <c r="B1534" i="10"/>
  <c r="B1533" i="10"/>
  <c r="B1532" i="10"/>
  <c r="B1531" i="10"/>
  <c r="B1530" i="10"/>
  <c r="B1529" i="10"/>
  <c r="B1528" i="10"/>
  <c r="B1527" i="10"/>
  <c r="B1526" i="10"/>
  <c r="B1525" i="10"/>
  <c r="B1524" i="10"/>
  <c r="B1523" i="10"/>
  <c r="B1522" i="10"/>
  <c r="B1521" i="10"/>
  <c r="B1520" i="10"/>
  <c r="B1519" i="10"/>
  <c r="B1518" i="10"/>
  <c r="B1517" i="10"/>
  <c r="B1516" i="10"/>
  <c r="B1515" i="10"/>
  <c r="B1514" i="10"/>
  <c r="B1513" i="10"/>
  <c r="B1512" i="10"/>
  <c r="B1511" i="10"/>
  <c r="B1510" i="10"/>
  <c r="B1509" i="10"/>
  <c r="B1508" i="10"/>
  <c r="B1507" i="10"/>
  <c r="B1506" i="10"/>
  <c r="B1505" i="10"/>
  <c r="B1504" i="10"/>
  <c r="B1503" i="10"/>
  <c r="B1502" i="10"/>
  <c r="B1501" i="10"/>
  <c r="B1500" i="10"/>
  <c r="B1499" i="10"/>
  <c r="B1498" i="10"/>
  <c r="B1497" i="10"/>
  <c r="B1496" i="10"/>
  <c r="B1495" i="10"/>
  <c r="B1494" i="10"/>
  <c r="B1493" i="10"/>
  <c r="B1492" i="10"/>
  <c r="B1491" i="10"/>
  <c r="B1490" i="10"/>
  <c r="B1489" i="10"/>
  <c r="B1488" i="10"/>
  <c r="B1487" i="10"/>
  <c r="B1486" i="10"/>
  <c r="B1485" i="10"/>
  <c r="B1484" i="10"/>
  <c r="B1483" i="10"/>
  <c r="B1482" i="10"/>
  <c r="B1481" i="10"/>
  <c r="B1480" i="10"/>
  <c r="B1479" i="10"/>
  <c r="B1478" i="10"/>
  <c r="B1477" i="10"/>
  <c r="B1476" i="10"/>
  <c r="B1475" i="10"/>
  <c r="B1474" i="10"/>
  <c r="B1473" i="10"/>
  <c r="B1472" i="10"/>
  <c r="B1471" i="10"/>
  <c r="B1470" i="10"/>
  <c r="B1469" i="10"/>
  <c r="B1468" i="10"/>
  <c r="B1467" i="10"/>
  <c r="B1466" i="10"/>
  <c r="B1465" i="10"/>
  <c r="B1464" i="10"/>
  <c r="B1463" i="10"/>
  <c r="B1462" i="10"/>
  <c r="B1461" i="10"/>
  <c r="B1460" i="10"/>
  <c r="B1459" i="10"/>
  <c r="B1458" i="10"/>
  <c r="B1457" i="10"/>
  <c r="B1456" i="10"/>
  <c r="B1455" i="10"/>
  <c r="B1454" i="10"/>
  <c r="B1453" i="10"/>
  <c r="B1452" i="10"/>
  <c r="B1451" i="10"/>
  <c r="B1450" i="10"/>
  <c r="B1449" i="10"/>
  <c r="B1448" i="10"/>
  <c r="B1447" i="10"/>
  <c r="B1446" i="10"/>
  <c r="B1445" i="10"/>
  <c r="B1444" i="10"/>
  <c r="B1443" i="10"/>
  <c r="B1442" i="10"/>
  <c r="B1441" i="10"/>
  <c r="B1440" i="10"/>
  <c r="B1439" i="10"/>
  <c r="B1438" i="10"/>
  <c r="B1437" i="10"/>
  <c r="B1436" i="10"/>
  <c r="B1435" i="10"/>
  <c r="B1434" i="10"/>
  <c r="B1433" i="10"/>
  <c r="B1432" i="10"/>
  <c r="B1431" i="10"/>
  <c r="B1430" i="10"/>
  <c r="B1429" i="10"/>
  <c r="B1428" i="10"/>
  <c r="B1427" i="10"/>
  <c r="B1426" i="10"/>
  <c r="B1425" i="10"/>
  <c r="B1424" i="10"/>
  <c r="B1423" i="10"/>
  <c r="B1422" i="10"/>
  <c r="B1421" i="10"/>
  <c r="B1420" i="10"/>
  <c r="B1419" i="10"/>
  <c r="B1418" i="10"/>
  <c r="B1417" i="10"/>
  <c r="B1416" i="10"/>
  <c r="B1415" i="10"/>
  <c r="B1414" i="10"/>
  <c r="B1413" i="10"/>
  <c r="B1412" i="10"/>
  <c r="B1411" i="10"/>
  <c r="B1410" i="10"/>
  <c r="B1409" i="10"/>
  <c r="B1408" i="10"/>
  <c r="B1407" i="10"/>
  <c r="B1406" i="10"/>
  <c r="B1405" i="10"/>
  <c r="B1404" i="10"/>
  <c r="B1403" i="10"/>
  <c r="B1402" i="10"/>
  <c r="B1401" i="10"/>
  <c r="B1400" i="10"/>
  <c r="B1399" i="10"/>
  <c r="B1398" i="10"/>
  <c r="B1397" i="10"/>
  <c r="B1396" i="10"/>
  <c r="B1395" i="10"/>
  <c r="B1394" i="10"/>
  <c r="B1393" i="10"/>
  <c r="B1392" i="10"/>
  <c r="B1391" i="10"/>
  <c r="B1390" i="10"/>
  <c r="B1389" i="10"/>
  <c r="B1388" i="10"/>
  <c r="B1387" i="10"/>
  <c r="B1386" i="10"/>
  <c r="B1385" i="10"/>
  <c r="B1384" i="10"/>
  <c r="B1383" i="10"/>
  <c r="B1382" i="10"/>
  <c r="B1381" i="10"/>
  <c r="B1380" i="10"/>
  <c r="B1379" i="10"/>
  <c r="B1378" i="10"/>
  <c r="B1377" i="10"/>
  <c r="B1376" i="10"/>
  <c r="B1375" i="10"/>
  <c r="B1374" i="10"/>
  <c r="B1373" i="10"/>
  <c r="B1372" i="10"/>
  <c r="B1371" i="10"/>
  <c r="B1370" i="10"/>
  <c r="B1369" i="10"/>
  <c r="B1368" i="10"/>
  <c r="B1367" i="10"/>
  <c r="B1366" i="10"/>
  <c r="B1365" i="10"/>
  <c r="B1364" i="10"/>
  <c r="B1363" i="10"/>
  <c r="B1362" i="10"/>
  <c r="B1361" i="10"/>
  <c r="B1360" i="10"/>
  <c r="B1359" i="10"/>
  <c r="B1358" i="10"/>
  <c r="B1357" i="10"/>
  <c r="B1356" i="10"/>
  <c r="B1355" i="10"/>
  <c r="B1354" i="10"/>
  <c r="B1353" i="10"/>
  <c r="B1352" i="10"/>
  <c r="B1351" i="10"/>
  <c r="B1350" i="10"/>
  <c r="B1349" i="10"/>
  <c r="B1348" i="10"/>
  <c r="B1347" i="10"/>
  <c r="B1346" i="10"/>
  <c r="B1345" i="10"/>
  <c r="B1344" i="10"/>
  <c r="B1343" i="10"/>
  <c r="B1342" i="10"/>
  <c r="B1341" i="10"/>
  <c r="B1340" i="10"/>
  <c r="B1339" i="10"/>
  <c r="B1338" i="10"/>
  <c r="B1337" i="10"/>
  <c r="B1336" i="10"/>
  <c r="B1335" i="10"/>
  <c r="B1334" i="10"/>
  <c r="B1333" i="10"/>
  <c r="B1332" i="10"/>
  <c r="B1331" i="10"/>
  <c r="B1330" i="10"/>
  <c r="B1329" i="10"/>
  <c r="B1328" i="10"/>
  <c r="B1327" i="10"/>
  <c r="B1326" i="10"/>
  <c r="B1325" i="10"/>
  <c r="B1324" i="10"/>
  <c r="B1323" i="10"/>
  <c r="B1322" i="10"/>
  <c r="B1321" i="10"/>
  <c r="B1320" i="10"/>
  <c r="B1319" i="10"/>
  <c r="B1318" i="10"/>
  <c r="B1317" i="10"/>
  <c r="B1316" i="10"/>
  <c r="B1315" i="10"/>
  <c r="B1314" i="10"/>
  <c r="B1313" i="10"/>
  <c r="B1312" i="10"/>
  <c r="B1311" i="10"/>
  <c r="B1310" i="10"/>
  <c r="B1309" i="10"/>
  <c r="B1308" i="10"/>
  <c r="B1307" i="10"/>
  <c r="B1306" i="10"/>
  <c r="B1305" i="10"/>
  <c r="B1304" i="10"/>
  <c r="B1303" i="10"/>
  <c r="B1302" i="10"/>
  <c r="B1301" i="10"/>
  <c r="B1300" i="10"/>
  <c r="B1299" i="10"/>
  <c r="B1298" i="10"/>
  <c r="B1297" i="10"/>
  <c r="B1296" i="10"/>
  <c r="B1295" i="10"/>
  <c r="B1294" i="10"/>
  <c r="B1293" i="10"/>
  <c r="B1292" i="10"/>
  <c r="B1291" i="10"/>
  <c r="B1290" i="10"/>
  <c r="B1289" i="10"/>
  <c r="B1288" i="10"/>
  <c r="B1287" i="10"/>
  <c r="B1286" i="10"/>
  <c r="B1285" i="10"/>
  <c r="B1284" i="10"/>
  <c r="B1283" i="10"/>
  <c r="B1282" i="10"/>
  <c r="B1281" i="10"/>
  <c r="B1280" i="10"/>
  <c r="B1279" i="10"/>
  <c r="B1278" i="10"/>
  <c r="B1277" i="10"/>
  <c r="B1276" i="10"/>
  <c r="B1275" i="10"/>
  <c r="B1274" i="10"/>
  <c r="B1273" i="10"/>
  <c r="B1272" i="10"/>
  <c r="B1271" i="10"/>
  <c r="B1270" i="10"/>
  <c r="B1269" i="10"/>
  <c r="B1268" i="10"/>
  <c r="B1267" i="10"/>
  <c r="B1266" i="10"/>
  <c r="B1265" i="10"/>
  <c r="B1264" i="10"/>
  <c r="B1263" i="10"/>
  <c r="B1262" i="10"/>
  <c r="B1261" i="10"/>
  <c r="B1260" i="10"/>
  <c r="B1259" i="10"/>
  <c r="B1258" i="10"/>
  <c r="B1257" i="10"/>
  <c r="B1256" i="10"/>
  <c r="B1255" i="10"/>
  <c r="B1254" i="10"/>
  <c r="B1253" i="10"/>
  <c r="B1252" i="10"/>
  <c r="B1251" i="10"/>
  <c r="B1250" i="10"/>
  <c r="B1249" i="10"/>
  <c r="B1248" i="10"/>
  <c r="B1247" i="10"/>
  <c r="B1246" i="10"/>
  <c r="B1245" i="10"/>
  <c r="B1244" i="10"/>
  <c r="B1243" i="10"/>
  <c r="B1242" i="10"/>
  <c r="B1241" i="10"/>
  <c r="B1240" i="10"/>
  <c r="B1239" i="10"/>
  <c r="B1238" i="10"/>
  <c r="B1237" i="10"/>
  <c r="B1236" i="10"/>
  <c r="B1235" i="10"/>
  <c r="B1234" i="10"/>
  <c r="B1233" i="10"/>
  <c r="B1232" i="10"/>
  <c r="B1231" i="10"/>
  <c r="B1230" i="10"/>
  <c r="B1229" i="10"/>
  <c r="B1228" i="10"/>
  <c r="B1227" i="10"/>
  <c r="B1226" i="10"/>
  <c r="B1225" i="10"/>
  <c r="B1224" i="10"/>
  <c r="B1223" i="10"/>
  <c r="B1222" i="10"/>
  <c r="B1221" i="10"/>
  <c r="B1220" i="10"/>
  <c r="B1219" i="10"/>
  <c r="B1218" i="10"/>
  <c r="B1217" i="10"/>
  <c r="B1216" i="10"/>
  <c r="B1215" i="10"/>
  <c r="B1214" i="10"/>
  <c r="B1213" i="10"/>
  <c r="B1212" i="10"/>
  <c r="B1211" i="10"/>
  <c r="B1210" i="10"/>
  <c r="B1209" i="10"/>
  <c r="B1208" i="10"/>
  <c r="B1207" i="10"/>
  <c r="B1206" i="10"/>
  <c r="B1205" i="10"/>
  <c r="B1204" i="10"/>
  <c r="B1203" i="10"/>
  <c r="B1202" i="10"/>
  <c r="B1201" i="10"/>
  <c r="B1200" i="10"/>
  <c r="B1199" i="10"/>
  <c r="B1198" i="10"/>
  <c r="B1197" i="10"/>
  <c r="B1196" i="10"/>
  <c r="B1195" i="10"/>
  <c r="B1194" i="10"/>
  <c r="B1193" i="10"/>
  <c r="B1192" i="10"/>
  <c r="B1191" i="10"/>
  <c r="B1190" i="10"/>
  <c r="B1189" i="10"/>
  <c r="B1188" i="10"/>
  <c r="B1187" i="10"/>
  <c r="B1186" i="10"/>
  <c r="B1185" i="10"/>
  <c r="B1184" i="10"/>
  <c r="B1183" i="10"/>
  <c r="B1182" i="10"/>
  <c r="B1181" i="10"/>
  <c r="B1180" i="10"/>
  <c r="B1179" i="10"/>
  <c r="B1178" i="10"/>
  <c r="B1177" i="10"/>
  <c r="B1176" i="10"/>
  <c r="B1175" i="10"/>
  <c r="B1174" i="10"/>
  <c r="B1173" i="10"/>
  <c r="B1172" i="10"/>
  <c r="B1171" i="10"/>
  <c r="B1170" i="10"/>
  <c r="B1169" i="10"/>
  <c r="B1168" i="10"/>
  <c r="B1167" i="10"/>
  <c r="B1166" i="10"/>
  <c r="B1165" i="10"/>
  <c r="B1164" i="10"/>
  <c r="B1163" i="10"/>
  <c r="B1162" i="10"/>
  <c r="B1161" i="10"/>
  <c r="B1160" i="10"/>
  <c r="B1159" i="10"/>
  <c r="B1158" i="10"/>
  <c r="B1157" i="10"/>
  <c r="B1156" i="10"/>
  <c r="B1155" i="10"/>
  <c r="B1154" i="10"/>
  <c r="B1153" i="10"/>
  <c r="B1152" i="10"/>
  <c r="B1151" i="10"/>
  <c r="B1150" i="10"/>
  <c r="B1149" i="10"/>
  <c r="B1148" i="10"/>
  <c r="B1147" i="10"/>
  <c r="B1146" i="10"/>
  <c r="B1145" i="10"/>
  <c r="B1144" i="10"/>
  <c r="B1143" i="10"/>
  <c r="B1142" i="10"/>
  <c r="B1141" i="10"/>
  <c r="B1140" i="10"/>
  <c r="B1139" i="10"/>
  <c r="B1138" i="10"/>
  <c r="B1137" i="10"/>
  <c r="B1136" i="10"/>
  <c r="B1135" i="10"/>
  <c r="B1134" i="10"/>
  <c r="B1133" i="10"/>
  <c r="B1132" i="10"/>
  <c r="B1131" i="10"/>
  <c r="B1130" i="10"/>
  <c r="B1129" i="10"/>
  <c r="B1128" i="10"/>
  <c r="B1127" i="10"/>
  <c r="B1126" i="10"/>
  <c r="B1125" i="10"/>
  <c r="B1124" i="10"/>
  <c r="B1123" i="10"/>
  <c r="B1122" i="10"/>
  <c r="B1121" i="10"/>
  <c r="B1120" i="10"/>
  <c r="B1119" i="10"/>
  <c r="B1118" i="10"/>
  <c r="B1117" i="10"/>
  <c r="B1116" i="10"/>
  <c r="B1115" i="10"/>
  <c r="B1114" i="10"/>
  <c r="B1113" i="10"/>
  <c r="B1112" i="10"/>
  <c r="B1111" i="10"/>
  <c r="B1110" i="10"/>
  <c r="B1109" i="10"/>
  <c r="B1108" i="10"/>
  <c r="B1107" i="10"/>
  <c r="B1106" i="10"/>
  <c r="B1105" i="10"/>
  <c r="B1104" i="10"/>
  <c r="B1103" i="10"/>
  <c r="B1102" i="10"/>
  <c r="B1101" i="10"/>
  <c r="B1100" i="10"/>
  <c r="B1099" i="10"/>
  <c r="B1098" i="10"/>
  <c r="B1097" i="10"/>
  <c r="B1096" i="10"/>
  <c r="B1095" i="10"/>
  <c r="B1094" i="10"/>
  <c r="B1093" i="10"/>
  <c r="B1092" i="10"/>
  <c r="B1091" i="10"/>
  <c r="B1090" i="10"/>
  <c r="B1089" i="10"/>
  <c r="B1088" i="10"/>
  <c r="B1087" i="10"/>
  <c r="B1086" i="10"/>
  <c r="B1085" i="10"/>
  <c r="B1084" i="10"/>
  <c r="B1083" i="10"/>
  <c r="B1082" i="10"/>
  <c r="B1081" i="10"/>
  <c r="B1080" i="10"/>
  <c r="B1079" i="10"/>
  <c r="B1078" i="10"/>
  <c r="B1077" i="10"/>
  <c r="B1076" i="10"/>
  <c r="B1075" i="10"/>
  <c r="B1074" i="10"/>
  <c r="B1073" i="10"/>
  <c r="B1072" i="10"/>
  <c r="B1071" i="10"/>
  <c r="B1070" i="10"/>
  <c r="B1069" i="10"/>
  <c r="B1068" i="10"/>
  <c r="B1067" i="10"/>
  <c r="B1066" i="10"/>
  <c r="B1065" i="10"/>
  <c r="B1064" i="10"/>
  <c r="B1063" i="10"/>
  <c r="B1062" i="10"/>
  <c r="B1061" i="10"/>
  <c r="B1060" i="10"/>
  <c r="B1059" i="10"/>
  <c r="B1058" i="10"/>
  <c r="B1057" i="10"/>
  <c r="B1056" i="10"/>
  <c r="B1055" i="10"/>
  <c r="B1054" i="10"/>
  <c r="B1053" i="10"/>
  <c r="B1052" i="10"/>
  <c r="B1051" i="10"/>
  <c r="B1050" i="10"/>
  <c r="B1049" i="10"/>
  <c r="B1048" i="10"/>
  <c r="B1047" i="10"/>
  <c r="B1046" i="10"/>
  <c r="B1045" i="10"/>
  <c r="B1044" i="10"/>
  <c r="B1043" i="10"/>
  <c r="B1042" i="10"/>
  <c r="B1041" i="10"/>
  <c r="B1040" i="10"/>
  <c r="B1039" i="10"/>
  <c r="B1038" i="10"/>
  <c r="B1037" i="10"/>
  <c r="B1036" i="10"/>
  <c r="B1035" i="10"/>
  <c r="B1034" i="10"/>
  <c r="B1033" i="10"/>
  <c r="B1032" i="10"/>
  <c r="B1031" i="10"/>
  <c r="B1030" i="10"/>
  <c r="B1029" i="10"/>
  <c r="B1028" i="10"/>
  <c r="B1027" i="10"/>
  <c r="B1026" i="10"/>
  <c r="B1025" i="10"/>
  <c r="B1024" i="10"/>
  <c r="B1023" i="10"/>
  <c r="B1022" i="10"/>
  <c r="B1021" i="10"/>
  <c r="B1020" i="10"/>
  <c r="B1019" i="10"/>
  <c r="B1018" i="10"/>
  <c r="B1017" i="10"/>
  <c r="B1016" i="10"/>
  <c r="B1015" i="10"/>
  <c r="B1014" i="10"/>
  <c r="B1013" i="10"/>
  <c r="B1012" i="10"/>
  <c r="B1011" i="10"/>
  <c r="B1010" i="10"/>
  <c r="B1009" i="10"/>
  <c r="B1008" i="10"/>
  <c r="B1007" i="10"/>
  <c r="B1006" i="10"/>
  <c r="B1005" i="10"/>
  <c r="B1004" i="10"/>
  <c r="B1003" i="10"/>
  <c r="B1002" i="10"/>
  <c r="B1001" i="10"/>
  <c r="B1000" i="10"/>
  <c r="B999" i="10"/>
  <c r="B998" i="10"/>
  <c r="B997" i="10"/>
  <c r="B996" i="10"/>
  <c r="B995" i="10"/>
  <c r="B994" i="10"/>
  <c r="B993" i="10"/>
  <c r="B992" i="10"/>
  <c r="B991" i="10"/>
  <c r="B990" i="10"/>
  <c r="B989" i="10"/>
  <c r="B988" i="10"/>
  <c r="B987" i="10"/>
  <c r="B986" i="10"/>
  <c r="B985" i="10"/>
  <c r="B984" i="10"/>
  <c r="B983" i="10"/>
  <c r="B982" i="10"/>
  <c r="B981" i="10"/>
  <c r="B980" i="10"/>
  <c r="B979" i="10"/>
  <c r="B978" i="10"/>
  <c r="B977" i="10"/>
  <c r="B976" i="10"/>
  <c r="B975" i="10"/>
  <c r="B974" i="10"/>
  <c r="B973" i="10"/>
  <c r="B972" i="10"/>
  <c r="B971" i="10"/>
  <c r="B970" i="10"/>
  <c r="B969" i="10"/>
  <c r="B968" i="10"/>
  <c r="B967" i="10"/>
  <c r="B966" i="10"/>
  <c r="B965" i="10"/>
  <c r="B964" i="10"/>
  <c r="B963" i="10"/>
  <c r="B962" i="10"/>
  <c r="B961" i="10"/>
  <c r="B960" i="10"/>
  <c r="B959" i="10"/>
  <c r="B958" i="10"/>
  <c r="B957" i="10"/>
  <c r="B956" i="10"/>
  <c r="B955" i="10"/>
  <c r="B954" i="10"/>
  <c r="B953" i="10"/>
  <c r="B952" i="10"/>
  <c r="B951" i="10"/>
  <c r="B950" i="10"/>
  <c r="B949" i="10"/>
  <c r="B948" i="10"/>
  <c r="B947" i="10"/>
  <c r="B946" i="10"/>
  <c r="B945" i="10"/>
  <c r="B944" i="10"/>
  <c r="B943" i="10"/>
  <c r="B942" i="10"/>
  <c r="B941" i="10"/>
  <c r="B940" i="10"/>
  <c r="B939" i="10"/>
  <c r="B938" i="10"/>
  <c r="B937" i="10"/>
  <c r="B936" i="10"/>
  <c r="B935" i="10"/>
  <c r="B934" i="10"/>
  <c r="B933" i="10"/>
  <c r="B932" i="10"/>
  <c r="B931" i="10"/>
  <c r="B930" i="10"/>
  <c r="B929" i="10"/>
  <c r="B928" i="10"/>
  <c r="B927" i="10"/>
  <c r="B926" i="10"/>
  <c r="B925" i="10"/>
  <c r="B924" i="10"/>
  <c r="B923" i="10"/>
  <c r="B922" i="10"/>
  <c r="B921" i="10"/>
  <c r="B920" i="10"/>
  <c r="B919" i="10"/>
  <c r="B918" i="10"/>
  <c r="B917" i="10"/>
  <c r="B916" i="10"/>
  <c r="B915" i="10"/>
  <c r="B914" i="10"/>
  <c r="B913" i="10"/>
  <c r="B912" i="10"/>
  <c r="B911" i="10"/>
  <c r="B910" i="10"/>
  <c r="B909" i="10"/>
  <c r="B908" i="10"/>
  <c r="B907" i="10"/>
  <c r="B906" i="10"/>
  <c r="B905" i="10"/>
  <c r="B904" i="10"/>
  <c r="B903" i="10"/>
  <c r="B902" i="10"/>
  <c r="B901" i="10"/>
  <c r="B900" i="10"/>
  <c r="B899" i="10"/>
  <c r="B898" i="10"/>
  <c r="B897" i="10"/>
  <c r="B896" i="10"/>
  <c r="B895" i="10"/>
  <c r="B894" i="10"/>
  <c r="B893" i="10"/>
  <c r="B892" i="10"/>
  <c r="B891" i="10"/>
  <c r="B890" i="10"/>
  <c r="B889" i="10"/>
  <c r="B888" i="10"/>
  <c r="B887" i="10"/>
  <c r="B886" i="10"/>
  <c r="B885" i="10"/>
  <c r="B884" i="10"/>
  <c r="B883" i="10"/>
  <c r="B882" i="10"/>
  <c r="B881" i="10"/>
  <c r="B880" i="10"/>
  <c r="B879" i="10"/>
  <c r="B878" i="10"/>
  <c r="B877" i="10"/>
  <c r="B876" i="10"/>
  <c r="B875" i="10"/>
  <c r="B874" i="10"/>
  <c r="B873" i="10"/>
  <c r="B872" i="10"/>
  <c r="B871" i="10"/>
  <c r="B870" i="10"/>
  <c r="B869" i="10"/>
  <c r="B868" i="10"/>
  <c r="B867" i="10"/>
  <c r="B866" i="10"/>
  <c r="B865" i="10"/>
  <c r="B864" i="10"/>
  <c r="B863" i="10"/>
  <c r="B862" i="10"/>
  <c r="B861" i="10"/>
  <c r="B860" i="10"/>
  <c r="B859" i="10"/>
  <c r="B858" i="10"/>
  <c r="B857" i="10"/>
  <c r="B856" i="10"/>
  <c r="B855" i="10"/>
  <c r="B854" i="10"/>
  <c r="B853" i="10"/>
  <c r="B852" i="10"/>
  <c r="B851" i="10"/>
  <c r="B850" i="10"/>
  <c r="B849" i="10"/>
  <c r="B848" i="10"/>
  <c r="B847" i="10"/>
  <c r="B846" i="10"/>
  <c r="B845" i="10"/>
  <c r="B844" i="10"/>
  <c r="B843" i="10"/>
  <c r="B842" i="10"/>
  <c r="B841" i="10"/>
  <c r="B840" i="10"/>
  <c r="B839" i="10"/>
  <c r="B838" i="10"/>
  <c r="B837" i="10"/>
  <c r="B836" i="10"/>
  <c r="B835" i="10"/>
  <c r="B834" i="10"/>
  <c r="B833" i="10"/>
  <c r="B832" i="10"/>
  <c r="B831" i="10"/>
  <c r="B830" i="10"/>
  <c r="B829" i="10"/>
  <c r="B828" i="10"/>
  <c r="B827" i="10"/>
  <c r="B826" i="10"/>
  <c r="B825" i="10"/>
  <c r="B824" i="10"/>
  <c r="B823" i="10"/>
  <c r="B822" i="10"/>
  <c r="B821" i="10"/>
  <c r="B820" i="10"/>
  <c r="B819" i="10"/>
  <c r="B818" i="10"/>
  <c r="B817" i="10"/>
  <c r="B816" i="10"/>
  <c r="B815" i="10"/>
  <c r="B814" i="10"/>
  <c r="B813" i="10"/>
  <c r="B812" i="10"/>
  <c r="B811" i="10"/>
  <c r="B810" i="10"/>
  <c r="B809" i="10"/>
  <c r="B808" i="10"/>
  <c r="B807" i="10"/>
  <c r="B806" i="10"/>
  <c r="B805" i="10"/>
  <c r="B804" i="10"/>
  <c r="B803" i="10"/>
  <c r="B802" i="10"/>
  <c r="B801" i="10"/>
  <c r="B800" i="10"/>
  <c r="B799" i="10"/>
  <c r="B798" i="10"/>
  <c r="B797" i="10"/>
  <c r="B796" i="10"/>
  <c r="B795" i="10"/>
  <c r="B794" i="10"/>
  <c r="B793" i="10"/>
  <c r="B792" i="10"/>
  <c r="B791" i="10"/>
  <c r="B790" i="10"/>
  <c r="B789" i="10"/>
  <c r="B788" i="10"/>
  <c r="B787" i="10"/>
  <c r="B786" i="10"/>
  <c r="B785" i="10"/>
  <c r="B784" i="10"/>
  <c r="B783" i="10"/>
  <c r="B782" i="10"/>
  <c r="B781" i="10"/>
  <c r="B780" i="10"/>
  <c r="B779" i="10"/>
  <c r="B778" i="10"/>
  <c r="B777" i="10"/>
  <c r="B776" i="10"/>
  <c r="B775" i="10"/>
  <c r="B774" i="10"/>
  <c r="B773" i="10"/>
  <c r="B772" i="10"/>
  <c r="B771" i="10"/>
  <c r="B770" i="10"/>
  <c r="B769" i="10"/>
  <c r="B768" i="10"/>
  <c r="B767" i="10"/>
  <c r="B766" i="10"/>
  <c r="B765" i="10"/>
  <c r="B764" i="10"/>
  <c r="B763" i="10"/>
  <c r="B762" i="10"/>
  <c r="B761" i="10"/>
  <c r="B760" i="10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B4" i="12"/>
  <c r="B3" i="12"/>
  <c r="B2" i="12"/>
  <c r="A3203" i="10"/>
  <c r="A3202" i="10"/>
  <c r="A3201" i="10"/>
  <c r="A3200" i="10"/>
  <c r="A3199" i="10"/>
  <c r="A3198" i="10"/>
  <c r="A3197" i="10"/>
  <c r="A3196" i="10"/>
  <c r="A3195" i="10"/>
  <c r="A3194" i="10"/>
  <c r="A3193" i="10"/>
  <c r="A3192" i="10"/>
  <c r="A3191" i="10"/>
  <c r="A3190" i="10"/>
  <c r="A3189" i="10"/>
  <c r="A3188" i="10"/>
  <c r="A3187" i="10"/>
  <c r="A3186" i="10"/>
  <c r="A3185" i="10"/>
  <c r="A3184" i="10"/>
  <c r="A3183" i="10"/>
  <c r="A3182" i="10"/>
  <c r="A3181" i="10"/>
  <c r="A3180" i="10"/>
  <c r="A3179" i="10"/>
  <c r="A3178" i="10"/>
  <c r="A3177" i="10"/>
  <c r="A3176" i="10"/>
  <c r="A3175" i="10"/>
  <c r="A3174" i="10"/>
  <c r="A3173" i="10"/>
  <c r="A3172" i="10"/>
  <c r="A3171" i="10"/>
  <c r="A3170" i="10"/>
  <c r="A3169" i="10"/>
  <c r="A3168" i="10"/>
  <c r="A3167" i="10"/>
  <c r="A3166" i="10"/>
  <c r="A3165" i="10"/>
  <c r="A3164" i="10"/>
  <c r="A3163" i="10"/>
  <c r="A3162" i="10"/>
  <c r="A3161" i="10"/>
  <c r="A3160" i="10"/>
  <c r="A3159" i="10"/>
  <c r="A3158" i="10"/>
  <c r="A3157" i="10"/>
  <c r="A3156" i="10"/>
  <c r="A3155" i="10"/>
  <c r="A3154" i="10"/>
  <c r="A3153" i="10"/>
  <c r="A3152" i="10"/>
  <c r="A3151" i="10"/>
  <c r="A3150" i="10"/>
  <c r="A3149" i="10"/>
  <c r="A3148" i="10"/>
  <c r="A3147" i="10"/>
  <c r="A3146" i="10"/>
  <c r="A3145" i="10"/>
  <c r="A3144" i="10"/>
  <c r="A3143" i="10"/>
  <c r="A3142" i="10"/>
  <c r="A3141" i="10"/>
  <c r="A3140" i="10"/>
  <c r="A3139" i="10"/>
  <c r="A3138" i="10"/>
  <c r="A3137" i="10"/>
  <c r="A3136" i="10"/>
  <c r="A3135" i="10"/>
  <c r="A3134" i="10"/>
  <c r="A3133" i="10"/>
  <c r="A3132" i="10"/>
  <c r="A3131" i="10"/>
  <c r="A3130" i="10"/>
  <c r="A3129" i="10"/>
  <c r="A3128" i="10"/>
  <c r="A3127" i="10"/>
  <c r="A3126" i="10"/>
  <c r="A3125" i="10"/>
  <c r="A3124" i="10"/>
  <c r="A3123" i="10"/>
  <c r="A3122" i="10"/>
  <c r="A3121" i="10"/>
  <c r="A3120" i="10"/>
  <c r="A3119" i="10"/>
  <c r="A3118" i="10"/>
  <c r="A3117" i="10"/>
  <c r="A3116" i="10"/>
  <c r="A3115" i="10"/>
  <c r="A3114" i="10"/>
  <c r="A3113" i="10"/>
  <c r="A3112" i="10"/>
  <c r="A3111" i="10"/>
  <c r="A3110" i="10"/>
  <c r="A3109" i="10"/>
  <c r="A3108" i="10"/>
  <c r="A3107" i="10"/>
  <c r="A3106" i="10"/>
  <c r="A3105" i="10"/>
  <c r="A3104" i="10"/>
  <c r="A3103" i="10"/>
  <c r="A3102" i="10"/>
  <c r="A3101" i="10"/>
  <c r="A3100" i="10"/>
  <c r="A3099" i="10"/>
  <c r="A3098" i="10"/>
  <c r="A3097" i="10"/>
  <c r="A3096" i="10"/>
  <c r="A3095" i="10"/>
  <c r="A3094" i="10"/>
  <c r="A3093" i="10"/>
  <c r="A3092" i="10"/>
  <c r="A3091" i="10"/>
  <c r="A3090" i="10"/>
  <c r="A3089" i="10"/>
  <c r="A3088" i="10"/>
  <c r="A3087" i="10"/>
  <c r="A3086" i="10"/>
  <c r="A3085" i="10"/>
  <c r="A3084" i="10"/>
  <c r="A3083" i="10"/>
  <c r="A3082" i="10"/>
  <c r="A3081" i="10"/>
  <c r="A3080" i="10"/>
  <c r="A3079" i="10"/>
  <c r="A3078" i="10"/>
  <c r="A3077" i="10"/>
  <c r="A3076" i="10"/>
  <c r="A3075" i="10"/>
  <c r="A3074" i="10"/>
  <c r="A3073" i="10"/>
  <c r="A3072" i="10"/>
  <c r="A3071" i="10"/>
  <c r="A3070" i="10"/>
  <c r="A3069" i="10"/>
  <c r="A3068" i="10"/>
  <c r="A3067" i="10"/>
  <c r="A3066" i="10"/>
  <c r="A3065" i="10"/>
  <c r="A3064" i="10"/>
  <c r="A3063" i="10"/>
  <c r="A3062" i="10"/>
  <c r="A3061" i="10"/>
  <c r="A3060" i="10"/>
  <c r="A3059" i="10"/>
  <c r="A3058" i="10"/>
  <c r="A3057" i="10"/>
  <c r="A3056" i="10"/>
  <c r="A3055" i="10"/>
  <c r="A3054" i="10"/>
  <c r="A3053" i="10"/>
  <c r="A3052" i="10"/>
  <c r="A3051" i="10"/>
  <c r="A3050" i="10"/>
  <c r="A3049" i="10"/>
  <c r="A3048" i="10"/>
  <c r="A3047" i="10"/>
  <c r="A3046" i="10"/>
  <c r="A3045" i="10"/>
  <c r="A3044" i="10"/>
  <c r="A3043" i="10"/>
  <c r="A3042" i="10"/>
  <c r="A3041" i="10"/>
  <c r="A3040" i="10"/>
  <c r="A3039" i="10"/>
  <c r="A3038" i="10"/>
  <c r="A3037" i="10"/>
  <c r="A3036" i="10"/>
  <c r="A3035" i="10"/>
  <c r="A3034" i="10"/>
  <c r="A3033" i="10"/>
  <c r="A3032" i="10"/>
  <c r="A3031" i="10"/>
  <c r="A3030" i="10"/>
  <c r="A3029" i="10"/>
  <c r="A3028" i="10"/>
  <c r="A3027" i="10"/>
  <c r="A3026" i="10"/>
  <c r="A3025" i="10"/>
  <c r="A3024" i="10"/>
  <c r="A3023" i="10"/>
  <c r="A3022" i="10"/>
  <c r="A3021" i="10"/>
  <c r="A3020" i="10"/>
  <c r="A3019" i="10"/>
  <c r="A3018" i="10"/>
  <c r="A3017" i="10"/>
  <c r="A3016" i="10"/>
  <c r="A3015" i="10"/>
  <c r="A3014" i="10"/>
  <c r="A3013" i="10"/>
  <c r="A3012" i="10"/>
  <c r="A3011" i="10"/>
  <c r="A3010" i="10"/>
  <c r="A3009" i="10"/>
  <c r="A3008" i="10"/>
  <c r="A3007" i="10"/>
  <c r="A3006" i="10"/>
  <c r="A3005" i="10"/>
  <c r="A3004" i="10"/>
  <c r="A3003" i="10"/>
  <c r="A3002" i="10"/>
  <c r="A3001" i="10"/>
  <c r="A3000" i="10"/>
  <c r="A2999" i="10"/>
  <c r="A2998" i="10"/>
  <c r="A2997" i="10"/>
  <c r="A2996" i="10"/>
  <c r="A2995" i="10"/>
  <c r="A2994" i="10"/>
  <c r="A2993" i="10"/>
  <c r="A2992" i="10"/>
  <c r="A2991" i="10"/>
  <c r="A2990" i="10"/>
  <c r="A2989" i="10"/>
  <c r="A2988" i="10"/>
  <c r="A2987" i="10"/>
  <c r="A2986" i="10"/>
  <c r="A2985" i="10"/>
  <c r="A2984" i="10"/>
  <c r="A2983" i="10"/>
  <c r="A2982" i="10"/>
  <c r="A2981" i="10"/>
  <c r="A2980" i="10"/>
  <c r="A2979" i="10"/>
  <c r="A2978" i="10"/>
  <c r="A2977" i="10"/>
  <c r="A2976" i="10"/>
  <c r="A2975" i="10"/>
  <c r="A2974" i="10"/>
  <c r="A2973" i="10"/>
  <c r="A2972" i="10"/>
  <c r="A2971" i="10"/>
  <c r="A2970" i="10"/>
  <c r="A2969" i="10"/>
  <c r="A2968" i="10"/>
  <c r="A2967" i="10"/>
  <c r="A2966" i="10"/>
  <c r="A2965" i="10"/>
  <c r="A2964" i="10"/>
  <c r="A2963" i="10"/>
  <c r="A2962" i="10"/>
  <c r="A2961" i="10"/>
  <c r="A2960" i="10"/>
  <c r="A2959" i="10"/>
  <c r="A2958" i="10"/>
  <c r="A2957" i="10"/>
  <c r="A2956" i="10"/>
  <c r="A2955" i="10"/>
  <c r="A2954" i="10"/>
  <c r="A2953" i="10"/>
  <c r="A2952" i="10"/>
  <c r="A2951" i="10"/>
  <c r="A2950" i="10"/>
  <c r="A2949" i="10"/>
  <c r="A2948" i="10"/>
  <c r="A2947" i="10"/>
  <c r="A2946" i="10"/>
  <c r="A2945" i="10"/>
  <c r="A2944" i="10"/>
  <c r="A2943" i="10"/>
  <c r="A2942" i="10"/>
  <c r="A2941" i="10"/>
  <c r="A2940" i="10"/>
  <c r="A2939" i="10"/>
  <c r="A2938" i="10"/>
  <c r="A2937" i="10"/>
  <c r="A2936" i="10"/>
  <c r="A2935" i="10"/>
  <c r="A2934" i="10"/>
  <c r="A2933" i="10"/>
  <c r="A2932" i="10"/>
  <c r="A2931" i="10"/>
  <c r="A2930" i="10"/>
  <c r="A2929" i="10"/>
  <c r="A2928" i="10"/>
  <c r="A2927" i="10"/>
  <c r="A2926" i="10"/>
  <c r="A2925" i="10"/>
  <c r="A2924" i="10"/>
  <c r="A2923" i="10"/>
  <c r="A2922" i="10"/>
  <c r="A2921" i="10"/>
  <c r="A2920" i="10"/>
  <c r="A2919" i="10"/>
  <c r="A2918" i="10"/>
  <c r="A2917" i="10"/>
  <c r="A2916" i="10"/>
  <c r="A2915" i="10"/>
  <c r="A2914" i="10"/>
  <c r="A2913" i="10"/>
  <c r="A2912" i="10"/>
  <c r="A2911" i="10"/>
  <c r="A2910" i="10"/>
  <c r="A2909" i="10"/>
  <c r="A2908" i="10"/>
  <c r="A2907" i="10"/>
  <c r="A2906" i="10"/>
  <c r="A2905" i="10"/>
  <c r="A2904" i="10"/>
  <c r="A2903" i="10"/>
  <c r="A2902" i="10"/>
  <c r="A2901" i="10"/>
  <c r="A2900" i="10"/>
  <c r="A2899" i="10"/>
  <c r="A2898" i="10"/>
  <c r="A2897" i="10"/>
  <c r="A2896" i="10"/>
  <c r="A2895" i="10"/>
  <c r="A2894" i="10"/>
  <c r="A2893" i="10"/>
  <c r="A2892" i="10"/>
  <c r="A2891" i="10"/>
  <c r="A2890" i="10"/>
  <c r="A2889" i="10"/>
  <c r="A2888" i="10"/>
  <c r="A2887" i="10"/>
  <c r="A2886" i="10"/>
  <c r="A2885" i="10"/>
  <c r="A2884" i="10"/>
  <c r="A2883" i="10"/>
  <c r="A2882" i="10"/>
  <c r="A2881" i="10"/>
  <c r="A2880" i="10"/>
  <c r="A2879" i="10"/>
  <c r="A2878" i="10"/>
  <c r="A2877" i="10"/>
  <c r="A2876" i="10"/>
  <c r="A2875" i="10"/>
  <c r="A2874" i="10"/>
  <c r="A2873" i="10"/>
  <c r="A2872" i="10"/>
  <c r="A2871" i="10"/>
  <c r="A2870" i="10"/>
  <c r="A2869" i="10"/>
  <c r="A2868" i="10"/>
  <c r="A2867" i="10"/>
  <c r="A2866" i="10"/>
  <c r="A2865" i="10"/>
  <c r="A2864" i="10"/>
  <c r="A2863" i="10"/>
  <c r="A2862" i="10"/>
  <c r="A2861" i="10"/>
  <c r="A2860" i="10"/>
  <c r="A2859" i="10"/>
  <c r="A2858" i="10"/>
  <c r="A2857" i="10"/>
  <c r="A2856" i="10"/>
  <c r="A2855" i="10"/>
  <c r="A2854" i="10"/>
  <c r="A2853" i="10"/>
  <c r="A2852" i="10"/>
  <c r="A2851" i="10"/>
  <c r="A2850" i="10"/>
  <c r="A2849" i="10"/>
  <c r="A2848" i="10"/>
  <c r="A2847" i="10"/>
  <c r="A2846" i="10"/>
  <c r="A2845" i="10"/>
  <c r="A2844" i="10"/>
  <c r="A2843" i="10"/>
  <c r="A2842" i="10"/>
  <c r="A2841" i="10"/>
  <c r="A2840" i="10"/>
  <c r="A2839" i="10"/>
  <c r="A2838" i="10"/>
  <c r="A2837" i="10"/>
  <c r="A2836" i="10"/>
  <c r="A2835" i="10"/>
  <c r="A2834" i="10"/>
  <c r="A2833" i="10"/>
  <c r="A2832" i="10"/>
  <c r="A2831" i="10"/>
  <c r="A2830" i="10"/>
  <c r="A2829" i="10"/>
  <c r="A2828" i="10"/>
  <c r="A2827" i="10"/>
  <c r="A2826" i="10"/>
  <c r="A2825" i="10"/>
  <c r="A2824" i="10"/>
  <c r="A2823" i="10"/>
  <c r="A2822" i="10"/>
  <c r="A2821" i="10"/>
  <c r="A2820" i="10"/>
  <c r="A2819" i="10"/>
  <c r="A2818" i="10"/>
  <c r="A2817" i="10"/>
  <c r="A2816" i="10"/>
  <c r="A2815" i="10"/>
  <c r="A2814" i="10"/>
  <c r="A2813" i="10"/>
  <c r="A2812" i="10"/>
  <c r="A2811" i="10"/>
  <c r="A2810" i="10"/>
  <c r="A2809" i="10"/>
  <c r="A2808" i="10"/>
  <c r="A2807" i="10"/>
  <c r="A2806" i="10"/>
  <c r="A2805" i="10"/>
  <c r="A2804" i="10"/>
  <c r="A2803" i="10"/>
  <c r="A2802" i="10"/>
  <c r="A2801" i="10"/>
  <c r="A2800" i="10"/>
  <c r="A2799" i="10"/>
  <c r="A2798" i="10"/>
  <c r="A2797" i="10"/>
  <c r="A2796" i="10"/>
  <c r="A2795" i="10"/>
  <c r="A2794" i="10"/>
  <c r="A2793" i="10"/>
  <c r="A2792" i="10"/>
  <c r="A2791" i="10"/>
  <c r="A2790" i="10"/>
  <c r="A2789" i="10"/>
  <c r="A2788" i="10"/>
  <c r="A2787" i="10"/>
  <c r="A2786" i="10"/>
  <c r="A2785" i="10"/>
  <c r="A2784" i="10"/>
  <c r="A2783" i="10"/>
  <c r="A2782" i="10"/>
  <c r="A2781" i="10"/>
  <c r="A2780" i="10"/>
  <c r="A2779" i="10"/>
  <c r="A2778" i="10"/>
  <c r="A2777" i="10"/>
  <c r="A2776" i="10"/>
  <c r="A2775" i="10"/>
  <c r="A2774" i="10"/>
  <c r="A2773" i="10"/>
  <c r="A2772" i="10"/>
  <c r="A2771" i="10"/>
  <c r="A2770" i="10"/>
  <c r="A2769" i="10"/>
  <c r="A2768" i="10"/>
  <c r="A2767" i="10"/>
  <c r="A2766" i="10"/>
  <c r="A2765" i="10"/>
  <c r="A2764" i="10"/>
  <c r="A2763" i="10"/>
  <c r="A2762" i="10"/>
  <c r="A2761" i="10"/>
  <c r="A2760" i="10"/>
  <c r="A2759" i="10"/>
  <c r="A2758" i="10"/>
  <c r="A2757" i="10"/>
  <c r="A2756" i="10"/>
  <c r="A2755" i="10"/>
  <c r="A2754" i="10"/>
  <c r="A2753" i="10"/>
  <c r="A2752" i="10"/>
  <c r="A2751" i="10"/>
  <c r="A2750" i="10"/>
  <c r="A2749" i="10"/>
  <c r="A2748" i="10"/>
  <c r="A2747" i="10"/>
  <c r="A2746" i="10"/>
  <c r="A2745" i="10"/>
  <c r="A2744" i="10"/>
  <c r="A2743" i="10"/>
  <c r="A2742" i="10"/>
  <c r="A2741" i="10"/>
  <c r="A2740" i="10"/>
  <c r="A2739" i="10"/>
  <c r="A2738" i="10"/>
  <c r="A2737" i="10"/>
  <c r="A2736" i="10"/>
  <c r="A2735" i="10"/>
  <c r="A2734" i="10"/>
  <c r="A2733" i="10"/>
  <c r="A2732" i="10"/>
  <c r="A2731" i="10"/>
  <c r="A2730" i="10"/>
  <c r="A2729" i="10"/>
  <c r="A2728" i="10"/>
  <c r="A2727" i="10"/>
  <c r="A2726" i="10"/>
  <c r="A2725" i="10"/>
  <c r="A2724" i="10"/>
  <c r="A2723" i="10"/>
  <c r="A2722" i="10"/>
  <c r="A2721" i="10"/>
  <c r="A2720" i="10"/>
  <c r="A2719" i="10"/>
  <c r="A2718" i="10"/>
  <c r="A2717" i="10"/>
  <c r="A2716" i="10"/>
  <c r="A2715" i="10"/>
  <c r="A2714" i="10"/>
  <c r="A2713" i="10"/>
  <c r="A2712" i="10"/>
  <c r="A2711" i="10"/>
  <c r="A2710" i="10"/>
  <c r="A2709" i="10"/>
  <c r="A2708" i="10"/>
  <c r="A2707" i="10"/>
  <c r="A2706" i="10"/>
  <c r="A2705" i="10"/>
  <c r="A2704" i="10"/>
  <c r="A2703" i="10"/>
  <c r="A2702" i="10"/>
  <c r="A2701" i="10"/>
  <c r="A2700" i="10"/>
  <c r="A2699" i="10"/>
  <c r="A2698" i="10"/>
  <c r="A2697" i="10"/>
  <c r="A2696" i="10"/>
  <c r="A2695" i="10"/>
  <c r="A2694" i="10"/>
  <c r="A2693" i="10"/>
  <c r="A2692" i="10"/>
  <c r="A2691" i="10"/>
  <c r="A2690" i="10"/>
  <c r="A2689" i="10"/>
  <c r="A2688" i="10"/>
  <c r="A2687" i="10"/>
  <c r="A2686" i="10"/>
  <c r="A2685" i="10"/>
  <c r="A2684" i="10"/>
  <c r="A2683" i="10"/>
  <c r="A2682" i="10"/>
  <c r="A2681" i="10"/>
  <c r="A2680" i="10"/>
  <c r="A2679" i="10"/>
  <c r="A2678" i="10"/>
  <c r="A2677" i="10"/>
  <c r="A2676" i="10"/>
  <c r="A2675" i="10"/>
  <c r="A2674" i="10"/>
  <c r="A2673" i="10"/>
  <c r="A2672" i="10"/>
  <c r="A2671" i="10"/>
  <c r="A2670" i="10"/>
  <c r="A2669" i="10"/>
  <c r="A2668" i="10"/>
  <c r="A2667" i="10"/>
  <c r="A2666" i="10"/>
  <c r="A2665" i="10"/>
  <c r="A2664" i="10"/>
  <c r="A2663" i="10"/>
  <c r="A2662" i="10"/>
  <c r="A2661" i="10"/>
  <c r="A2660" i="10"/>
  <c r="A2659" i="10"/>
  <c r="A2658" i="10"/>
  <c r="A2657" i="10"/>
  <c r="A2656" i="10"/>
  <c r="A2655" i="10"/>
  <c r="A2654" i="10"/>
  <c r="A2653" i="10"/>
  <c r="A2652" i="10"/>
  <c r="A2651" i="10"/>
  <c r="A2650" i="10"/>
  <c r="A2649" i="10"/>
  <c r="A2648" i="10"/>
  <c r="A2647" i="10"/>
  <c r="A2646" i="10"/>
  <c r="A2645" i="10"/>
  <c r="A2644" i="10"/>
  <c r="A2643" i="10"/>
  <c r="A2642" i="10"/>
  <c r="A2641" i="10"/>
  <c r="A2640" i="10"/>
  <c r="A2639" i="10"/>
  <c r="A2638" i="10"/>
  <c r="A2637" i="10"/>
  <c r="A2636" i="10"/>
  <c r="A2635" i="10"/>
  <c r="A2634" i="10"/>
  <c r="A2633" i="10"/>
  <c r="A2632" i="10"/>
  <c r="A2631" i="10"/>
  <c r="A2630" i="10"/>
  <c r="A2629" i="10"/>
  <c r="A2628" i="10"/>
  <c r="A2627" i="10"/>
  <c r="A2626" i="10"/>
  <c r="A2625" i="10"/>
  <c r="A2624" i="10"/>
  <c r="A2623" i="10"/>
  <c r="A2622" i="10"/>
  <c r="A2621" i="10"/>
  <c r="A2620" i="10"/>
  <c r="A2619" i="10"/>
  <c r="A2618" i="10"/>
  <c r="A2617" i="10"/>
  <c r="A2616" i="10"/>
  <c r="A2615" i="10"/>
  <c r="A2614" i="10"/>
  <c r="A2613" i="10"/>
  <c r="A2612" i="10"/>
  <c r="A2611" i="10"/>
  <c r="A2610" i="10"/>
  <c r="A2609" i="10"/>
  <c r="A2608" i="10"/>
  <c r="A2607" i="10"/>
  <c r="A2606" i="10"/>
  <c r="A2605" i="10"/>
  <c r="A2604" i="10"/>
  <c r="A2603" i="10"/>
  <c r="A2602" i="10"/>
  <c r="A2601" i="10"/>
  <c r="A2600" i="10"/>
  <c r="A2599" i="10"/>
  <c r="A2598" i="10"/>
  <c r="A2597" i="10"/>
  <c r="A2596" i="10"/>
  <c r="A2595" i="10"/>
  <c r="A2594" i="10"/>
  <c r="A2593" i="10"/>
  <c r="A2592" i="10"/>
  <c r="A2591" i="10"/>
  <c r="A2590" i="10"/>
  <c r="A2589" i="10"/>
  <c r="A2588" i="10"/>
  <c r="A2587" i="10"/>
  <c r="A2586" i="10"/>
  <c r="A2585" i="10"/>
  <c r="A2584" i="10"/>
  <c r="A2583" i="10"/>
  <c r="A2582" i="10"/>
  <c r="A2581" i="10"/>
  <c r="A2580" i="10"/>
  <c r="A2579" i="10"/>
  <c r="A2578" i="10"/>
  <c r="A2577" i="10"/>
  <c r="A2576" i="10"/>
  <c r="A2575" i="10"/>
  <c r="A2574" i="10"/>
  <c r="A2573" i="10"/>
  <c r="A2572" i="10"/>
  <c r="A2571" i="10"/>
  <c r="A2570" i="10"/>
  <c r="A2569" i="10"/>
  <c r="A2568" i="10"/>
  <c r="A2567" i="10"/>
  <c r="A2566" i="10"/>
  <c r="A2565" i="10"/>
  <c r="A2564" i="10"/>
  <c r="A2563" i="10"/>
  <c r="A2562" i="10"/>
  <c r="A2561" i="10"/>
  <c r="A2560" i="10"/>
  <c r="A2559" i="10"/>
  <c r="A2558" i="10"/>
  <c r="A2557" i="10"/>
  <c r="A2556" i="10"/>
  <c r="A2555" i="10"/>
  <c r="A2554" i="10"/>
  <c r="A2553" i="10"/>
  <c r="A2552" i="10"/>
  <c r="A2551" i="10"/>
  <c r="A2550" i="10"/>
  <c r="A2549" i="10"/>
  <c r="A2548" i="10"/>
  <c r="A2547" i="10"/>
  <c r="A2546" i="10"/>
  <c r="A2545" i="10"/>
  <c r="A2544" i="10"/>
  <c r="A2543" i="10"/>
  <c r="A2542" i="10"/>
  <c r="A2541" i="10"/>
  <c r="A2540" i="10"/>
  <c r="A2539" i="10"/>
  <c r="A2538" i="10"/>
  <c r="A2537" i="10"/>
  <c r="A2536" i="10"/>
  <c r="A2535" i="10"/>
  <c r="A2534" i="10"/>
  <c r="A2533" i="10"/>
  <c r="A2532" i="10"/>
  <c r="A2531" i="10"/>
  <c r="A2530" i="10"/>
  <c r="A2529" i="10"/>
  <c r="A2528" i="10"/>
  <c r="A2527" i="10"/>
  <c r="A2526" i="10"/>
  <c r="A2525" i="10"/>
  <c r="A2524" i="10"/>
  <c r="A2523" i="10"/>
  <c r="A2522" i="10"/>
  <c r="A2521" i="10"/>
  <c r="A2520" i="10"/>
  <c r="A2519" i="10"/>
  <c r="A2518" i="10"/>
  <c r="A2517" i="10"/>
  <c r="A2516" i="10"/>
  <c r="A2515" i="10"/>
  <c r="A2514" i="10"/>
  <c r="A2513" i="10"/>
  <c r="A2512" i="10"/>
  <c r="A2511" i="10"/>
  <c r="A2510" i="10"/>
  <c r="A2509" i="10"/>
  <c r="A2508" i="10"/>
  <c r="A2507" i="10"/>
  <c r="A2506" i="10"/>
  <c r="A2505" i="10"/>
  <c r="A2504" i="10"/>
  <c r="A2503" i="10"/>
  <c r="A2502" i="10"/>
  <c r="A2501" i="10"/>
  <c r="A2500" i="10"/>
  <c r="A2499" i="10"/>
  <c r="A2498" i="10"/>
  <c r="A2497" i="10"/>
  <c r="A2496" i="10"/>
  <c r="A2495" i="10"/>
  <c r="A2494" i="10"/>
  <c r="A2493" i="10"/>
  <c r="A2492" i="10"/>
  <c r="A2491" i="10"/>
  <c r="A2490" i="10"/>
  <c r="A2489" i="10"/>
  <c r="A2488" i="10"/>
  <c r="A2487" i="10"/>
  <c r="A2486" i="10"/>
  <c r="A2485" i="10"/>
  <c r="A2484" i="10"/>
  <c r="A2483" i="10"/>
  <c r="A2482" i="10"/>
  <c r="A2481" i="10"/>
  <c r="A2480" i="10"/>
  <c r="A2479" i="10"/>
  <c r="A2478" i="10"/>
  <c r="A2477" i="10"/>
  <c r="A2476" i="10"/>
  <c r="A2475" i="10"/>
  <c r="A2474" i="10"/>
  <c r="A2473" i="10"/>
  <c r="A2472" i="10"/>
  <c r="A2471" i="10"/>
  <c r="A2470" i="10"/>
  <c r="A2469" i="10"/>
  <c r="A2468" i="10"/>
  <c r="A2467" i="10"/>
  <c r="A2466" i="10"/>
  <c r="A2465" i="10"/>
  <c r="A2464" i="10"/>
  <c r="A2463" i="10"/>
  <c r="A2462" i="10"/>
  <c r="A2461" i="10"/>
  <c r="A2460" i="10"/>
  <c r="A2459" i="10"/>
  <c r="A2458" i="10"/>
  <c r="A2457" i="10"/>
  <c r="A2456" i="10"/>
  <c r="A2455" i="10"/>
  <c r="A2454" i="10"/>
  <c r="A2453" i="10"/>
  <c r="A2452" i="10"/>
  <c r="A2451" i="10"/>
  <c r="A2450" i="10"/>
  <c r="A2449" i="10"/>
  <c r="A2448" i="10"/>
  <c r="A2447" i="10"/>
  <c r="A2446" i="10"/>
  <c r="A2445" i="10"/>
  <c r="A2444" i="10"/>
  <c r="A2443" i="10"/>
  <c r="A2442" i="10"/>
  <c r="A2441" i="10"/>
  <c r="A2440" i="10"/>
  <c r="A2439" i="10"/>
  <c r="A2438" i="10"/>
  <c r="A2437" i="10"/>
  <c r="A2436" i="10"/>
  <c r="A2435" i="10"/>
  <c r="A2434" i="10"/>
  <c r="A2433" i="10"/>
  <c r="A2432" i="10"/>
  <c r="A2431" i="10"/>
  <c r="A2430" i="10"/>
  <c r="A2429" i="10"/>
  <c r="A2428" i="10"/>
  <c r="A2427" i="10"/>
  <c r="A2426" i="10"/>
  <c r="A2425" i="10"/>
  <c r="A2424" i="10"/>
  <c r="A2423" i="10"/>
  <c r="A2422" i="10"/>
  <c r="A2421" i="10"/>
  <c r="A2420" i="10"/>
  <c r="A2419" i="10"/>
  <c r="A2418" i="10"/>
  <c r="A2417" i="10"/>
  <c r="A2416" i="10"/>
  <c r="A2415" i="10"/>
  <c r="A2414" i="10"/>
  <c r="A2413" i="10"/>
  <c r="A2412" i="10"/>
  <c r="A2411" i="10"/>
  <c r="A2410" i="10"/>
  <c r="A2409" i="10"/>
  <c r="A2408" i="10"/>
  <c r="A2407" i="10"/>
  <c r="A2406" i="10"/>
  <c r="A2405" i="10"/>
  <c r="A2404" i="10"/>
  <c r="A2403" i="10"/>
  <c r="A2402" i="10"/>
  <c r="A2401" i="10"/>
  <c r="A2400" i="10"/>
  <c r="A2399" i="10"/>
  <c r="A2398" i="10"/>
  <c r="A2397" i="10"/>
  <c r="A2396" i="10"/>
  <c r="A2395" i="10"/>
  <c r="A2394" i="10"/>
  <c r="A2393" i="10"/>
  <c r="A2392" i="10"/>
  <c r="A2391" i="10"/>
  <c r="A2390" i="10"/>
  <c r="A2389" i="10"/>
  <c r="A2388" i="10"/>
  <c r="A2387" i="10"/>
  <c r="A2386" i="10"/>
  <c r="A2385" i="10"/>
  <c r="A2384" i="10"/>
  <c r="A2383" i="10"/>
  <c r="A2382" i="10"/>
  <c r="A2381" i="10"/>
  <c r="A2380" i="10"/>
  <c r="A2379" i="10"/>
  <c r="A2378" i="10"/>
  <c r="A2377" i="10"/>
  <c r="A2376" i="10"/>
  <c r="A2375" i="10"/>
  <c r="A2374" i="10"/>
  <c r="A2373" i="10"/>
  <c r="A2372" i="10"/>
  <c r="A2371" i="10"/>
  <c r="A2370" i="10"/>
  <c r="A2369" i="10"/>
  <c r="A2368" i="10"/>
  <c r="A2367" i="10"/>
  <c r="A2366" i="10"/>
  <c r="A2365" i="10"/>
  <c r="A2364" i="10"/>
  <c r="A2363" i="10"/>
  <c r="A2362" i="10"/>
  <c r="A2361" i="10"/>
  <c r="A2360" i="10"/>
  <c r="A2359" i="10"/>
  <c r="A2358" i="10"/>
  <c r="A2357" i="10"/>
  <c r="A2356" i="10"/>
  <c r="A2355" i="10"/>
  <c r="A2354" i="10"/>
  <c r="A2353" i="10"/>
  <c r="A2352" i="10"/>
  <c r="A2351" i="10"/>
  <c r="A2350" i="10"/>
  <c r="A2349" i="10"/>
  <c r="A2348" i="10"/>
  <c r="A2347" i="10"/>
  <c r="A2346" i="10"/>
  <c r="A2345" i="10"/>
  <c r="A2344" i="10"/>
  <c r="A2343" i="10"/>
  <c r="A2342" i="10"/>
  <c r="A2341" i="10"/>
  <c r="A2340" i="10"/>
  <c r="A2339" i="10"/>
  <c r="A2338" i="10"/>
  <c r="A2337" i="10"/>
  <c r="A2336" i="10"/>
  <c r="A2335" i="10"/>
  <c r="A2334" i="10"/>
  <c r="A2333" i="10"/>
  <c r="A2332" i="10"/>
  <c r="A2331" i="10"/>
  <c r="A2330" i="10"/>
  <c r="A2329" i="10"/>
  <c r="A2328" i="10"/>
  <c r="A2327" i="10"/>
  <c r="A2326" i="10"/>
  <c r="A2325" i="10"/>
  <c r="A2324" i="10"/>
  <c r="A2323" i="10"/>
  <c r="A2322" i="10"/>
  <c r="A2321" i="10"/>
  <c r="A2320" i="10"/>
  <c r="A2319" i="10"/>
  <c r="A2318" i="10"/>
  <c r="A2317" i="10"/>
  <c r="A2316" i="10"/>
  <c r="A2315" i="10"/>
  <c r="A2314" i="10"/>
  <c r="A2313" i="10"/>
  <c r="A2312" i="10"/>
  <c r="A2311" i="10"/>
  <c r="A2310" i="10"/>
  <c r="A2309" i="10"/>
  <c r="A2308" i="10"/>
  <c r="A2307" i="10"/>
  <c r="A2306" i="10"/>
  <c r="A2305" i="10"/>
  <c r="A2304" i="10"/>
  <c r="A2303" i="10"/>
  <c r="A2302" i="10"/>
  <c r="A2301" i="10"/>
  <c r="A2300" i="10"/>
  <c r="A2299" i="10"/>
  <c r="A2298" i="10"/>
  <c r="A2297" i="10"/>
  <c r="A2296" i="10"/>
  <c r="A2295" i="10"/>
  <c r="A2294" i="10"/>
  <c r="A2293" i="10"/>
  <c r="A2292" i="10"/>
  <c r="A2291" i="10"/>
  <c r="A2290" i="10"/>
  <c r="A2289" i="10"/>
  <c r="A2288" i="10"/>
  <c r="A2287" i="10"/>
  <c r="A2286" i="10"/>
  <c r="A2285" i="10"/>
  <c r="A2284" i="10"/>
  <c r="A2283" i="10"/>
  <c r="A2282" i="10"/>
  <c r="A2281" i="10"/>
  <c r="A2280" i="10"/>
  <c r="A2279" i="10"/>
  <c r="A2278" i="10"/>
  <c r="A2277" i="10"/>
  <c r="A2276" i="10"/>
  <c r="A2275" i="10"/>
  <c r="A2274" i="10"/>
  <c r="A2273" i="10"/>
  <c r="A2272" i="10"/>
  <c r="A2271" i="10"/>
  <c r="A2270" i="10"/>
  <c r="A2269" i="10"/>
  <c r="A2268" i="10"/>
  <c r="A2267" i="10"/>
  <c r="A2266" i="10"/>
  <c r="A2265" i="10"/>
  <c r="A2264" i="10"/>
  <c r="A2263" i="10"/>
  <c r="A2262" i="10"/>
  <c r="A2261" i="10"/>
  <c r="A2260" i="10"/>
  <c r="A2259" i="10"/>
  <c r="A2258" i="10"/>
  <c r="A2257" i="10"/>
  <c r="A2256" i="10"/>
  <c r="A2255" i="10"/>
  <c r="A2254" i="10"/>
  <c r="A2253" i="10"/>
  <c r="A2252" i="10"/>
  <c r="A2251" i="10"/>
  <c r="A2250" i="10"/>
  <c r="A2249" i="10"/>
  <c r="A2248" i="10"/>
  <c r="A2247" i="10"/>
  <c r="A2246" i="10"/>
  <c r="A2245" i="10"/>
  <c r="A2244" i="10"/>
  <c r="A2243" i="10"/>
  <c r="A2242" i="10"/>
  <c r="A2241" i="10"/>
  <c r="A2240" i="10"/>
  <c r="A2239" i="10"/>
  <c r="A2238" i="10"/>
  <c r="A2237" i="10"/>
  <c r="A2236" i="10"/>
  <c r="A2235" i="10"/>
  <c r="A2234" i="10"/>
  <c r="A2233" i="10"/>
  <c r="A2232" i="10"/>
  <c r="A2231" i="10"/>
  <c r="A2230" i="10"/>
  <c r="A2229" i="10"/>
  <c r="A2228" i="10"/>
  <c r="A2227" i="10"/>
  <c r="A2226" i="10"/>
  <c r="A2225" i="10"/>
  <c r="A2224" i="10"/>
  <c r="A2223" i="10"/>
  <c r="A2222" i="10"/>
  <c r="A2221" i="10"/>
  <c r="A2220" i="10"/>
  <c r="A2219" i="10"/>
  <c r="A2218" i="10"/>
  <c r="A2217" i="10"/>
  <c r="A2216" i="10"/>
  <c r="A2215" i="10"/>
  <c r="A2214" i="10"/>
  <c r="A2213" i="10"/>
  <c r="A2212" i="10"/>
  <c r="A2211" i="10"/>
  <c r="A2210" i="10"/>
  <c r="A2209" i="10"/>
  <c r="A2208" i="10"/>
  <c r="A2207" i="10"/>
  <c r="A2206" i="10"/>
  <c r="A2205" i="10"/>
  <c r="A2204" i="10"/>
  <c r="A2203" i="10"/>
  <c r="A2202" i="10"/>
  <c r="A2201" i="10"/>
  <c r="A2200" i="10"/>
  <c r="A2199" i="10"/>
  <c r="A2198" i="10"/>
  <c r="A2197" i="10"/>
  <c r="A2196" i="10"/>
  <c r="A2195" i="10"/>
  <c r="A2194" i="10"/>
  <c r="A2193" i="10"/>
  <c r="A2192" i="10"/>
  <c r="A2191" i="10"/>
  <c r="A2190" i="10"/>
  <c r="A2189" i="10"/>
  <c r="A2188" i="10"/>
  <c r="A2187" i="10"/>
  <c r="A2186" i="10"/>
  <c r="A2185" i="10"/>
  <c r="A2184" i="10"/>
  <c r="A2183" i="10"/>
  <c r="A2182" i="10"/>
  <c r="A2181" i="10"/>
  <c r="A2180" i="10"/>
  <c r="A2179" i="10"/>
  <c r="A2178" i="10"/>
  <c r="A2177" i="10"/>
  <c r="A2176" i="10"/>
  <c r="A2175" i="10"/>
  <c r="A2174" i="10"/>
  <c r="A2173" i="10"/>
  <c r="A2172" i="10"/>
  <c r="A2171" i="10"/>
  <c r="A2170" i="10"/>
  <c r="A2169" i="10"/>
  <c r="A2168" i="10"/>
  <c r="A2167" i="10"/>
  <c r="A2166" i="10"/>
  <c r="A2165" i="10"/>
  <c r="A2164" i="10"/>
  <c r="A2163" i="10"/>
  <c r="A2162" i="10"/>
  <c r="A2161" i="10"/>
  <c r="A2160" i="10"/>
  <c r="A2159" i="10"/>
  <c r="A2158" i="10"/>
  <c r="A2157" i="10"/>
  <c r="A2156" i="10"/>
  <c r="A2155" i="10"/>
  <c r="A2154" i="10"/>
  <c r="A2153" i="10"/>
  <c r="A2152" i="10"/>
  <c r="A2151" i="10"/>
  <c r="A2150" i="10"/>
  <c r="A2149" i="10"/>
  <c r="A2148" i="10"/>
  <c r="A2147" i="10"/>
  <c r="A2146" i="10"/>
  <c r="A2145" i="10"/>
  <c r="A2144" i="10"/>
  <c r="A2143" i="10"/>
  <c r="A2142" i="10"/>
  <c r="A2141" i="10"/>
  <c r="A2140" i="10"/>
  <c r="A2139" i="10"/>
  <c r="A2138" i="10"/>
  <c r="A2137" i="10"/>
  <c r="A2136" i="10"/>
  <c r="A2135" i="10"/>
  <c r="A2134" i="10"/>
  <c r="A2133" i="10"/>
  <c r="A2132" i="10"/>
  <c r="A2131" i="10"/>
  <c r="A2130" i="10"/>
  <c r="A2129" i="10"/>
  <c r="A2128" i="10"/>
  <c r="A2127" i="10"/>
  <c r="A2126" i="10"/>
  <c r="A2125" i="10"/>
  <c r="A2124" i="10"/>
  <c r="A2123" i="10"/>
  <c r="A2122" i="10"/>
  <c r="A2121" i="10"/>
  <c r="A2120" i="10"/>
  <c r="A2119" i="10"/>
  <c r="A2118" i="10"/>
  <c r="A2117" i="10"/>
  <c r="A2116" i="10"/>
  <c r="A2115" i="10"/>
  <c r="A2114" i="10"/>
  <c r="A2113" i="10"/>
  <c r="A2112" i="10"/>
  <c r="A2111" i="10"/>
  <c r="A2110" i="10"/>
  <c r="A2109" i="10"/>
  <c r="A2108" i="10"/>
  <c r="A2107" i="10"/>
  <c r="A2106" i="10"/>
  <c r="A2105" i="10"/>
  <c r="A2104" i="10"/>
  <c r="A2103" i="10"/>
  <c r="A2102" i="10"/>
  <c r="A2101" i="10"/>
  <c r="A2100" i="10"/>
  <c r="A2099" i="10"/>
  <c r="A2098" i="10"/>
  <c r="A2097" i="10"/>
  <c r="A2096" i="10"/>
  <c r="A2095" i="10"/>
  <c r="A2094" i="10"/>
  <c r="A2093" i="10"/>
  <c r="A2092" i="10"/>
  <c r="A2091" i="10"/>
  <c r="A2090" i="10"/>
  <c r="A2089" i="10"/>
  <c r="A2088" i="10"/>
  <c r="A2087" i="10"/>
  <c r="A2086" i="10"/>
  <c r="A2085" i="10"/>
  <c r="A2084" i="10"/>
  <c r="A2083" i="10"/>
  <c r="A2082" i="10"/>
  <c r="A2081" i="10"/>
  <c r="A2080" i="10"/>
  <c r="A2079" i="10"/>
  <c r="A2078" i="10"/>
  <c r="A2077" i="10"/>
  <c r="A2076" i="10"/>
  <c r="A2075" i="10"/>
  <c r="A2074" i="10"/>
  <c r="A2073" i="10"/>
  <c r="A2072" i="10"/>
  <c r="A2071" i="10"/>
  <c r="A2070" i="10"/>
  <c r="A2069" i="10"/>
  <c r="A2068" i="10"/>
  <c r="A2067" i="10"/>
  <c r="A2066" i="10"/>
  <c r="A2065" i="10"/>
  <c r="A2064" i="10"/>
  <c r="A2063" i="10"/>
  <c r="A2062" i="10"/>
  <c r="A2061" i="10"/>
  <c r="A2060" i="10"/>
  <c r="A2059" i="10"/>
  <c r="A2058" i="10"/>
  <c r="A2057" i="10"/>
  <c r="A2056" i="10"/>
  <c r="A2055" i="10"/>
  <c r="A2054" i="10"/>
  <c r="A2053" i="10"/>
  <c r="A2052" i="10"/>
  <c r="A2051" i="10"/>
  <c r="A2050" i="10"/>
  <c r="A2049" i="10"/>
  <c r="A2048" i="10"/>
  <c r="A2047" i="10"/>
  <c r="A2046" i="10"/>
  <c r="A2045" i="10"/>
  <c r="A2044" i="10"/>
  <c r="A2043" i="10"/>
  <c r="A2042" i="10"/>
  <c r="A2041" i="10"/>
  <c r="A2040" i="10"/>
  <c r="A2039" i="10"/>
  <c r="A2038" i="10"/>
  <c r="A2037" i="10"/>
  <c r="A2036" i="10"/>
  <c r="A2035" i="10"/>
  <c r="A2034" i="10"/>
  <c r="A2033" i="10"/>
  <c r="A2032" i="10"/>
  <c r="A2031" i="10"/>
  <c r="A2030" i="10"/>
  <c r="A2029" i="10"/>
  <c r="A2028" i="10"/>
  <c r="A2027" i="10"/>
  <c r="A2026" i="10"/>
  <c r="A2025" i="10"/>
  <c r="A2024" i="10"/>
  <c r="A2023" i="10"/>
  <c r="A2022" i="10"/>
  <c r="A2021" i="10"/>
  <c r="A2020" i="10"/>
  <c r="A2019" i="10"/>
  <c r="A2018" i="10"/>
  <c r="A2017" i="10"/>
  <c r="A2016" i="10"/>
  <c r="A2015" i="10"/>
  <c r="A2014" i="10"/>
  <c r="A2013" i="10"/>
  <c r="A2012" i="10"/>
  <c r="A2011" i="10"/>
  <c r="A2010" i="10"/>
  <c r="A2009" i="10"/>
  <c r="A2008" i="10"/>
  <c r="A2007" i="10"/>
  <c r="A2006" i="10"/>
  <c r="A2005" i="10"/>
  <c r="A2004" i="10"/>
  <c r="A2003" i="10"/>
  <c r="A2002" i="10"/>
  <c r="A2001" i="10"/>
  <c r="A2000" i="10"/>
  <c r="A1999" i="10"/>
  <c r="A1998" i="10"/>
  <c r="A1997" i="10"/>
  <c r="A1996" i="10"/>
  <c r="A1995" i="10"/>
  <c r="A1994" i="10"/>
  <c r="A1993" i="10"/>
  <c r="A1992" i="10"/>
  <c r="A1991" i="10"/>
  <c r="A1990" i="10"/>
  <c r="A1989" i="10"/>
  <c r="A1988" i="10"/>
  <c r="A1987" i="10"/>
  <c r="A1986" i="10"/>
  <c r="A1985" i="10"/>
  <c r="A1984" i="10"/>
  <c r="A1983" i="10"/>
  <c r="A1982" i="10"/>
  <c r="A1981" i="10"/>
  <c r="A1980" i="10"/>
  <c r="A1979" i="10"/>
  <c r="A1978" i="10"/>
  <c r="A1977" i="10"/>
  <c r="A1976" i="10"/>
  <c r="A1975" i="10"/>
  <c r="A1974" i="10"/>
  <c r="A1973" i="10"/>
  <c r="A1972" i="10"/>
  <c r="A1971" i="10"/>
  <c r="A1970" i="10"/>
  <c r="A1969" i="10"/>
  <c r="A1968" i="10"/>
  <c r="A1967" i="10"/>
  <c r="A1966" i="10"/>
  <c r="A1965" i="10"/>
  <c r="A1964" i="10"/>
  <c r="A1963" i="10"/>
  <c r="A1962" i="10"/>
  <c r="A1961" i="10"/>
  <c r="A1960" i="10"/>
  <c r="A1959" i="10"/>
  <c r="A1958" i="10"/>
  <c r="A1957" i="10"/>
  <c r="A1956" i="10"/>
  <c r="A1955" i="10"/>
  <c r="A1954" i="10"/>
  <c r="A1953" i="10"/>
  <c r="A1952" i="10"/>
  <c r="A1951" i="10"/>
  <c r="A1950" i="10"/>
  <c r="A1949" i="10"/>
  <c r="A1948" i="10"/>
  <c r="A1947" i="10"/>
  <c r="A1946" i="10"/>
  <c r="A1945" i="10"/>
  <c r="A1944" i="10"/>
  <c r="A1943" i="10"/>
  <c r="A1942" i="10"/>
  <c r="A1941" i="10"/>
  <c r="A1940" i="10"/>
  <c r="A1939" i="10"/>
  <c r="A1938" i="10"/>
  <c r="A1937" i="10"/>
  <c r="A1936" i="10"/>
  <c r="A1935" i="10"/>
  <c r="A1934" i="10"/>
  <c r="A1933" i="10"/>
  <c r="A1932" i="10"/>
  <c r="A1931" i="10"/>
  <c r="A1930" i="10"/>
  <c r="A1929" i="10"/>
  <c r="A1928" i="10"/>
  <c r="A1927" i="10"/>
  <c r="A1926" i="10"/>
  <c r="A1925" i="10"/>
  <c r="A1924" i="10"/>
  <c r="A1923" i="10"/>
  <c r="A1922" i="10"/>
  <c r="A1921" i="10"/>
  <c r="A1920" i="10"/>
  <c r="A1919" i="10"/>
  <c r="A1918" i="10"/>
  <c r="A1917" i="10"/>
  <c r="A1916" i="10"/>
  <c r="A1915" i="10"/>
  <c r="A1914" i="10"/>
  <c r="A1913" i="10"/>
  <c r="A1912" i="10"/>
  <c r="A1911" i="10"/>
  <c r="A1910" i="10"/>
  <c r="A1909" i="10"/>
  <c r="A1908" i="10"/>
  <c r="A1907" i="10"/>
  <c r="A1906" i="10"/>
  <c r="A1905" i="10"/>
  <c r="A1904" i="10"/>
  <c r="A1903" i="10"/>
  <c r="A1902" i="10"/>
  <c r="A1901" i="10"/>
  <c r="A1900" i="10"/>
  <c r="A1899" i="10"/>
  <c r="A1898" i="10"/>
  <c r="A1897" i="10"/>
  <c r="A1896" i="10"/>
  <c r="A1895" i="10"/>
  <c r="A1894" i="10"/>
  <c r="A1893" i="10"/>
  <c r="A1892" i="10"/>
  <c r="A1891" i="10"/>
  <c r="A1890" i="10"/>
  <c r="A1889" i="10"/>
  <c r="A1888" i="10"/>
  <c r="A1887" i="10"/>
  <c r="A1886" i="10"/>
  <c r="A1885" i="10"/>
  <c r="A1884" i="10"/>
  <c r="A1883" i="10"/>
  <c r="A1882" i="10"/>
  <c r="A1881" i="10"/>
  <c r="A1880" i="10"/>
  <c r="A1879" i="10"/>
  <c r="A1878" i="10"/>
  <c r="A1877" i="10"/>
  <c r="A1876" i="10"/>
  <c r="A1875" i="10"/>
  <c r="A1874" i="10"/>
  <c r="A1873" i="10"/>
  <c r="A1872" i="10"/>
  <c r="A1871" i="10"/>
  <c r="A1870" i="10"/>
  <c r="A1869" i="10"/>
  <c r="A1868" i="10"/>
  <c r="A1867" i="10"/>
  <c r="A1866" i="10"/>
  <c r="A1865" i="10"/>
  <c r="A1864" i="10"/>
  <c r="A1863" i="10"/>
  <c r="A1862" i="10"/>
  <c r="A1861" i="10"/>
  <c r="A1860" i="10"/>
  <c r="A1859" i="10"/>
  <c r="A1858" i="10"/>
  <c r="A1857" i="10"/>
  <c r="A1856" i="10"/>
  <c r="A1855" i="10"/>
  <c r="A1854" i="10"/>
  <c r="A1853" i="10"/>
  <c r="A1852" i="10"/>
  <c r="A1851" i="10"/>
  <c r="A1850" i="10"/>
  <c r="A1849" i="10"/>
  <c r="A1848" i="10"/>
  <c r="A1847" i="10"/>
  <c r="A1846" i="10"/>
  <c r="A1845" i="10"/>
  <c r="A1844" i="10"/>
  <c r="A1843" i="10"/>
  <c r="A1842" i="10"/>
  <c r="A1841" i="10"/>
  <c r="A1840" i="10"/>
  <c r="A1839" i="10"/>
  <c r="A1838" i="10"/>
  <c r="A1837" i="10"/>
  <c r="A1836" i="10"/>
  <c r="A1835" i="10"/>
  <c r="A1834" i="10"/>
  <c r="A1833" i="10"/>
  <c r="A1832" i="10"/>
  <c r="A1831" i="10"/>
  <c r="A1830" i="10"/>
  <c r="A1829" i="10"/>
  <c r="A1828" i="10"/>
  <c r="A1827" i="10"/>
  <c r="A1826" i="10"/>
  <c r="A1825" i="10"/>
  <c r="A1824" i="10"/>
  <c r="A1823" i="10"/>
  <c r="A1822" i="10"/>
  <c r="A1821" i="10"/>
  <c r="A1820" i="10"/>
  <c r="A1819" i="10"/>
  <c r="A1818" i="10"/>
  <c r="A1817" i="10"/>
  <c r="A1816" i="10"/>
  <c r="A1815" i="10"/>
  <c r="A1814" i="10"/>
  <c r="A1813" i="10"/>
  <c r="A1812" i="10"/>
  <c r="A1811" i="10"/>
  <c r="A1810" i="10"/>
  <c r="A1809" i="10"/>
  <c r="A1808" i="10"/>
  <c r="A1807" i="10"/>
  <c r="A1806" i="10"/>
  <c r="A1805" i="10"/>
  <c r="A1804" i="10"/>
  <c r="A1803" i="10"/>
  <c r="A1802" i="10"/>
  <c r="A1801" i="10"/>
  <c r="A1800" i="10"/>
  <c r="A1799" i="10"/>
  <c r="A1798" i="10"/>
  <c r="A1797" i="10"/>
  <c r="A1796" i="10"/>
  <c r="A1795" i="10"/>
  <c r="A1794" i="10"/>
  <c r="A1793" i="10"/>
  <c r="A1792" i="10"/>
  <c r="A1791" i="10"/>
  <c r="A1790" i="10"/>
  <c r="A1789" i="10"/>
  <c r="A1788" i="10"/>
  <c r="A1787" i="10"/>
  <c r="A1786" i="10"/>
  <c r="A1785" i="10"/>
  <c r="A1784" i="10"/>
  <c r="A1783" i="10"/>
  <c r="A1782" i="10"/>
  <c r="A1781" i="10"/>
  <c r="A1780" i="10"/>
  <c r="A1779" i="10"/>
  <c r="A1778" i="10"/>
  <c r="A1777" i="10"/>
  <c r="A1776" i="10"/>
  <c r="A1775" i="10"/>
  <c r="A1774" i="10"/>
  <c r="A1773" i="10"/>
  <c r="A1772" i="10"/>
  <c r="A1771" i="10"/>
  <c r="A1770" i="10"/>
  <c r="A1769" i="10"/>
  <c r="A1768" i="10"/>
  <c r="A1767" i="10"/>
  <c r="A1766" i="10"/>
  <c r="A1765" i="10"/>
  <c r="A1764" i="10"/>
  <c r="A1763" i="10"/>
  <c r="A1762" i="10"/>
  <c r="A1761" i="10"/>
  <c r="A1760" i="10"/>
  <c r="A1759" i="10"/>
  <c r="A1758" i="10"/>
  <c r="A1757" i="10"/>
  <c r="A1756" i="10"/>
  <c r="A1755" i="10"/>
  <c r="A1754" i="10"/>
  <c r="A1753" i="10"/>
  <c r="A1752" i="10"/>
  <c r="A1751" i="10"/>
  <c r="A1750" i="10"/>
  <c r="A1749" i="10"/>
  <c r="A1748" i="10"/>
  <c r="A1747" i="10"/>
  <c r="A1746" i="10"/>
  <c r="A1745" i="10"/>
  <c r="A1744" i="10"/>
  <c r="A1743" i="10"/>
  <c r="A1742" i="10"/>
  <c r="A1741" i="10"/>
  <c r="A1740" i="10"/>
  <c r="A1739" i="10"/>
  <c r="A1738" i="10"/>
  <c r="A1737" i="10"/>
  <c r="A1736" i="10"/>
  <c r="A1735" i="10"/>
  <c r="A1734" i="10"/>
  <c r="A1733" i="10"/>
  <c r="A1732" i="10"/>
  <c r="A1731" i="10"/>
  <c r="A1730" i="10"/>
  <c r="A1729" i="10"/>
  <c r="A1728" i="10"/>
  <c r="A1727" i="10"/>
  <c r="A1726" i="10"/>
  <c r="A1725" i="10"/>
  <c r="A1724" i="10"/>
  <c r="A1723" i="10"/>
  <c r="A1722" i="10"/>
  <c r="A1721" i="10"/>
  <c r="A1720" i="10"/>
  <c r="A1719" i="10"/>
  <c r="A1718" i="10"/>
  <c r="A1717" i="10"/>
  <c r="A1716" i="10"/>
  <c r="A1715" i="10"/>
  <c r="A1714" i="10"/>
  <c r="A1713" i="10"/>
  <c r="A1712" i="10"/>
  <c r="A1711" i="10"/>
  <c r="A1710" i="10"/>
  <c r="A1709" i="10"/>
  <c r="A1708" i="10"/>
  <c r="A1707" i="10"/>
  <c r="A1706" i="10"/>
  <c r="A1705" i="10"/>
  <c r="A1704" i="10"/>
  <c r="A1703" i="10"/>
  <c r="A1702" i="10"/>
  <c r="A1701" i="10"/>
  <c r="A1700" i="10"/>
  <c r="A1699" i="10"/>
  <c r="A1698" i="10"/>
  <c r="A1697" i="10"/>
  <c r="A1696" i="10"/>
  <c r="A1695" i="10"/>
  <c r="A1694" i="10"/>
  <c r="A1693" i="10"/>
  <c r="A1692" i="10"/>
  <c r="A1691" i="10"/>
  <c r="A1690" i="10"/>
  <c r="A1689" i="10"/>
  <c r="A1688" i="10"/>
  <c r="A1687" i="10"/>
  <c r="A1686" i="10"/>
  <c r="A1685" i="10"/>
  <c r="A1684" i="10"/>
  <c r="A1683" i="10"/>
  <c r="A1682" i="10"/>
  <c r="A1681" i="10"/>
  <c r="A1680" i="10"/>
  <c r="A1679" i="10"/>
  <c r="A1678" i="10"/>
  <c r="A1677" i="10"/>
  <c r="A1676" i="10"/>
  <c r="A1675" i="10"/>
  <c r="A1674" i="10"/>
  <c r="A1673" i="10"/>
  <c r="A1672" i="10"/>
  <c r="A1671" i="10"/>
  <c r="A1670" i="10"/>
  <c r="A1669" i="10"/>
  <c r="A1668" i="10"/>
  <c r="A1667" i="10"/>
  <c r="A1666" i="10"/>
  <c r="A1665" i="10"/>
  <c r="A1664" i="10"/>
  <c r="A1663" i="10"/>
  <c r="A1662" i="10"/>
  <c r="A1661" i="10"/>
  <c r="A1660" i="10"/>
  <c r="A1659" i="10"/>
  <c r="A1658" i="10"/>
  <c r="A1657" i="10"/>
  <c r="A1656" i="10"/>
  <c r="A1655" i="10"/>
  <c r="A1654" i="10"/>
  <c r="A1653" i="10"/>
  <c r="A1652" i="10"/>
  <c r="A1651" i="10"/>
  <c r="A1650" i="10"/>
  <c r="A1649" i="10"/>
  <c r="A1648" i="10"/>
  <c r="A1647" i="10"/>
  <c r="A1646" i="10"/>
  <c r="A1645" i="10"/>
  <c r="A1644" i="10"/>
  <c r="A1643" i="10"/>
  <c r="A1642" i="10"/>
  <c r="A1641" i="10"/>
  <c r="A1640" i="10"/>
  <c r="A1639" i="10"/>
  <c r="A1638" i="10"/>
  <c r="A1637" i="10"/>
  <c r="A1636" i="10"/>
  <c r="A1635" i="10"/>
  <c r="A1634" i="10"/>
  <c r="A1633" i="10"/>
  <c r="A1632" i="10"/>
  <c r="A1631" i="10"/>
  <c r="A1630" i="10"/>
  <c r="A1629" i="10"/>
  <c r="A1628" i="10"/>
  <c r="A1627" i="10"/>
  <c r="A1626" i="10"/>
  <c r="A1625" i="10"/>
  <c r="A1624" i="10"/>
  <c r="A1623" i="10"/>
  <c r="A1622" i="10"/>
  <c r="A1621" i="10"/>
  <c r="A1620" i="10"/>
  <c r="A1619" i="10"/>
  <c r="A1618" i="10"/>
  <c r="A1617" i="10"/>
  <c r="A1616" i="10"/>
  <c r="A1615" i="10"/>
  <c r="A1614" i="10"/>
  <c r="A1613" i="10"/>
  <c r="A1612" i="10"/>
  <c r="A1611" i="10"/>
  <c r="A1610" i="10"/>
  <c r="A1609" i="10"/>
  <c r="A1608" i="10"/>
  <c r="A1607" i="10"/>
  <c r="A1606" i="10"/>
  <c r="A1605" i="10"/>
  <c r="A1604" i="10"/>
  <c r="A1603" i="10"/>
  <c r="A1602" i="10"/>
  <c r="A1601" i="10"/>
  <c r="A1600" i="10"/>
  <c r="A1599" i="10"/>
  <c r="A1598" i="10"/>
  <c r="A1597" i="10"/>
  <c r="A1596" i="10"/>
  <c r="A1595" i="10"/>
  <c r="A1594" i="10"/>
  <c r="A1593" i="10"/>
  <c r="A1592" i="10"/>
  <c r="A1591" i="10"/>
  <c r="A1590" i="10"/>
  <c r="A1589" i="10"/>
  <c r="A1588" i="10"/>
  <c r="A1587" i="10"/>
  <c r="A1586" i="10"/>
  <c r="A1585" i="10"/>
  <c r="A1584" i="10"/>
  <c r="A1583" i="10"/>
  <c r="A1582" i="10"/>
  <c r="A1581" i="10"/>
  <c r="A1580" i="10"/>
  <c r="A1579" i="10"/>
  <c r="A1578" i="10"/>
  <c r="A1577" i="10"/>
  <c r="A1576" i="10"/>
  <c r="A1575" i="10"/>
  <c r="A1574" i="10"/>
  <c r="A1573" i="10"/>
  <c r="A1572" i="10"/>
  <c r="A1571" i="10"/>
  <c r="A1570" i="10"/>
  <c r="A1569" i="10"/>
  <c r="A1568" i="10"/>
  <c r="A1567" i="10"/>
  <c r="A1566" i="10"/>
  <c r="A1565" i="10"/>
  <c r="A1564" i="10"/>
  <c r="A1563" i="10"/>
  <c r="A1562" i="10"/>
  <c r="A1561" i="10"/>
  <c r="A1560" i="10"/>
  <c r="A1559" i="10"/>
  <c r="A1558" i="10"/>
  <c r="A1557" i="10"/>
  <c r="A1556" i="10"/>
  <c r="A1555" i="10"/>
  <c r="A1554" i="10"/>
  <c r="A1553" i="10"/>
  <c r="A1552" i="10"/>
  <c r="A1551" i="10"/>
  <c r="A1550" i="10"/>
  <c r="A1549" i="10"/>
  <c r="A1548" i="10"/>
  <c r="A1547" i="10"/>
  <c r="A1546" i="10"/>
  <c r="A1545" i="10"/>
  <c r="A1544" i="10"/>
  <c r="A1543" i="10"/>
  <c r="A1542" i="10"/>
  <c r="A1541" i="10"/>
  <c r="A1540" i="10"/>
  <c r="A1539" i="10"/>
  <c r="A1538" i="10"/>
  <c r="A1537" i="10"/>
  <c r="A1536" i="10"/>
  <c r="A1535" i="10"/>
  <c r="A1534" i="10"/>
  <c r="A1533" i="10"/>
  <c r="A1532" i="10"/>
  <c r="A1531" i="10"/>
  <c r="A1530" i="10"/>
  <c r="A1529" i="10"/>
  <c r="A1528" i="10"/>
  <c r="A1527" i="10"/>
  <c r="A1526" i="10"/>
  <c r="A1525" i="10"/>
  <c r="A1524" i="10"/>
  <c r="A1523" i="10"/>
  <c r="A1522" i="10"/>
  <c r="A1521" i="10"/>
  <c r="A1520" i="10"/>
  <c r="A1519" i="10"/>
  <c r="A1518" i="10"/>
  <c r="A1517" i="10"/>
  <c r="A1516" i="10"/>
  <c r="A1515" i="10"/>
  <c r="A1514" i="10"/>
  <c r="A1513" i="10"/>
  <c r="A1512" i="10"/>
  <c r="A1511" i="10"/>
  <c r="A1510" i="10"/>
  <c r="A1509" i="10"/>
  <c r="A1508" i="10"/>
  <c r="A1507" i="10"/>
  <c r="A1506" i="10"/>
  <c r="A1505" i="10"/>
  <c r="A1504" i="10"/>
  <c r="A1503" i="10"/>
  <c r="A1502" i="10"/>
  <c r="A1501" i="10"/>
  <c r="A1500" i="10"/>
  <c r="A1499" i="10"/>
  <c r="A1498" i="10"/>
  <c r="A1497" i="10"/>
  <c r="A1496" i="10"/>
  <c r="A1495" i="10"/>
  <c r="A1494" i="10"/>
  <c r="A1493" i="10"/>
  <c r="A1492" i="10"/>
  <c r="A1491" i="10"/>
  <c r="A1490" i="10"/>
  <c r="A1489" i="10"/>
  <c r="A1488" i="10"/>
  <c r="A1487" i="10"/>
  <c r="A1486" i="10"/>
  <c r="A1485" i="10"/>
  <c r="A1484" i="10"/>
  <c r="A1483" i="10"/>
  <c r="A1482" i="10"/>
  <c r="A1481" i="10"/>
  <c r="A1480" i="10"/>
  <c r="A1479" i="10"/>
  <c r="A1478" i="10"/>
  <c r="A1477" i="10"/>
  <c r="A1476" i="10"/>
  <c r="A1475" i="10"/>
  <c r="A1474" i="10"/>
  <c r="A1472" i="10"/>
  <c r="A1471" i="10"/>
  <c r="A1470" i="10"/>
  <c r="A1468" i="10"/>
  <c r="A1467" i="10"/>
  <c r="A1466" i="10"/>
  <c r="A1464" i="10"/>
  <c r="A1463" i="10"/>
  <c r="A1462" i="10"/>
  <c r="A1460" i="10"/>
  <c r="A1459" i="10"/>
  <c r="A1458" i="10"/>
  <c r="A1456" i="10"/>
  <c r="A1455" i="10"/>
  <c r="A1454" i="10"/>
  <c r="A1452" i="10"/>
  <c r="A1451" i="10"/>
  <c r="A1450" i="10"/>
  <c r="A1448" i="10"/>
  <c r="A1447" i="10"/>
  <c r="A1446" i="10"/>
  <c r="A1444" i="10"/>
  <c r="A1443" i="10"/>
  <c r="A1442" i="10"/>
  <c r="A1440" i="10"/>
  <c r="A1439" i="10"/>
  <c r="A1438" i="10"/>
  <c r="A1436" i="10"/>
  <c r="A1435" i="10"/>
  <c r="A1434" i="10"/>
  <c r="A1432" i="10"/>
  <c r="A1431" i="10"/>
  <c r="A1430" i="10"/>
  <c r="A1428" i="10"/>
  <c r="A1427" i="10"/>
  <c r="A1426" i="10"/>
  <c r="A1424" i="10"/>
  <c r="A1423" i="10"/>
  <c r="A1422" i="10"/>
  <c r="A1420" i="10"/>
  <c r="A1419" i="10"/>
  <c r="A1418" i="10"/>
  <c r="A1416" i="10"/>
  <c r="A1415" i="10"/>
  <c r="A1414" i="10"/>
  <c r="A1412" i="10"/>
  <c r="A1411" i="10"/>
  <c r="A1410" i="10"/>
  <c r="A1408" i="10"/>
  <c r="A1407" i="10"/>
  <c r="A1406" i="10"/>
  <c r="A1404" i="10"/>
  <c r="A1403" i="10"/>
  <c r="A1402" i="10"/>
  <c r="A1400" i="10"/>
  <c r="A1399" i="10"/>
  <c r="A1398" i="10"/>
  <c r="A1396" i="10"/>
  <c r="A1395" i="10"/>
  <c r="A1394" i="10"/>
  <c r="A1392" i="10"/>
  <c r="A1391" i="10"/>
  <c r="A1390" i="10"/>
  <c r="A1388" i="10"/>
  <c r="A1387" i="10"/>
  <c r="A1386" i="10"/>
  <c r="A1384" i="10"/>
  <c r="A1383" i="10"/>
  <c r="A1382" i="10"/>
  <c r="A1380" i="10"/>
  <c r="A1379" i="10"/>
  <c r="A1378" i="10"/>
  <c r="A1376" i="10"/>
  <c r="A1375" i="10"/>
  <c r="A1374" i="10"/>
  <c r="A1372" i="10"/>
  <c r="A1371" i="10"/>
  <c r="A1370" i="10"/>
  <c r="A1368" i="10"/>
  <c r="A1367" i="10"/>
  <c r="A1366" i="10"/>
  <c r="A1364" i="10"/>
  <c r="A1363" i="10"/>
  <c r="A1362" i="10"/>
  <c r="A1360" i="10"/>
  <c r="A1359" i="10"/>
  <c r="A1358" i="10"/>
  <c r="A1356" i="10"/>
  <c r="A1355" i="10"/>
  <c r="A1354" i="10"/>
  <c r="A1352" i="10"/>
  <c r="A1351" i="10"/>
  <c r="A1350" i="10"/>
  <c r="A1348" i="10"/>
  <c r="A1347" i="10"/>
  <c r="A1346" i="10"/>
  <c r="A1344" i="10"/>
  <c r="A1343" i="10"/>
  <c r="A1342" i="10"/>
  <c r="A1340" i="10"/>
  <c r="A1339" i="10"/>
  <c r="A1338" i="10"/>
  <c r="A1336" i="10"/>
  <c r="A1335" i="10"/>
  <c r="A1334" i="10"/>
  <c r="A1332" i="10"/>
  <c r="A1331" i="10"/>
  <c r="A1330" i="10"/>
  <c r="A1328" i="10"/>
  <c r="A1327" i="10"/>
  <c r="A1326" i="10"/>
  <c r="A1324" i="10"/>
  <c r="A1323" i="10"/>
  <c r="A1322" i="10"/>
  <c r="A1320" i="10"/>
  <c r="A1319" i="10"/>
  <c r="A1318" i="10"/>
  <c r="A1316" i="10"/>
  <c r="A1315" i="10"/>
  <c r="A1314" i="10"/>
  <c r="A1312" i="10"/>
  <c r="A1311" i="10"/>
  <c r="A1310" i="10"/>
  <c r="A1308" i="10"/>
  <c r="A1307" i="10"/>
  <c r="A1306" i="10"/>
  <c r="A1304" i="10"/>
  <c r="A1303" i="10"/>
  <c r="A1302" i="10"/>
  <c r="A1300" i="10"/>
  <c r="A1299" i="10"/>
  <c r="A1298" i="10"/>
  <c r="A1296" i="10"/>
  <c r="A1295" i="10"/>
  <c r="A1294" i="10"/>
  <c r="A1292" i="10"/>
  <c r="A1291" i="10"/>
  <c r="A1290" i="10"/>
  <c r="A1288" i="10"/>
  <c r="A1287" i="10"/>
  <c r="A1286" i="10"/>
  <c r="A1284" i="10"/>
  <c r="A1283" i="10"/>
  <c r="A1282" i="10"/>
  <c r="A1280" i="10"/>
  <c r="A1279" i="10"/>
  <c r="A1278" i="10"/>
  <c r="A1276" i="10"/>
  <c r="A1275" i="10"/>
  <c r="A1274" i="10"/>
  <c r="A1272" i="10"/>
  <c r="A1271" i="10"/>
  <c r="A1270" i="10"/>
  <c r="A1268" i="10"/>
  <c r="A1267" i="10"/>
  <c r="A1266" i="10"/>
  <c r="A1264" i="10"/>
  <c r="A1263" i="10"/>
  <c r="A1262" i="10"/>
  <c r="A1260" i="10"/>
  <c r="A1259" i="10"/>
  <c r="A1258" i="10"/>
  <c r="A1256" i="10"/>
  <c r="A1255" i="10"/>
  <c r="A1254" i="10"/>
  <c r="A1252" i="10"/>
  <c r="A1251" i="10"/>
  <c r="A1250" i="10"/>
  <c r="A1248" i="10"/>
  <c r="A1247" i="10"/>
  <c r="A1246" i="10"/>
  <c r="A1244" i="10"/>
  <c r="A1243" i="10"/>
  <c r="A1242" i="10"/>
  <c r="A1240" i="10"/>
  <c r="A1239" i="10"/>
  <c r="A1238" i="10"/>
  <c r="A1236" i="10"/>
  <c r="A1235" i="10"/>
  <c r="A1234" i="10"/>
  <c r="A1232" i="10"/>
  <c r="A1231" i="10"/>
  <c r="A1230" i="10"/>
  <c r="A1228" i="10"/>
  <c r="A1227" i="10"/>
  <c r="A1226" i="10"/>
  <c r="A1224" i="10"/>
  <c r="A1223" i="10"/>
  <c r="A1222" i="10"/>
  <c r="A1220" i="10"/>
  <c r="A1219" i="10"/>
  <c r="A1218" i="10"/>
  <c r="A1216" i="10"/>
  <c r="A1215" i="10"/>
  <c r="A1214" i="10"/>
  <c r="A1212" i="10"/>
  <c r="A1211" i="10"/>
  <c r="A1210" i="10"/>
  <c r="A1208" i="10"/>
  <c r="A1207" i="10"/>
  <c r="A1206" i="10"/>
  <c r="A1204" i="10"/>
  <c r="A1203" i="10"/>
  <c r="A1202" i="10"/>
  <c r="A1200" i="10"/>
  <c r="A1199" i="10"/>
  <c r="A1198" i="10"/>
  <c r="A1196" i="10"/>
  <c r="A1195" i="10"/>
  <c r="A1194" i="10"/>
  <c r="A1192" i="10"/>
  <c r="A1191" i="10"/>
  <c r="A1190" i="10"/>
  <c r="A1188" i="10"/>
  <c r="A1187" i="10"/>
  <c r="A1186" i="10"/>
  <c r="A1184" i="10"/>
  <c r="A1183" i="10"/>
  <c r="A1182" i="10"/>
  <c r="A1180" i="10"/>
  <c r="A1179" i="10"/>
  <c r="A1178" i="10"/>
  <c r="A1176" i="10"/>
  <c r="A1175" i="10"/>
  <c r="A1174" i="10"/>
  <c r="A1172" i="10"/>
  <c r="A1171" i="10"/>
  <c r="A1170" i="10"/>
  <c r="A1168" i="10"/>
  <c r="A1167" i="10"/>
  <c r="A1166" i="10"/>
  <c r="A1164" i="10"/>
  <c r="A1163" i="10"/>
  <c r="A1162" i="10"/>
  <c r="A1160" i="10"/>
  <c r="A1159" i="10"/>
  <c r="A1158" i="10"/>
  <c r="A1156" i="10"/>
  <c r="A1155" i="10"/>
  <c r="A1154" i="10"/>
  <c r="A1152" i="10"/>
  <c r="A1151" i="10"/>
  <c r="A1150" i="10"/>
  <c r="A1148" i="10"/>
  <c r="A1147" i="10"/>
  <c r="A1146" i="10"/>
  <c r="A1144" i="10"/>
  <c r="A1143" i="10"/>
  <c r="A1142" i="10"/>
  <c r="A1140" i="10"/>
  <c r="A1139" i="10"/>
  <c r="A1138" i="10"/>
  <c r="A1136" i="10"/>
  <c r="A1135" i="10"/>
  <c r="A1134" i="10"/>
  <c r="A1132" i="10"/>
  <c r="A1131" i="10"/>
  <c r="A1130" i="10"/>
  <c r="A1128" i="10"/>
  <c r="A1127" i="10"/>
  <c r="A1126" i="10"/>
  <c r="A1124" i="10"/>
  <c r="A1123" i="10"/>
  <c r="A1122" i="10"/>
  <c r="A1120" i="10"/>
  <c r="A1119" i="10"/>
  <c r="A1118" i="10"/>
  <c r="A1116" i="10"/>
  <c r="A1115" i="10"/>
  <c r="A1114" i="10"/>
  <c r="A1112" i="10"/>
  <c r="A1111" i="10"/>
  <c r="A1110" i="10"/>
  <c r="A1108" i="10"/>
  <c r="A1107" i="10"/>
  <c r="A1106" i="10"/>
  <c r="A1104" i="10"/>
  <c r="A1103" i="10"/>
  <c r="A1102" i="10"/>
  <c r="A1100" i="10"/>
  <c r="A1099" i="10"/>
  <c r="A1098" i="10"/>
  <c r="A1096" i="10"/>
  <c r="A1095" i="10"/>
  <c r="A1094" i="10"/>
  <c r="A1092" i="10"/>
  <c r="A1091" i="10"/>
  <c r="A1090" i="10"/>
  <c r="A1088" i="10"/>
  <c r="A1087" i="10"/>
  <c r="A1086" i="10"/>
  <c r="A1084" i="10"/>
  <c r="A1083" i="10"/>
  <c r="A1082" i="10"/>
  <c r="A1080" i="10"/>
  <c r="A1079" i="10"/>
  <c r="A1078" i="10"/>
  <c r="A1076" i="10"/>
  <c r="A1075" i="10"/>
  <c r="A1074" i="10"/>
  <c r="A1072" i="10"/>
  <c r="A1071" i="10"/>
  <c r="A1070" i="10"/>
  <c r="A1068" i="10"/>
  <c r="A1067" i="10"/>
  <c r="A1066" i="10"/>
  <c r="A1064" i="10"/>
  <c r="A1063" i="10"/>
  <c r="A1062" i="10"/>
  <c r="A1060" i="10"/>
  <c r="A1059" i="10"/>
  <c r="A1058" i="10"/>
  <c r="A1056" i="10"/>
  <c r="A1055" i="10"/>
  <c r="A1054" i="10"/>
  <c r="A1052" i="10"/>
  <c r="A1051" i="10"/>
  <c r="A1050" i="10"/>
  <c r="A1048" i="10"/>
  <c r="A1047" i="10"/>
  <c r="A1046" i="10"/>
  <c r="A1044" i="10"/>
  <c r="A1043" i="10"/>
  <c r="A1042" i="10"/>
  <c r="A1040" i="10"/>
  <c r="A1039" i="10"/>
  <c r="A1038" i="10"/>
  <c r="A1036" i="10"/>
  <c r="A1035" i="10"/>
  <c r="A1034" i="10"/>
  <c r="A1032" i="10"/>
  <c r="A1031" i="10"/>
  <c r="A1030" i="10"/>
  <c r="A1028" i="10"/>
  <c r="A1027" i="10"/>
  <c r="A1026" i="10"/>
  <c r="A1024" i="10"/>
  <c r="A1023" i="10"/>
  <c r="A1022" i="10"/>
  <c r="A1020" i="10"/>
  <c r="A1019" i="10"/>
  <c r="A1018" i="10"/>
  <c r="A1016" i="10"/>
  <c r="A1015" i="10"/>
  <c r="A1014" i="10"/>
  <c r="A1012" i="10"/>
  <c r="A1011" i="10"/>
  <c r="A1010" i="10"/>
  <c r="A1008" i="10"/>
  <c r="A1007" i="10"/>
  <c r="A1006" i="10"/>
  <c r="A1004" i="10"/>
  <c r="A1003" i="10"/>
  <c r="A1002" i="10"/>
  <c r="A1000" i="10"/>
  <c r="A999" i="10"/>
  <c r="A998" i="10"/>
  <c r="A996" i="10"/>
  <c r="A995" i="10"/>
  <c r="A994" i="10"/>
  <c r="A992" i="10"/>
  <c r="A991" i="10"/>
  <c r="A990" i="10"/>
  <c r="A988" i="10"/>
  <c r="A987" i="10"/>
  <c r="A986" i="10"/>
  <c r="A984" i="10"/>
  <c r="A983" i="10"/>
  <c r="A982" i="10"/>
  <c r="A980" i="10"/>
  <c r="A979" i="10"/>
  <c r="A978" i="10"/>
  <c r="A976" i="10"/>
  <c r="A975" i="10"/>
  <c r="A974" i="10"/>
  <c r="A972" i="10"/>
  <c r="A971" i="10"/>
  <c r="A970" i="10"/>
  <c r="A968" i="10"/>
  <c r="A967" i="10"/>
  <c r="A966" i="10"/>
  <c r="A964" i="10"/>
  <c r="A963" i="10"/>
  <c r="A962" i="10"/>
  <c r="A960" i="10"/>
  <c r="A959" i="10"/>
  <c r="A958" i="10"/>
  <c r="A956" i="10"/>
  <c r="A955" i="10"/>
  <c r="A954" i="10"/>
  <c r="A952" i="10"/>
  <c r="A951" i="10"/>
  <c r="A950" i="10"/>
  <c r="A948" i="10"/>
  <c r="A947" i="10"/>
  <c r="A946" i="10"/>
  <c r="A944" i="10"/>
  <c r="A943" i="10"/>
  <c r="A942" i="10"/>
  <c r="A940" i="10"/>
  <c r="A939" i="10"/>
  <c r="A938" i="10"/>
  <c r="A936" i="10"/>
  <c r="A935" i="10"/>
  <c r="A934" i="10"/>
  <c r="A932" i="10"/>
  <c r="A931" i="10"/>
  <c r="A930" i="10"/>
  <c r="A928" i="10"/>
  <c r="A927" i="10"/>
  <c r="A926" i="10"/>
  <c r="A924" i="10"/>
  <c r="A923" i="10"/>
  <c r="A922" i="10"/>
  <c r="A920" i="10"/>
  <c r="A919" i="10"/>
  <c r="A918" i="10"/>
  <c r="A915" i="10"/>
  <c r="A914" i="10"/>
  <c r="A912" i="10"/>
  <c r="A911" i="10"/>
  <c r="A910" i="10"/>
  <c r="A908" i="10"/>
  <c r="A907" i="10"/>
  <c r="A906" i="10"/>
  <c r="A904" i="10"/>
  <c r="A903" i="10"/>
  <c r="A902" i="10"/>
  <c r="A900" i="10"/>
  <c r="A899" i="10"/>
  <c r="A898" i="10"/>
  <c r="A896" i="10"/>
  <c r="A895" i="10"/>
  <c r="A894" i="10"/>
  <c r="A892" i="10"/>
  <c r="A891" i="10"/>
  <c r="A890" i="10"/>
  <c r="A888" i="10"/>
  <c r="A887" i="10"/>
  <c r="A886" i="10"/>
  <c r="A884" i="10"/>
  <c r="A883" i="10"/>
  <c r="A882" i="10"/>
  <c r="A880" i="10"/>
  <c r="A879" i="10"/>
  <c r="A878" i="10"/>
  <c r="A876" i="10"/>
  <c r="A875" i="10"/>
  <c r="A874" i="10"/>
  <c r="A872" i="10"/>
  <c r="A871" i="10"/>
  <c r="A870" i="10"/>
  <c r="A868" i="10"/>
  <c r="A867" i="10"/>
  <c r="A866" i="10"/>
  <c r="A864" i="10"/>
  <c r="A863" i="10"/>
  <c r="A862" i="10"/>
  <c r="A860" i="10"/>
  <c r="A859" i="10"/>
  <c r="A858" i="10"/>
  <c r="A856" i="10"/>
  <c r="A855" i="10"/>
  <c r="A854" i="10"/>
  <c r="A852" i="10"/>
  <c r="A851" i="10"/>
  <c r="A850" i="10"/>
  <c r="A848" i="10"/>
  <c r="A847" i="10"/>
  <c r="A846" i="10"/>
  <c r="A844" i="10"/>
  <c r="A843" i="10"/>
  <c r="A842" i="10"/>
  <c r="A840" i="10"/>
  <c r="A839" i="10"/>
  <c r="A838" i="10"/>
  <c r="A836" i="10"/>
  <c r="A835" i="10"/>
  <c r="A834" i="10"/>
  <c r="A832" i="10"/>
  <c r="A831" i="10"/>
  <c r="A830" i="10"/>
  <c r="A828" i="10"/>
  <c r="A827" i="10"/>
  <c r="A826" i="10"/>
  <c r="A824" i="10"/>
  <c r="A823" i="10"/>
  <c r="A822" i="10"/>
  <c r="A820" i="10"/>
  <c r="A819" i="10"/>
  <c r="A818" i="10"/>
  <c r="A816" i="10"/>
  <c r="A815" i="10"/>
  <c r="A814" i="10"/>
  <c r="A812" i="10"/>
  <c r="A811" i="10"/>
  <c r="A810" i="10"/>
  <c r="A808" i="10"/>
  <c r="A807" i="10"/>
  <c r="A806" i="10"/>
  <c r="A804" i="10"/>
  <c r="A803" i="10"/>
  <c r="A802" i="10"/>
  <c r="A800" i="10"/>
  <c r="A799" i="10"/>
  <c r="A798" i="10"/>
  <c r="A796" i="10"/>
  <c r="A795" i="10"/>
  <c r="A794" i="10"/>
  <c r="A792" i="10"/>
  <c r="A791" i="10"/>
  <c r="A790" i="10"/>
  <c r="A788" i="10"/>
  <c r="A787" i="10"/>
  <c r="A786" i="10"/>
  <c r="A784" i="10"/>
  <c r="A783" i="10"/>
  <c r="A782" i="10"/>
  <c r="A780" i="10"/>
  <c r="A779" i="10"/>
  <c r="A778" i="10"/>
  <c r="A776" i="10"/>
  <c r="A775" i="10"/>
  <c r="A774" i="10"/>
  <c r="A772" i="10"/>
  <c r="A771" i="10"/>
  <c r="A770" i="10"/>
  <c r="A768" i="10"/>
  <c r="A767" i="10"/>
  <c r="A766" i="10"/>
  <c r="A764" i="10"/>
  <c r="A763" i="10"/>
  <c r="A762" i="10"/>
  <c r="A760" i="10"/>
  <c r="A2" i="7"/>
  <c r="AI27" i="1"/>
  <c r="AH27" i="1"/>
  <c r="AG27" i="1"/>
  <c r="AF27" i="1"/>
  <c r="AE27" i="1"/>
  <c r="AD27" i="1"/>
  <c r="AC27" i="1"/>
  <c r="AB27" i="1"/>
  <c r="Z27" i="1"/>
  <c r="Y27" i="1"/>
  <c r="X27" i="1"/>
  <c r="AI26" i="1"/>
  <c r="AH26" i="1"/>
  <c r="AG26" i="1"/>
  <c r="AF26" i="1"/>
  <c r="AE26" i="1"/>
  <c r="AD26" i="1"/>
  <c r="AC26" i="1"/>
  <c r="AB26" i="1"/>
  <c r="Z26" i="1"/>
  <c r="Y26" i="1"/>
  <c r="X26" i="1"/>
  <c r="AI25" i="1"/>
  <c r="AH25" i="1"/>
  <c r="AG25" i="1"/>
  <c r="AF25" i="1"/>
  <c r="AE25" i="1"/>
  <c r="AD25" i="1"/>
  <c r="AC25" i="1"/>
  <c r="AB25" i="1"/>
  <c r="Z25" i="1"/>
  <c r="Y25" i="1"/>
  <c r="X25" i="1"/>
  <c r="AI24" i="1"/>
  <c r="AH24" i="1"/>
  <c r="AG24" i="1"/>
  <c r="AF24" i="1"/>
  <c r="AE24" i="1"/>
  <c r="AD24" i="1"/>
  <c r="AC24" i="1"/>
  <c r="AB24" i="1"/>
  <c r="Z24" i="1"/>
  <c r="Y24" i="1"/>
  <c r="X24" i="1"/>
  <c r="AI23" i="1"/>
  <c r="AH23" i="1"/>
  <c r="AG23" i="1"/>
  <c r="AF23" i="1"/>
  <c r="AE23" i="1"/>
  <c r="AD23" i="1"/>
  <c r="AC23" i="1"/>
  <c r="AB23" i="1"/>
  <c r="Z23" i="1"/>
  <c r="Y23" i="1"/>
  <c r="X23" i="1"/>
  <c r="AI22" i="1"/>
  <c r="AH22" i="1"/>
  <c r="AG22" i="1"/>
  <c r="AF22" i="1"/>
  <c r="AE22" i="1"/>
  <c r="AD22" i="1"/>
  <c r="AC22" i="1"/>
  <c r="AB22" i="1"/>
  <c r="Z22" i="1"/>
  <c r="Y22" i="1"/>
  <c r="X22" i="1"/>
  <c r="AI21" i="1"/>
  <c r="AH21" i="1"/>
  <c r="AG21" i="1"/>
  <c r="AF21" i="1"/>
  <c r="AE21" i="1"/>
  <c r="AD21" i="1"/>
  <c r="AC21" i="1"/>
  <c r="AB21" i="1"/>
  <c r="Z21" i="1"/>
  <c r="Y21" i="1"/>
  <c r="X21" i="1"/>
  <c r="AI20" i="1"/>
  <c r="AH20" i="1"/>
  <c r="AG20" i="1"/>
  <c r="AF20" i="1"/>
  <c r="AE20" i="1"/>
  <c r="AD20" i="1"/>
  <c r="AC20" i="1"/>
  <c r="AB20" i="1"/>
  <c r="Z20" i="1"/>
  <c r="Y20" i="1"/>
  <c r="X20" i="1"/>
  <c r="AI19" i="1"/>
  <c r="AH19" i="1"/>
  <c r="AG19" i="1"/>
  <c r="AF19" i="1"/>
  <c r="AE19" i="1"/>
  <c r="AD19" i="1"/>
  <c r="AC19" i="1"/>
  <c r="AB19" i="1"/>
  <c r="Z19" i="1"/>
  <c r="Y19" i="1"/>
  <c r="X19" i="1"/>
  <c r="AI18" i="1"/>
  <c r="AH18" i="1"/>
  <c r="AG18" i="1"/>
  <c r="AF18" i="1"/>
  <c r="AE18" i="1"/>
  <c r="AD18" i="1"/>
  <c r="AC18" i="1"/>
  <c r="AB18" i="1"/>
  <c r="Z18" i="1"/>
  <c r="Y18" i="1"/>
  <c r="X18" i="1"/>
  <c r="AI17" i="1"/>
  <c r="AH17" i="1"/>
  <c r="AG17" i="1"/>
  <c r="AF17" i="1"/>
  <c r="AE17" i="1"/>
  <c r="AD17" i="1"/>
  <c r="AC17" i="1"/>
  <c r="AB17" i="1"/>
  <c r="Z17" i="1"/>
  <c r="Y17" i="1"/>
  <c r="X17" i="1"/>
  <c r="AI16" i="1"/>
  <c r="AH16" i="1"/>
  <c r="AG16" i="1"/>
  <c r="AF16" i="1"/>
  <c r="AE16" i="1"/>
  <c r="AD16" i="1"/>
  <c r="AC16" i="1"/>
  <c r="AB16" i="1"/>
  <c r="Z16" i="1"/>
  <c r="Y16" i="1"/>
  <c r="X16" i="1"/>
  <c r="AI15" i="1"/>
  <c r="AH15" i="1"/>
  <c r="AG15" i="1"/>
  <c r="AF15" i="1"/>
  <c r="AE15" i="1"/>
  <c r="AD15" i="1"/>
  <c r="AC15" i="1"/>
  <c r="AB15" i="1"/>
  <c r="Z15" i="1"/>
  <c r="Y15" i="1"/>
  <c r="X15" i="1"/>
  <c r="AW141" i="6"/>
  <c r="AV141" i="6"/>
  <c r="P141" i="6"/>
  <c r="AD762" i="10" l="1"/>
  <c r="AD763" i="10"/>
  <c r="AD767" i="10"/>
  <c r="AD771" i="10"/>
  <c r="AD775" i="10"/>
  <c r="AD779" i="10"/>
  <c r="AD783" i="10"/>
  <c r="AD787" i="10"/>
  <c r="AD791" i="10"/>
  <c r="AD795" i="10"/>
  <c r="AD799" i="10"/>
  <c r="AD803" i="10"/>
  <c r="AD807" i="10"/>
  <c r="AD811" i="10"/>
  <c r="AD819" i="10"/>
  <c r="AD871" i="10"/>
  <c r="AD875" i="10"/>
  <c r="AD879" i="10"/>
  <c r="AD883" i="10"/>
  <c r="AD887" i="10"/>
  <c r="AD891" i="10"/>
  <c r="AD895" i="10"/>
  <c r="AD943" i="10"/>
  <c r="AD947" i="10"/>
  <c r="AD951" i="10"/>
  <c r="AD955" i="10"/>
  <c r="AD959" i="10"/>
  <c r="AD963" i="10"/>
  <c r="AD967" i="10"/>
  <c r="AD971" i="10"/>
  <c r="AD1023" i="10"/>
  <c r="AD1027" i="10"/>
  <c r="AD1031" i="10"/>
  <c r="AD1035" i="10"/>
  <c r="AD1039" i="10"/>
  <c r="AD1043" i="10"/>
  <c r="AD1047" i="10"/>
  <c r="AD1051" i="10"/>
  <c r="AD1055" i="10"/>
  <c r="AD1099" i="10"/>
  <c r="AD1103" i="10"/>
  <c r="AD1107" i="10"/>
  <c r="AD1111" i="10"/>
  <c r="AD1115" i="10"/>
  <c r="AD1119" i="10"/>
  <c r="AD1123" i="10"/>
  <c r="AD1127" i="10"/>
  <c r="AD1175" i="10"/>
  <c r="AD1179" i="10"/>
  <c r="AD1183" i="10"/>
  <c r="AD766" i="10"/>
  <c r="AD770" i="10"/>
  <c r="AD774" i="10"/>
  <c r="AD778" i="10"/>
  <c r="AD782" i="10"/>
  <c r="AD786" i="10"/>
  <c r="AD790" i="10"/>
  <c r="AD794" i="10"/>
  <c r="AD798" i="10"/>
  <c r="AD802" i="10"/>
  <c r="AD806" i="10"/>
  <c r="AD810" i="10"/>
  <c r="AD818" i="10"/>
  <c r="AD874" i="10"/>
  <c r="AD878" i="10"/>
  <c r="AD882" i="10"/>
  <c r="AD886" i="10"/>
  <c r="AD890" i="10"/>
  <c r="AD894" i="10"/>
  <c r="AD898" i="10"/>
  <c r="AD942" i="10"/>
  <c r="AD946" i="10"/>
  <c r="AD950" i="10"/>
  <c r="AD954" i="10"/>
  <c r="AD958" i="10"/>
  <c r="AD962" i="10"/>
  <c r="AD966" i="10"/>
  <c r="AD970" i="10"/>
  <c r="AD974" i="10"/>
  <c r="AD978" i="10"/>
  <c r="AD1010" i="10"/>
  <c r="AD1022" i="10"/>
  <c r="AD1026" i="10"/>
  <c r="AD1030" i="10"/>
  <c r="AD1034" i="10"/>
  <c r="AD1038" i="10"/>
  <c r="AD1042" i="10"/>
  <c r="AD1046" i="10"/>
  <c r="AD1050" i="10"/>
  <c r="AD1054" i="10"/>
  <c r="AD1098" i="10"/>
  <c r="AD1102" i="10"/>
  <c r="AD1106" i="10"/>
  <c r="AD1110" i="10"/>
  <c r="AD1114" i="10"/>
  <c r="AD1118" i="10"/>
  <c r="AD1122" i="10"/>
  <c r="AD1126" i="10"/>
  <c r="AD1134" i="10"/>
  <c r="AD1178" i="10"/>
  <c r="AD1182" i="10"/>
  <c r="AD1186" i="10"/>
  <c r="AD1190" i="10"/>
  <c r="AD1194" i="10"/>
  <c r="AD1198" i="10"/>
  <c r="AD761" i="10"/>
  <c r="AD765" i="10"/>
  <c r="AD769" i="10"/>
  <c r="AD773" i="10"/>
  <c r="AD777" i="10"/>
  <c r="AD781" i="10"/>
  <c r="AD785" i="10"/>
  <c r="AD789" i="10"/>
  <c r="AD793" i="10"/>
  <c r="AD797" i="10"/>
  <c r="AD801" i="10"/>
  <c r="AD805" i="10"/>
  <c r="AD809" i="10"/>
  <c r="AD873" i="10"/>
  <c r="AD877" i="10"/>
  <c r="AD881" i="10"/>
  <c r="AD885" i="10"/>
  <c r="AD889" i="10"/>
  <c r="AD893" i="10"/>
  <c r="AD897" i="10"/>
  <c r="AD901" i="10"/>
  <c r="AD933" i="10"/>
  <c r="AD945" i="10"/>
  <c r="AD949" i="10"/>
  <c r="AD953" i="10"/>
  <c r="AD957" i="10"/>
  <c r="AD961" i="10"/>
  <c r="AD965" i="10"/>
  <c r="AD969" i="10"/>
  <c r="AD973" i="10"/>
  <c r="AD977" i="10"/>
  <c r="AD1021" i="10"/>
  <c r="AD1025" i="10"/>
  <c r="AD1029" i="10"/>
  <c r="AD1033" i="10"/>
  <c r="AD1037" i="10"/>
  <c r="AD1041" i="10"/>
  <c r="AD1045" i="10"/>
  <c r="AD1049" i="10"/>
  <c r="AD1053" i="10"/>
  <c r="AD1101" i="10"/>
  <c r="AD1105" i="10"/>
  <c r="AD1109" i="10"/>
  <c r="AD1113" i="10"/>
  <c r="AD1117" i="10"/>
  <c r="AD1121" i="10"/>
  <c r="AD1125" i="10"/>
  <c r="AD1129" i="10"/>
  <c r="AD1133" i="10"/>
  <c r="AD1165" i="10"/>
  <c r="AD1177" i="10"/>
  <c r="AD1181" i="10"/>
  <c r="AD1185" i="10"/>
  <c r="AD1189" i="10"/>
  <c r="AD1193" i="10"/>
  <c r="AD1197" i="10"/>
  <c r="AD760" i="10"/>
  <c r="AD764" i="10"/>
  <c r="AD768" i="10"/>
  <c r="AD772" i="10"/>
  <c r="AD776" i="10"/>
  <c r="AD780" i="10"/>
  <c r="AD784" i="10"/>
  <c r="AD788" i="10"/>
  <c r="AD792" i="10"/>
  <c r="AD796" i="10"/>
  <c r="AD800" i="10"/>
  <c r="AD804" i="10"/>
  <c r="AD808" i="10"/>
  <c r="AD812" i="10"/>
  <c r="AD820" i="10"/>
  <c r="AD872" i="10"/>
  <c r="AD876" i="10"/>
  <c r="AD880" i="10"/>
  <c r="AD884" i="10"/>
  <c r="AD888" i="10"/>
  <c r="AD892" i="10"/>
  <c r="AD896" i="10"/>
  <c r="AD944" i="10"/>
  <c r="AD948" i="10"/>
  <c r="AD952" i="10"/>
  <c r="AD956" i="10"/>
  <c r="AD960" i="10"/>
  <c r="AD964" i="10"/>
  <c r="AD968" i="10"/>
  <c r="AD972" i="10"/>
  <c r="AD976" i="10"/>
  <c r="AD1020" i="10"/>
  <c r="AD1024" i="10"/>
  <c r="AD1028" i="10"/>
  <c r="AD1032" i="10"/>
  <c r="AD1036" i="10"/>
  <c r="AD1040" i="10"/>
  <c r="AD1044" i="10"/>
  <c r="AD1048" i="10"/>
  <c r="AD1088" i="10"/>
  <c r="AD1100" i="10"/>
  <c r="AD1104" i="10"/>
  <c r="AD1108" i="10"/>
  <c r="AD1112" i="10"/>
  <c r="AD1116" i="10"/>
  <c r="AD1120" i="10"/>
  <c r="AD1124" i="10"/>
  <c r="AD1128" i="10"/>
  <c r="AD1132" i="10"/>
  <c r="AD1187" i="10"/>
  <c r="AD1191" i="10"/>
  <c r="AD1195" i="10"/>
  <c r="AD1199" i="10"/>
  <c r="AD1235" i="10"/>
  <c r="AD1239" i="10"/>
  <c r="AD1243" i="10"/>
  <c r="AD1247" i="10"/>
  <c r="AD1251" i="10"/>
  <c r="AD1255" i="10"/>
  <c r="AD1259" i="10"/>
  <c r="AD1263" i="10"/>
  <c r="AD1267" i="10"/>
  <c r="AD1271" i="10"/>
  <c r="AD1275" i="10"/>
  <c r="AD1343" i="10"/>
  <c r="AD1347" i="10"/>
  <c r="AD1351" i="10"/>
  <c r="AD1355" i="10"/>
  <c r="AD1359" i="10"/>
  <c r="AD1363" i="10"/>
  <c r="AD1367" i="10"/>
  <c r="AD1371" i="10"/>
  <c r="AD1375" i="10"/>
  <c r="AD1379" i="10"/>
  <c r="AD1383" i="10"/>
  <c r="AD1387" i="10"/>
  <c r="AD1391" i="10"/>
  <c r="AD1395" i="10"/>
  <c r="AD1399" i="10"/>
  <c r="AD1411" i="10"/>
  <c r="AD1471" i="10"/>
  <c r="AD1483" i="10"/>
  <c r="AD1487" i="10"/>
  <c r="AD1491" i="10"/>
  <c r="AD1495" i="10"/>
  <c r="AD1499" i="10"/>
  <c r="AD1503" i="10"/>
  <c r="AD1507" i="10"/>
  <c r="AD1511" i="10"/>
  <c r="AD1515" i="10"/>
  <c r="AD1519" i="10"/>
  <c r="AD1523" i="10"/>
  <c r="AD1527" i="10"/>
  <c r="AD1531" i="10"/>
  <c r="AD1535" i="10"/>
  <c r="AD1539" i="10"/>
  <c r="AD1543" i="10"/>
  <c r="AD1547" i="10"/>
  <c r="AD1551" i="10"/>
  <c r="AD1555" i="10"/>
  <c r="AD1563" i="10"/>
  <c r="AD1635" i="10"/>
  <c r="AD1639" i="10"/>
  <c r="AD1643" i="10"/>
  <c r="AD1647" i="10"/>
  <c r="AD1651" i="10"/>
  <c r="AD1655" i="10"/>
  <c r="AD1659" i="10"/>
  <c r="AD1663" i="10"/>
  <c r="AD1667" i="10"/>
  <c r="AD1671" i="10"/>
  <c r="AD1675" i="10"/>
  <c r="AD1679" i="10"/>
  <c r="AD1683" i="10"/>
  <c r="AD1687" i="10"/>
  <c r="AD1691" i="10"/>
  <c r="AD1695" i="10"/>
  <c r="AD1699" i="10"/>
  <c r="AD1715" i="10"/>
  <c r="AD1791" i="10"/>
  <c r="AD1795" i="10"/>
  <c r="AD1799" i="10"/>
  <c r="AD1803" i="10"/>
  <c r="AD1807" i="10"/>
  <c r="AD1811" i="10"/>
  <c r="AD1815" i="10"/>
  <c r="AD1819" i="10"/>
  <c r="AD1823" i="10"/>
  <c r="AD1827" i="10"/>
  <c r="AD1831" i="10"/>
  <c r="AD1835" i="10"/>
  <c r="AD1839" i="10"/>
  <c r="AD1843" i="10"/>
  <c r="AD1847" i="10"/>
  <c r="AD1851" i="10"/>
  <c r="AD1855" i="10"/>
  <c r="AD1859" i="10"/>
  <c r="AD1867" i="10"/>
  <c r="AD1927" i="10"/>
  <c r="AD1931" i="10"/>
  <c r="AD1935" i="10"/>
  <c r="AD1939" i="10"/>
  <c r="AD1943" i="10"/>
  <c r="AD1947" i="10"/>
  <c r="AD1951" i="10"/>
  <c r="AD1955" i="10"/>
  <c r="AD1959" i="10"/>
  <c r="AD1963" i="10"/>
  <c r="AD1967" i="10"/>
  <c r="AD2023" i="10"/>
  <c r="AD2027" i="10"/>
  <c r="AD2031" i="10"/>
  <c r="AD2035" i="10"/>
  <c r="AD2039" i="10"/>
  <c r="AD2043" i="10"/>
  <c r="AD2047" i="10"/>
  <c r="AD2051" i="10"/>
  <c r="AD2055" i="10"/>
  <c r="AD2059" i="10"/>
  <c r="AD2063" i="10"/>
  <c r="AD2111" i="10"/>
  <c r="AD2115" i="10"/>
  <c r="AD2119" i="10"/>
  <c r="AD2123" i="10"/>
  <c r="AD2127" i="10"/>
  <c r="AD2131" i="10"/>
  <c r="AD2135" i="10"/>
  <c r="AD2139" i="10"/>
  <c r="AD2143" i="10"/>
  <c r="AD2147" i="10"/>
  <c r="AD2151" i="10"/>
  <c r="AD2155" i="10"/>
  <c r="AD2215" i="10"/>
  <c r="AD2219" i="10"/>
  <c r="AD2223" i="10"/>
  <c r="AD2227" i="10"/>
  <c r="AD2231" i="10"/>
  <c r="AD2235" i="10"/>
  <c r="AD2239" i="10"/>
  <c r="AD2243" i="10"/>
  <c r="AD2247" i="10"/>
  <c r="AD2251" i="10"/>
  <c r="AD2255" i="10"/>
  <c r="AD2259" i="10"/>
  <c r="AD2315" i="10"/>
  <c r="AD2319" i="10"/>
  <c r="AD2323" i="10"/>
  <c r="AD2327" i="10"/>
  <c r="AD2331" i="10"/>
  <c r="AD2335" i="10"/>
  <c r="AD2339" i="10"/>
  <c r="AD2343" i="10"/>
  <c r="AD2347" i="10"/>
  <c r="AD2351" i="10"/>
  <c r="AD2355" i="10"/>
  <c r="AD2399" i="10"/>
  <c r="AD2411" i="10"/>
  <c r="AD2415" i="10"/>
  <c r="AD2419" i="10"/>
  <c r="AD2423" i="10"/>
  <c r="AD2427" i="10"/>
  <c r="AD2431" i="10"/>
  <c r="AD2435" i="10"/>
  <c r="AD2439" i="10"/>
  <c r="AD2443" i="10"/>
  <c r="AD2447" i="10"/>
  <c r="AD2451" i="10"/>
  <c r="AD2499" i="10"/>
  <c r="AD2503" i="10"/>
  <c r="AD2507" i="10"/>
  <c r="AD2511" i="10"/>
  <c r="AD2515" i="10"/>
  <c r="AD2519" i="10"/>
  <c r="AD2523" i="10"/>
  <c r="AD2527" i="10"/>
  <c r="AD2531" i="10"/>
  <c r="AD2535" i="10"/>
  <c r="AD2539" i="10"/>
  <c r="AD2591" i="10"/>
  <c r="AD2595" i="10"/>
  <c r="AD2599" i="10"/>
  <c r="AD2603" i="10"/>
  <c r="AD2607" i="10"/>
  <c r="AD2611" i="10"/>
  <c r="AD2615" i="10"/>
  <c r="AD2619" i="10"/>
  <c r="AD2623" i="10"/>
  <c r="AD2627" i="10"/>
  <c r="AD2631" i="10"/>
  <c r="AD2635" i="10"/>
  <c r="AD2691" i="10"/>
  <c r="AD2695" i="10"/>
  <c r="AD2699" i="10"/>
  <c r="AD2703" i="10"/>
  <c r="AD2707" i="10"/>
  <c r="AD2711" i="10"/>
  <c r="AD2715" i="10"/>
  <c r="AD2747" i="10"/>
  <c r="AD2755" i="10"/>
  <c r="AD2759" i="10"/>
  <c r="AD2763" i="10"/>
  <c r="AD2767" i="10"/>
  <c r="AD2771" i="10"/>
  <c r="AD2775" i="10"/>
  <c r="AD2779" i="10"/>
  <c r="AD2783" i="10"/>
  <c r="AD2787" i="10"/>
  <c r="AD2791" i="10"/>
  <c r="AD2795" i="10"/>
  <c r="AD2839" i="10"/>
  <c r="AD2851" i="10"/>
  <c r="AD2855" i="10"/>
  <c r="AD2859" i="10"/>
  <c r="AD2863" i="10"/>
  <c r="AD2867" i="10"/>
  <c r="AD2871" i="10"/>
  <c r="AD2875" i="10"/>
  <c r="AD2879" i="10"/>
  <c r="AD2919" i="10"/>
  <c r="AD2923" i="10"/>
  <c r="AD2927" i="10"/>
  <c r="AD2931" i="10"/>
  <c r="AD2935" i="10"/>
  <c r="AD2939" i="10"/>
  <c r="AD2971" i="10"/>
  <c r="AD2975" i="10"/>
  <c r="AD2979" i="10"/>
  <c r="AD2983" i="10"/>
  <c r="AD2987" i="10"/>
  <c r="AD2991" i="10"/>
  <c r="AD2995" i="10"/>
  <c r="AD2999" i="10"/>
  <c r="AD3003" i="10"/>
  <c r="AD3007" i="10"/>
  <c r="AD3011" i="10"/>
  <c r="AD3015" i="10"/>
  <c r="AD3075" i="10"/>
  <c r="AD3079" i="10"/>
  <c r="AD3083" i="10"/>
  <c r="AD3087" i="10"/>
  <c r="AD3091" i="10"/>
  <c r="AD3095" i="10"/>
  <c r="AD3099" i="10"/>
  <c r="AD3103" i="10"/>
  <c r="AD3107" i="10"/>
  <c r="AD3111" i="10"/>
  <c r="AD3115" i="10"/>
  <c r="AD3119" i="10"/>
  <c r="AD3123" i="10"/>
  <c r="AD3127" i="10"/>
  <c r="AD3135" i="10"/>
  <c r="AD3187" i="10"/>
  <c r="AD3203" i="10"/>
  <c r="AD1202" i="10"/>
  <c r="AD1234" i="10"/>
  <c r="AD1238" i="10"/>
  <c r="AD1242" i="10"/>
  <c r="AD1246" i="10"/>
  <c r="AD1250" i="10"/>
  <c r="AD1254" i="10"/>
  <c r="AD1258" i="10"/>
  <c r="AD1262" i="10"/>
  <c r="AD1266" i="10"/>
  <c r="AD1270" i="10"/>
  <c r="AD1274" i="10"/>
  <c r="AD1278" i="10"/>
  <c r="AD1342" i="10"/>
  <c r="AD1346" i="10"/>
  <c r="AD1350" i="10"/>
  <c r="AD1354" i="10"/>
  <c r="AD1358" i="10"/>
  <c r="AD1362" i="10"/>
  <c r="AD1366" i="10"/>
  <c r="AD1370" i="10"/>
  <c r="AD1374" i="10"/>
  <c r="AD1378" i="10"/>
  <c r="AD1382" i="10"/>
  <c r="AD1386" i="10"/>
  <c r="AD1390" i="10"/>
  <c r="AD1394" i="10"/>
  <c r="AD1398" i="10"/>
  <c r="AD1410" i="10"/>
  <c r="AD1486" i="10"/>
  <c r="AD1490" i="10"/>
  <c r="AD1494" i="10"/>
  <c r="AD1498" i="10"/>
  <c r="AD1502" i="10"/>
  <c r="AD1506" i="10"/>
  <c r="AD1510" i="10"/>
  <c r="AD1514" i="10"/>
  <c r="AD1518" i="10"/>
  <c r="AD1522" i="10"/>
  <c r="AD1526" i="10"/>
  <c r="AD1530" i="10"/>
  <c r="AD1534" i="10"/>
  <c r="AD1538" i="10"/>
  <c r="AD1542" i="10"/>
  <c r="AD1546" i="10"/>
  <c r="AD1550" i="10"/>
  <c r="AD1554" i="10"/>
  <c r="AD1562" i="10"/>
  <c r="AD1638" i="10"/>
  <c r="AD1642" i="10"/>
  <c r="AD1646" i="10"/>
  <c r="AD1650" i="10"/>
  <c r="AD1654" i="10"/>
  <c r="AD1658" i="10"/>
  <c r="AD1662" i="10"/>
  <c r="AD1666" i="10"/>
  <c r="AD1670" i="10"/>
  <c r="AD1674" i="10"/>
  <c r="AD1678" i="10"/>
  <c r="AD1682" i="10"/>
  <c r="AD1686" i="10"/>
  <c r="AD1690" i="10"/>
  <c r="AD1694" i="10"/>
  <c r="AD1698" i="10"/>
  <c r="AD1702" i="10"/>
  <c r="AD1714" i="10"/>
  <c r="AD1790" i="10"/>
  <c r="AD1794" i="10"/>
  <c r="AD1798" i="10"/>
  <c r="AD1802" i="10"/>
  <c r="AD1806" i="10"/>
  <c r="AD1810" i="10"/>
  <c r="AD1814" i="10"/>
  <c r="AD1818" i="10"/>
  <c r="AD1822" i="10"/>
  <c r="AD1826" i="10"/>
  <c r="AD1830" i="10"/>
  <c r="AD1834" i="10"/>
  <c r="AD1838" i="10"/>
  <c r="AD1842" i="10"/>
  <c r="AD1846" i="10"/>
  <c r="AD1850" i="10"/>
  <c r="AD1854" i="10"/>
  <c r="AD1858" i="10"/>
  <c r="AD1866" i="10"/>
  <c r="AD1914" i="10"/>
  <c r="AD1926" i="10"/>
  <c r="AD1930" i="10"/>
  <c r="AD1934" i="10"/>
  <c r="AD1938" i="10"/>
  <c r="AD1942" i="10"/>
  <c r="AD1946" i="10"/>
  <c r="AD1950" i="10"/>
  <c r="AD1954" i="10"/>
  <c r="AD1958" i="10"/>
  <c r="AD1962" i="10"/>
  <c r="AD1966" i="10"/>
  <c r="AD2010" i="10"/>
  <c r="AD2022" i="10"/>
  <c r="AD2026" i="10"/>
  <c r="AD2030" i="10"/>
  <c r="AD2034" i="10"/>
  <c r="AD2038" i="10"/>
  <c r="AD2042" i="10"/>
  <c r="AD2046" i="10"/>
  <c r="AD2050" i="10"/>
  <c r="AD2054" i="10"/>
  <c r="AD2058" i="10"/>
  <c r="AD2110" i="10"/>
  <c r="AD2114" i="10"/>
  <c r="AD2118" i="10"/>
  <c r="AD2122" i="10"/>
  <c r="AD2126" i="10"/>
  <c r="AD2130" i="10"/>
  <c r="AD2134" i="10"/>
  <c r="AD2138" i="10"/>
  <c r="AD2142" i="10"/>
  <c r="AD2146" i="10"/>
  <c r="AD2150" i="10"/>
  <c r="AD2154" i="10"/>
  <c r="AD2218" i="10"/>
  <c r="AD2222" i="10"/>
  <c r="AD2226" i="10"/>
  <c r="AD2230" i="10"/>
  <c r="AD2234" i="10"/>
  <c r="AD2238" i="10"/>
  <c r="AD2242" i="10"/>
  <c r="AD2246" i="10"/>
  <c r="AD2250" i="10"/>
  <c r="AD2254" i="10"/>
  <c r="AD2258" i="10"/>
  <c r="AD2262" i="10"/>
  <c r="AD2318" i="10"/>
  <c r="AD2322" i="10"/>
  <c r="AD2326" i="10"/>
  <c r="AD2330" i="10"/>
  <c r="AD2334" i="10"/>
  <c r="AD2338" i="10"/>
  <c r="AD2342" i="10"/>
  <c r="AD2346" i="10"/>
  <c r="AD2350" i="10"/>
  <c r="AD2354" i="10"/>
  <c r="AD2358" i="10"/>
  <c r="AD2410" i="10"/>
  <c r="AD2414" i="10"/>
  <c r="AD2418" i="10"/>
  <c r="AD2422" i="10"/>
  <c r="AD2426" i="10"/>
  <c r="AD2430" i="10"/>
  <c r="AD2434" i="10"/>
  <c r="AD2438" i="10"/>
  <c r="AD2442" i="10"/>
  <c r="AD2446" i="10"/>
  <c r="AD2450" i="10"/>
  <c r="AD2454" i="10"/>
  <c r="AD2502" i="10"/>
  <c r="AD2506" i="10"/>
  <c r="AD2510" i="10"/>
  <c r="AD2514" i="10"/>
  <c r="AD2518" i="10"/>
  <c r="AD2522" i="10"/>
  <c r="AD2526" i="10"/>
  <c r="AD2530" i="10"/>
  <c r="AD2534" i="10"/>
  <c r="AD2538" i="10"/>
  <c r="AD2542" i="10"/>
  <c r="AD2594" i="10"/>
  <c r="AD2598" i="10"/>
  <c r="AD2602" i="10"/>
  <c r="AD2606" i="10"/>
  <c r="AD2610" i="10"/>
  <c r="AD2614" i="10"/>
  <c r="AD2618" i="10"/>
  <c r="AD2622" i="10"/>
  <c r="AD2626" i="10"/>
  <c r="AD2630" i="10"/>
  <c r="AD2634" i="10"/>
  <c r="AD2638" i="10"/>
  <c r="AD2678" i="10"/>
  <c r="AD2690" i="10"/>
  <c r="AD2694" i="10"/>
  <c r="AD2698" i="10"/>
  <c r="AD2702" i="10"/>
  <c r="AD2706" i="10"/>
  <c r="AD2710" i="10"/>
  <c r="AD2714" i="10"/>
  <c r="AD2758" i="10"/>
  <c r="AD2762" i="10"/>
  <c r="AD2766" i="10"/>
  <c r="AD2770" i="10"/>
  <c r="AD2774" i="10"/>
  <c r="AD2778" i="10"/>
  <c r="AD2782" i="10"/>
  <c r="AD2786" i="10"/>
  <c r="AD2790" i="10"/>
  <c r="AD2794" i="10"/>
  <c r="AD2798" i="10"/>
  <c r="AD2850" i="10"/>
  <c r="AD2854" i="10"/>
  <c r="AD2858" i="10"/>
  <c r="AD2862" i="10"/>
  <c r="AD2866" i="10"/>
  <c r="AD2870" i="10"/>
  <c r="AD2874" i="10"/>
  <c r="AD2878" i="10"/>
  <c r="AD2882" i="10"/>
  <c r="AD2910" i="10"/>
  <c r="AD2918" i="10"/>
  <c r="AD2922" i="10"/>
  <c r="AD2926" i="10"/>
  <c r="AD2930" i="10"/>
  <c r="AD2934" i="10"/>
  <c r="AD2966" i="10"/>
  <c r="AD2970" i="10"/>
  <c r="AD2974" i="10"/>
  <c r="AD2978" i="10"/>
  <c r="AD2982" i="10"/>
  <c r="AD2986" i="10"/>
  <c r="AD2990" i="10"/>
  <c r="AD2994" i="10"/>
  <c r="AD2998" i="10"/>
  <c r="AD3002" i="10"/>
  <c r="AD3006" i="10"/>
  <c r="AD3010" i="10"/>
  <c r="AD3014" i="10"/>
  <c r="AD3022" i="10"/>
  <c r="AD3074" i="10"/>
  <c r="AD3078" i="10"/>
  <c r="AD3082" i="10"/>
  <c r="AD3086" i="10"/>
  <c r="AD3090" i="10"/>
  <c r="AD3094" i="10"/>
  <c r="AD3098" i="10"/>
  <c r="AD3102" i="10"/>
  <c r="AD3106" i="10"/>
  <c r="AD3110" i="10"/>
  <c r="AD3114" i="10"/>
  <c r="AD3118" i="10"/>
  <c r="AD3122" i="10"/>
  <c r="AD3126" i="10"/>
  <c r="AD3138" i="10"/>
  <c r="AD3202" i="10"/>
  <c r="AD1201" i="10"/>
  <c r="AD1205" i="10"/>
  <c r="AD1233" i="10"/>
  <c r="AD1237" i="10"/>
  <c r="AD1241" i="10"/>
  <c r="AD1245" i="10"/>
  <c r="AD1249" i="10"/>
  <c r="AD1253" i="10"/>
  <c r="AD1257" i="10"/>
  <c r="AD1261" i="10"/>
  <c r="AD1265" i="10"/>
  <c r="AD1269" i="10"/>
  <c r="AD1273" i="10"/>
  <c r="AD1277" i="10"/>
  <c r="AD1285" i="10"/>
  <c r="AD1345" i="10"/>
  <c r="AD1349" i="10"/>
  <c r="AD1353" i="10"/>
  <c r="AD1357" i="10"/>
  <c r="AD1361" i="10"/>
  <c r="AD1365" i="10"/>
  <c r="AD1369" i="10"/>
  <c r="AD1373" i="10"/>
  <c r="AD1377" i="10"/>
  <c r="AD1381" i="10"/>
  <c r="AD1385" i="10"/>
  <c r="AD1389" i="10"/>
  <c r="AD1393" i="10"/>
  <c r="AD1397" i="10"/>
  <c r="AD1401" i="10"/>
  <c r="AD1485" i="10"/>
  <c r="AD1489" i="10"/>
  <c r="AD1493" i="10"/>
  <c r="AD1497" i="10"/>
  <c r="AD1501" i="10"/>
  <c r="AD1505" i="10"/>
  <c r="AD1509" i="10"/>
  <c r="AD1513" i="10"/>
  <c r="AD1517" i="10"/>
  <c r="AD1521" i="10"/>
  <c r="AD1525" i="10"/>
  <c r="AD1529" i="10"/>
  <c r="AD1533" i="10"/>
  <c r="AD1537" i="10"/>
  <c r="AD1541" i="10"/>
  <c r="AD1545" i="10"/>
  <c r="AD1549" i="10"/>
  <c r="AD1553" i="10"/>
  <c r="AD1561" i="10"/>
  <c r="AD1637" i="10"/>
  <c r="AD1641" i="10"/>
  <c r="AD1645" i="10"/>
  <c r="AD1649" i="10"/>
  <c r="AD1653" i="10"/>
  <c r="AD1657" i="10"/>
  <c r="AD1661" i="10"/>
  <c r="AD1665" i="10"/>
  <c r="AD1669" i="10"/>
  <c r="AD1673" i="10"/>
  <c r="AD1677" i="10"/>
  <c r="AD1681" i="10"/>
  <c r="AD1685" i="10"/>
  <c r="AD1689" i="10"/>
  <c r="AD1693" i="10"/>
  <c r="AD1697" i="10"/>
  <c r="AD1701" i="10"/>
  <c r="AD1793" i="10"/>
  <c r="AD1797" i="10"/>
  <c r="AD1801" i="10"/>
  <c r="AD1805" i="10"/>
  <c r="AD1809" i="10"/>
  <c r="AD1813" i="10"/>
  <c r="AD1817" i="10"/>
  <c r="AD1821" i="10"/>
  <c r="AD1825" i="10"/>
  <c r="AD1829" i="10"/>
  <c r="AD1833" i="10"/>
  <c r="AD1837" i="10"/>
  <c r="AD1841" i="10"/>
  <c r="AD1845" i="10"/>
  <c r="AD1849" i="10"/>
  <c r="AD1853" i="10"/>
  <c r="AD1857" i="10"/>
  <c r="AD1865" i="10"/>
  <c r="AD1925" i="10"/>
  <c r="AD1929" i="10"/>
  <c r="AD1933" i="10"/>
  <c r="AD1937" i="10"/>
  <c r="AD1941" i="10"/>
  <c r="AD1945" i="10"/>
  <c r="AD1949" i="10"/>
  <c r="AD1953" i="10"/>
  <c r="AD1957" i="10"/>
  <c r="AD1961" i="10"/>
  <c r="AD1965" i="10"/>
  <c r="AD1969" i="10"/>
  <c r="AD2021" i="10"/>
  <c r="AD2025" i="10"/>
  <c r="AD2029" i="10"/>
  <c r="AD2033" i="10"/>
  <c r="AD2037" i="10"/>
  <c r="AD2041" i="10"/>
  <c r="AD2045" i="10"/>
  <c r="AD2049" i="10"/>
  <c r="AD2053" i="10"/>
  <c r="AD2057" i="10"/>
  <c r="AD2109" i="10"/>
  <c r="AD2113" i="10"/>
  <c r="AD2117" i="10"/>
  <c r="AD2121" i="10"/>
  <c r="AD2125" i="10"/>
  <c r="AD2129" i="10"/>
  <c r="AD2133" i="10"/>
  <c r="AD2137" i="10"/>
  <c r="AD2141" i="10"/>
  <c r="AD2145" i="10"/>
  <c r="AD2149" i="10"/>
  <c r="AD2153" i="10"/>
  <c r="AD2157" i="10"/>
  <c r="AD2161" i="10"/>
  <c r="AD2201" i="10"/>
  <c r="AD2217" i="10"/>
  <c r="AD2221" i="10"/>
  <c r="AD2225" i="10"/>
  <c r="AD2229" i="10"/>
  <c r="AD2233" i="10"/>
  <c r="AD2237" i="10"/>
  <c r="AD2241" i="10"/>
  <c r="AD2245" i="10"/>
  <c r="AD2249" i="10"/>
  <c r="AD2253" i="10"/>
  <c r="AD2257" i="10"/>
  <c r="AD2301" i="10"/>
  <c r="AD2317" i="10"/>
  <c r="AD2321" i="10"/>
  <c r="AD2325" i="10"/>
  <c r="AD2329" i="10"/>
  <c r="AD2333" i="10"/>
  <c r="AD2337" i="10"/>
  <c r="AD2341" i="10"/>
  <c r="AD2345" i="10"/>
  <c r="AD2349" i="10"/>
  <c r="AD2353" i="10"/>
  <c r="AD2357" i="10"/>
  <c r="AD2361" i="10"/>
  <c r="AD2413" i="10"/>
  <c r="AD2417" i="10"/>
  <c r="AD2421" i="10"/>
  <c r="AD2425" i="10"/>
  <c r="AD2429" i="10"/>
  <c r="AD2433" i="10"/>
  <c r="AD2437" i="10"/>
  <c r="AD2441" i="10"/>
  <c r="AD2445" i="10"/>
  <c r="AD2449" i="10"/>
  <c r="AD2501" i="10"/>
  <c r="AD2505" i="10"/>
  <c r="AD2509" i="10"/>
  <c r="AD2513" i="10"/>
  <c r="AD2517" i="10"/>
  <c r="AD2521" i="10"/>
  <c r="AD2525" i="10"/>
  <c r="AD2529" i="10"/>
  <c r="AD2533" i="10"/>
  <c r="AD2537" i="10"/>
  <c r="AD2541" i="10"/>
  <c r="AD2545" i="10"/>
  <c r="AD2593" i="10"/>
  <c r="AD2597" i="10"/>
  <c r="AD2601" i="10"/>
  <c r="AD2605" i="10"/>
  <c r="AD2609" i="10"/>
  <c r="AD2613" i="10"/>
  <c r="AD2617" i="10"/>
  <c r="AD2621" i="10"/>
  <c r="AD2625" i="10"/>
  <c r="AD2629" i="10"/>
  <c r="AD2633" i="10"/>
  <c r="AD2689" i="10"/>
  <c r="AD2693" i="10"/>
  <c r="AD2697" i="10"/>
  <c r="AD2701" i="10"/>
  <c r="AD2705" i="10"/>
  <c r="AD2709" i="10"/>
  <c r="AD2713" i="10"/>
  <c r="AD2717" i="10"/>
  <c r="AD2757" i="10"/>
  <c r="AD2761" i="10"/>
  <c r="AD2765" i="10"/>
  <c r="AD2769" i="10"/>
  <c r="AD2773" i="10"/>
  <c r="AD2777" i="10"/>
  <c r="AD2781" i="10"/>
  <c r="AD2785" i="10"/>
  <c r="AD2789" i="10"/>
  <c r="AD2793" i="10"/>
  <c r="AD2797" i="10"/>
  <c r="AD2801" i="10"/>
  <c r="AD2853" i="10"/>
  <c r="AD2857" i="10"/>
  <c r="AD2861" i="10"/>
  <c r="AD2865" i="10"/>
  <c r="AD2869" i="10"/>
  <c r="AD2873" i="10"/>
  <c r="AD2877" i="10"/>
  <c r="AD2921" i="10"/>
  <c r="AD2925" i="10"/>
  <c r="AD2929" i="10"/>
  <c r="AD2933" i="10"/>
  <c r="AD2973" i="10"/>
  <c r="AD2977" i="10"/>
  <c r="AD2981" i="10"/>
  <c r="AD2985" i="10"/>
  <c r="AD2989" i="10"/>
  <c r="AD2993" i="10"/>
  <c r="AD2997" i="10"/>
  <c r="AD3001" i="10"/>
  <c r="AD3005" i="10"/>
  <c r="AD3009" i="10"/>
  <c r="AD3013" i="10"/>
  <c r="AD3017" i="10"/>
  <c r="AD3021" i="10"/>
  <c r="AD3073" i="10"/>
  <c r="AD3077" i="10"/>
  <c r="AD3081" i="10"/>
  <c r="AD3085" i="10"/>
  <c r="AD3089" i="10"/>
  <c r="AD3093" i="10"/>
  <c r="AD3097" i="10"/>
  <c r="AD3101" i="10"/>
  <c r="AD3105" i="10"/>
  <c r="AD3109" i="10"/>
  <c r="AD3113" i="10"/>
  <c r="AD3117" i="10"/>
  <c r="AD3121" i="10"/>
  <c r="AD3125" i="10"/>
  <c r="AD3137" i="10"/>
  <c r="AD3201" i="10"/>
  <c r="AD1176" i="10"/>
  <c r="AD1180" i="10"/>
  <c r="AD1184" i="10"/>
  <c r="AD1188" i="10"/>
  <c r="AD1192" i="10"/>
  <c r="AD1196" i="10"/>
  <c r="AD1200" i="10"/>
  <c r="AD1232" i="10"/>
  <c r="AD1236" i="10"/>
  <c r="AD1240" i="10"/>
  <c r="AD1244" i="10"/>
  <c r="AD1248" i="10"/>
  <c r="AD1252" i="10"/>
  <c r="AD1256" i="10"/>
  <c r="AD1260" i="10"/>
  <c r="AD1264" i="10"/>
  <c r="AD1268" i="10"/>
  <c r="AD1272" i="10"/>
  <c r="AD1276" i="10"/>
  <c r="AD1344" i="10"/>
  <c r="AD1348" i="10"/>
  <c r="AD1352" i="10"/>
  <c r="AD1356" i="10"/>
  <c r="AD1360" i="10"/>
  <c r="AD1364" i="10"/>
  <c r="AD1368" i="10"/>
  <c r="AD1372" i="10"/>
  <c r="AD1376" i="10"/>
  <c r="AD1380" i="10"/>
  <c r="AD1384" i="10"/>
  <c r="AD1388" i="10"/>
  <c r="AD1392" i="10"/>
  <c r="AD1396" i="10"/>
  <c r="AD1400" i="10"/>
  <c r="AD1412" i="10"/>
  <c r="AD1484" i="10"/>
  <c r="AD1488" i="10"/>
  <c r="AD1492" i="10"/>
  <c r="AD1496" i="10"/>
  <c r="AD1500" i="10"/>
  <c r="AD1504" i="10"/>
  <c r="AD1508" i="10"/>
  <c r="AD1512" i="10"/>
  <c r="AD1516" i="10"/>
  <c r="AD1520" i="10"/>
  <c r="AD1524" i="10"/>
  <c r="AD1528" i="10"/>
  <c r="AD1532" i="10"/>
  <c r="AD1536" i="10"/>
  <c r="AD1540" i="10"/>
  <c r="AD1544" i="10"/>
  <c r="AD1548" i="10"/>
  <c r="AD1552" i="10"/>
  <c r="AD1564" i="10"/>
  <c r="AD1636" i="10"/>
  <c r="AD1640" i="10"/>
  <c r="AD1644" i="10"/>
  <c r="AD1648" i="10"/>
  <c r="AD1652" i="10"/>
  <c r="AD1656" i="10"/>
  <c r="AD1660" i="10"/>
  <c r="AD1664" i="10"/>
  <c r="AD1668" i="10"/>
  <c r="AD1672" i="10"/>
  <c r="AD1676" i="10"/>
  <c r="AD1680" i="10"/>
  <c r="AD1684" i="10"/>
  <c r="AD1688" i="10"/>
  <c r="AD1692" i="10"/>
  <c r="AD1696" i="10"/>
  <c r="AD1700" i="10"/>
  <c r="AD1716" i="10"/>
  <c r="AD1792" i="10"/>
  <c r="AD1796" i="10"/>
  <c r="AD1800" i="10"/>
  <c r="AD1804" i="10"/>
  <c r="AD1808" i="10"/>
  <c r="AD1812" i="10"/>
  <c r="AD1816" i="10"/>
  <c r="AD1820" i="10"/>
  <c r="AD1824" i="10"/>
  <c r="AD1828" i="10"/>
  <c r="AD1832" i="10"/>
  <c r="AD1836" i="10"/>
  <c r="AD1840" i="10"/>
  <c r="AD1844" i="10"/>
  <c r="AD1848" i="10"/>
  <c r="AD1852" i="10"/>
  <c r="AD1856" i="10"/>
  <c r="AD1868" i="10"/>
  <c r="AD1928" i="10"/>
  <c r="AD1932" i="10"/>
  <c r="AD1936" i="10"/>
  <c r="AD1940" i="10"/>
  <c r="AD1944" i="10"/>
  <c r="AD1948" i="10"/>
  <c r="AD1952" i="10"/>
  <c r="AD1956" i="10"/>
  <c r="AD1960" i="10"/>
  <c r="AD1964" i="10"/>
  <c r="AD1968" i="10"/>
  <c r="AD1972" i="10"/>
  <c r="AD2024" i="10"/>
  <c r="AD2028" i="10"/>
  <c r="AD2032" i="10"/>
  <c r="AD2036" i="10"/>
  <c r="AD2040" i="10"/>
  <c r="AD2044" i="10"/>
  <c r="AD2048" i="10"/>
  <c r="AD2052" i="10"/>
  <c r="AD2056" i="10"/>
  <c r="AD2064" i="10"/>
  <c r="AD2112" i="10"/>
  <c r="AD2116" i="10"/>
  <c r="AD2120" i="10"/>
  <c r="AD2124" i="10"/>
  <c r="AD2128" i="10"/>
  <c r="AD2132" i="10"/>
  <c r="AD2136" i="10"/>
  <c r="AD2140" i="10"/>
  <c r="AD2144" i="10"/>
  <c r="AD2148" i="10"/>
  <c r="AD2152" i="10"/>
  <c r="AD2156" i="10"/>
  <c r="AD2216" i="10"/>
  <c r="AD2220" i="10"/>
  <c r="AD2224" i="10"/>
  <c r="AD2228" i="10"/>
  <c r="AD2232" i="10"/>
  <c r="AD2236" i="10"/>
  <c r="AD2240" i="10"/>
  <c r="AD2244" i="10"/>
  <c r="AD2248" i="10"/>
  <c r="AD2252" i="10"/>
  <c r="AD2256" i="10"/>
  <c r="AD2316" i="10"/>
  <c r="AD2320" i="10"/>
  <c r="AD2324" i="10"/>
  <c r="AD2328" i="10"/>
  <c r="AD2332" i="10"/>
  <c r="AD2336" i="10"/>
  <c r="AD2340" i="10"/>
  <c r="AD2344" i="10"/>
  <c r="AD2348" i="10"/>
  <c r="AD2352" i="10"/>
  <c r="AD2356" i="10"/>
  <c r="AD2412" i="10"/>
  <c r="AD2416" i="10"/>
  <c r="AD2420" i="10"/>
  <c r="AD2424" i="10"/>
  <c r="AD2428" i="10"/>
  <c r="AD2432" i="10"/>
  <c r="AD2436" i="10"/>
  <c r="AD2440" i="10"/>
  <c r="AD2444" i="10"/>
  <c r="AD2448" i="10"/>
  <c r="AD2488" i="10"/>
  <c r="AD2500" i="10"/>
  <c r="AD2504" i="10"/>
  <c r="AD2508" i="10"/>
  <c r="AD2512" i="10"/>
  <c r="AD2516" i="10"/>
  <c r="AD2520" i="10"/>
  <c r="AD2524" i="10"/>
  <c r="AD2528" i="10"/>
  <c r="AD2532" i="10"/>
  <c r="AD2536" i="10"/>
  <c r="AD2540" i="10"/>
  <c r="AD2580" i="10"/>
  <c r="AD2592" i="10"/>
  <c r="AD2596" i="10"/>
  <c r="AD2600" i="10"/>
  <c r="AD2604" i="10"/>
  <c r="AD2608" i="10"/>
  <c r="AD2612" i="10"/>
  <c r="AD2616" i="10"/>
  <c r="AD2620" i="10"/>
  <c r="AD2624" i="10"/>
  <c r="AD2628" i="10"/>
  <c r="AD2632" i="10"/>
  <c r="AD2692" i="10"/>
  <c r="AD2696" i="10"/>
  <c r="AD2700" i="10"/>
  <c r="AD2704" i="10"/>
  <c r="AD2708" i="10"/>
  <c r="AD2712" i="10"/>
  <c r="AD2716" i="10"/>
  <c r="AD2720" i="10"/>
  <c r="AD2756" i="10"/>
  <c r="AD2760" i="10"/>
  <c r="AD2764" i="10"/>
  <c r="AD2768" i="10"/>
  <c r="AD2772" i="10"/>
  <c r="AD2776" i="10"/>
  <c r="AD2780" i="10"/>
  <c r="AD2784" i="10"/>
  <c r="AD2788" i="10"/>
  <c r="AD2792" i="10"/>
  <c r="AD2796" i="10"/>
  <c r="AD2852" i="10"/>
  <c r="AD2856" i="10"/>
  <c r="AD2860" i="10"/>
  <c r="AD2864" i="10"/>
  <c r="AD2868" i="10"/>
  <c r="AD2872" i="10"/>
  <c r="AD2876" i="10"/>
  <c r="AD2920" i="10"/>
  <c r="AD2924" i="10"/>
  <c r="AD2928" i="10"/>
  <c r="AD2932" i="10"/>
  <c r="AD2936" i="10"/>
  <c r="AD2972" i="10"/>
  <c r="AD2976" i="10"/>
  <c r="AD2980" i="10"/>
  <c r="AD2984" i="10"/>
  <c r="AD2988" i="10"/>
  <c r="AD2992" i="10"/>
  <c r="AD2996" i="10"/>
  <c r="AD3000" i="10"/>
  <c r="AD3004" i="10"/>
  <c r="AD3008" i="10"/>
  <c r="AD3012" i="10"/>
  <c r="AD3016" i="10"/>
  <c r="AD3076" i="10"/>
  <c r="AD3080" i="10"/>
  <c r="AD3084" i="10"/>
  <c r="AD3088" i="10"/>
  <c r="AD3092" i="10"/>
  <c r="AD3096" i="10"/>
  <c r="AD3100" i="10"/>
  <c r="AD3104" i="10"/>
  <c r="AD3108" i="10"/>
  <c r="AD3112" i="10"/>
  <c r="AD3116" i="10"/>
  <c r="AD3120" i="10"/>
  <c r="AD3124" i="10"/>
  <c r="AD3128" i="10"/>
  <c r="AD3136" i="10"/>
  <c r="AD3200" i="10"/>
  <c r="AX41" i="1"/>
  <c r="AX37" i="1"/>
  <c r="AX33" i="1"/>
  <c r="AW43" i="1"/>
  <c r="AW39" i="1"/>
  <c r="AW35" i="1"/>
  <c r="AW31" i="1"/>
  <c r="AV41" i="1"/>
  <c r="AV37" i="1"/>
  <c r="AV33" i="1"/>
  <c r="AU43" i="1"/>
  <c r="AU39" i="1"/>
  <c r="AU35" i="1"/>
  <c r="AU31" i="1"/>
  <c r="AT41" i="1"/>
  <c r="AT37" i="1"/>
  <c r="AT33" i="1"/>
  <c r="AS43" i="1"/>
  <c r="AS39" i="1"/>
  <c r="AS35" i="1"/>
  <c r="AS31" i="1"/>
  <c r="AR41" i="1"/>
  <c r="AR37" i="1"/>
  <c r="AR33" i="1"/>
  <c r="AQ43" i="1"/>
  <c r="AQ39" i="1"/>
  <c r="AQ35" i="1"/>
  <c r="AQ31" i="1"/>
  <c r="AP41" i="1"/>
  <c r="AP37" i="1"/>
  <c r="AP33" i="1"/>
  <c r="AO32" i="1"/>
  <c r="AO36" i="1"/>
  <c r="AO40" i="1"/>
  <c r="AO44" i="1"/>
  <c r="AN41" i="1"/>
  <c r="AN37" i="1"/>
  <c r="AN33" i="1"/>
  <c r="AM43" i="1"/>
  <c r="AM39" i="1"/>
  <c r="AM35" i="1"/>
  <c r="AM31" i="1"/>
  <c r="AL41" i="1"/>
  <c r="AL37" i="1"/>
  <c r="AL33" i="1"/>
  <c r="AK43" i="1"/>
  <c r="AK39" i="1"/>
  <c r="AK35" i="1"/>
  <c r="AK31" i="1"/>
  <c r="AJ41" i="1"/>
  <c r="AJ37" i="1"/>
  <c r="AJ33" i="1"/>
  <c r="AA43" i="1"/>
  <c r="AA39" i="1"/>
  <c r="AA35" i="1"/>
  <c r="AA31" i="1"/>
  <c r="W41" i="1"/>
  <c r="W37" i="1"/>
  <c r="W33" i="1"/>
  <c r="V43" i="1"/>
  <c r="V39" i="1"/>
  <c r="V35" i="1"/>
  <c r="V31" i="1"/>
  <c r="U41" i="1"/>
  <c r="U37" i="1"/>
  <c r="U33" i="1"/>
  <c r="T43" i="1"/>
  <c r="T39" i="1"/>
  <c r="T35" i="1"/>
  <c r="T31" i="1"/>
  <c r="S41" i="1"/>
  <c r="S37" i="1"/>
  <c r="S33" i="1"/>
  <c r="R43" i="1"/>
  <c r="R39" i="1"/>
  <c r="R35" i="1"/>
  <c r="R31" i="1"/>
  <c r="Q41" i="1"/>
  <c r="Q37" i="1"/>
  <c r="Q33" i="1"/>
  <c r="P43" i="1"/>
  <c r="P39" i="1"/>
  <c r="P35" i="1"/>
  <c r="P31" i="1"/>
  <c r="O41" i="1"/>
  <c r="O37" i="1"/>
  <c r="O33" i="1"/>
  <c r="N43" i="1"/>
  <c r="N39" i="1"/>
  <c r="N35" i="1"/>
  <c r="N31" i="1"/>
  <c r="M41" i="1"/>
  <c r="M37" i="1"/>
  <c r="M33" i="1"/>
  <c r="L43" i="1"/>
  <c r="L39" i="1"/>
  <c r="L35" i="1"/>
  <c r="L31" i="1"/>
  <c r="K41" i="1"/>
  <c r="K37" i="1"/>
  <c r="K33" i="1"/>
  <c r="J43" i="1"/>
  <c r="J39" i="1"/>
  <c r="J35" i="1"/>
  <c r="J31" i="1"/>
  <c r="I41" i="1"/>
  <c r="I37" i="1"/>
  <c r="I33" i="1"/>
  <c r="H43" i="1"/>
  <c r="H39" i="1"/>
  <c r="H35" i="1"/>
  <c r="H31" i="1"/>
  <c r="G41" i="1"/>
  <c r="G37" i="1"/>
  <c r="G33" i="1"/>
  <c r="F43" i="1"/>
  <c r="F39" i="1"/>
  <c r="F35" i="1"/>
  <c r="F31" i="1"/>
  <c r="AX43" i="1"/>
  <c r="AX31" i="1"/>
  <c r="AW37" i="1"/>
  <c r="AV43" i="1"/>
  <c r="AV35" i="1"/>
  <c r="AU41" i="1"/>
  <c r="AU33" i="1"/>
  <c r="AT39" i="1"/>
  <c r="AT31" i="1"/>
  <c r="AS37" i="1"/>
  <c r="AR43" i="1"/>
  <c r="AR35" i="1"/>
  <c r="AQ41" i="1"/>
  <c r="AQ33" i="1"/>
  <c r="AP39" i="1"/>
  <c r="AP31" i="1"/>
  <c r="AO38" i="1"/>
  <c r="AN43" i="1"/>
  <c r="AN39" i="1"/>
  <c r="AN31" i="1"/>
  <c r="AM37" i="1"/>
  <c r="AL43" i="1"/>
  <c r="AL35" i="1"/>
  <c r="AK41" i="1"/>
  <c r="AK33" i="1"/>
  <c r="AJ39" i="1"/>
  <c r="AJ31" i="1"/>
  <c r="AA37" i="1"/>
  <c r="W43" i="1"/>
  <c r="W35" i="1"/>
  <c r="V41" i="1"/>
  <c r="V33" i="1"/>
  <c r="U39" i="1"/>
  <c r="U31" i="1"/>
  <c r="T37" i="1"/>
  <c r="S43" i="1"/>
  <c r="S35" i="1"/>
  <c r="R41" i="1"/>
  <c r="R33" i="1"/>
  <c r="Q39" i="1"/>
  <c r="Q31" i="1"/>
  <c r="P37" i="1"/>
  <c r="O43" i="1"/>
  <c r="O35" i="1"/>
  <c r="N41" i="1"/>
  <c r="N33" i="1"/>
  <c r="M39" i="1"/>
  <c r="M31" i="1"/>
  <c r="L37" i="1"/>
  <c r="K43" i="1"/>
  <c r="K35" i="1"/>
  <c r="J41" i="1"/>
  <c r="J33" i="1"/>
  <c r="I39" i="1"/>
  <c r="I31" i="1"/>
  <c r="H37" i="1"/>
  <c r="G43" i="1"/>
  <c r="G35" i="1"/>
  <c r="F41" i="1"/>
  <c r="F33" i="1"/>
  <c r="AX44" i="1"/>
  <c r="AX32" i="1"/>
  <c r="AW38" i="1"/>
  <c r="AV44" i="1"/>
  <c r="AV36" i="1"/>
  <c r="AU42" i="1"/>
  <c r="AU34" i="1"/>
  <c r="AT40" i="1"/>
  <c r="AT32" i="1"/>
  <c r="AS38" i="1"/>
  <c r="AR44" i="1"/>
  <c r="AR36" i="1"/>
  <c r="AQ42" i="1"/>
  <c r="AQ34" i="1"/>
  <c r="AP40" i="1"/>
  <c r="AP32" i="1"/>
  <c r="AO37" i="1"/>
  <c r="AN44" i="1"/>
  <c r="AN36" i="1"/>
  <c r="AM42" i="1"/>
  <c r="AM34" i="1"/>
  <c r="AL40" i="1"/>
  <c r="AL32" i="1"/>
  <c r="AK38" i="1"/>
  <c r="AJ44" i="1"/>
  <c r="AJ36" i="1"/>
  <c r="AA42" i="1"/>
  <c r="AA34" i="1"/>
  <c r="W40" i="1"/>
  <c r="W32" i="1"/>
  <c r="V38" i="1"/>
  <c r="U44" i="1"/>
  <c r="U36" i="1"/>
  <c r="T42" i="1"/>
  <c r="T34" i="1"/>
  <c r="S40" i="1"/>
  <c r="S32" i="1"/>
  <c r="R38" i="1"/>
  <c r="Q44" i="1"/>
  <c r="Q36" i="1"/>
  <c r="P42" i="1"/>
  <c r="P34" i="1"/>
  <c r="O40" i="1"/>
  <c r="O32" i="1"/>
  <c r="N38" i="1"/>
  <c r="M44" i="1"/>
  <c r="M36" i="1"/>
  <c r="L42" i="1"/>
  <c r="L34" i="1"/>
  <c r="K40" i="1"/>
  <c r="K32" i="1"/>
  <c r="J34" i="1"/>
  <c r="I40" i="1"/>
  <c r="I32" i="1"/>
  <c r="H38" i="1"/>
  <c r="G44" i="1"/>
  <c r="G36" i="1"/>
  <c r="F42" i="1"/>
  <c r="F38" i="1"/>
  <c r="AX42" i="1"/>
  <c r="AX38" i="1"/>
  <c r="AX34" i="1"/>
  <c r="AW44" i="1"/>
  <c r="AW40" i="1"/>
  <c r="AW36" i="1"/>
  <c r="AW32" i="1"/>
  <c r="AV42" i="1"/>
  <c r="AV38" i="1"/>
  <c r="AV34" i="1"/>
  <c r="AU44" i="1"/>
  <c r="AU40" i="1"/>
  <c r="AU36" i="1"/>
  <c r="AU32" i="1"/>
  <c r="AT42" i="1"/>
  <c r="AT38" i="1"/>
  <c r="AT34" i="1"/>
  <c r="AS44" i="1"/>
  <c r="AS40" i="1"/>
  <c r="AS36" i="1"/>
  <c r="AS32" i="1"/>
  <c r="AR42" i="1"/>
  <c r="AR38" i="1"/>
  <c r="AR34" i="1"/>
  <c r="AQ44" i="1"/>
  <c r="AQ40" i="1"/>
  <c r="AQ36" i="1"/>
  <c r="AQ32" i="1"/>
  <c r="AP42" i="1"/>
  <c r="AP38" i="1"/>
  <c r="AP34" i="1"/>
  <c r="AO31" i="1"/>
  <c r="AO35" i="1"/>
  <c r="AO39" i="1"/>
  <c r="AO43" i="1"/>
  <c r="AN42" i="1"/>
  <c r="AN38" i="1"/>
  <c r="AN34" i="1"/>
  <c r="AM44" i="1"/>
  <c r="AM40" i="1"/>
  <c r="AM36" i="1"/>
  <c r="AM32" i="1"/>
  <c r="AL42" i="1"/>
  <c r="AL38" i="1"/>
  <c r="AL34" i="1"/>
  <c r="AK44" i="1"/>
  <c r="AK40" i="1"/>
  <c r="AK36" i="1"/>
  <c r="AK32" i="1"/>
  <c r="AJ42" i="1"/>
  <c r="AJ38" i="1"/>
  <c r="AJ34" i="1"/>
  <c r="AA44" i="1"/>
  <c r="AA40" i="1"/>
  <c r="AA36" i="1"/>
  <c r="AA32" i="1"/>
  <c r="W42" i="1"/>
  <c r="W38" i="1"/>
  <c r="W34" i="1"/>
  <c r="V44" i="1"/>
  <c r="V40" i="1"/>
  <c r="V36" i="1"/>
  <c r="V32" i="1"/>
  <c r="U42" i="1"/>
  <c r="U38" i="1"/>
  <c r="U34" i="1"/>
  <c r="T44" i="1"/>
  <c r="T40" i="1"/>
  <c r="T36" i="1"/>
  <c r="T32" i="1"/>
  <c r="S42" i="1"/>
  <c r="S38" i="1"/>
  <c r="S34" i="1"/>
  <c r="R44" i="1"/>
  <c r="R40" i="1"/>
  <c r="R36" i="1"/>
  <c r="R32" i="1"/>
  <c r="Q42" i="1"/>
  <c r="Q38" i="1"/>
  <c r="Q34" i="1"/>
  <c r="P44" i="1"/>
  <c r="P40" i="1"/>
  <c r="P36" i="1"/>
  <c r="P32" i="1"/>
  <c r="O42" i="1"/>
  <c r="O38" i="1"/>
  <c r="O34" i="1"/>
  <c r="N44" i="1"/>
  <c r="N40" i="1"/>
  <c r="N36" i="1"/>
  <c r="N32" i="1"/>
  <c r="M42" i="1"/>
  <c r="M38" i="1"/>
  <c r="M34" i="1"/>
  <c r="L44" i="1"/>
  <c r="L40" i="1"/>
  <c r="L36" i="1"/>
  <c r="L32" i="1"/>
  <c r="K42" i="1"/>
  <c r="K38" i="1"/>
  <c r="K34" i="1"/>
  <c r="J44" i="1"/>
  <c r="J40" i="1"/>
  <c r="J36" i="1"/>
  <c r="J32" i="1"/>
  <c r="I42" i="1"/>
  <c r="I38" i="1"/>
  <c r="I34" i="1"/>
  <c r="H44" i="1"/>
  <c r="H40" i="1"/>
  <c r="H36" i="1"/>
  <c r="H32" i="1"/>
  <c r="G42" i="1"/>
  <c r="G38" i="1"/>
  <c r="G34" i="1"/>
  <c r="F44" i="1"/>
  <c r="F40" i="1"/>
  <c r="F36" i="1"/>
  <c r="F32" i="1"/>
  <c r="AX39" i="1"/>
  <c r="AX35" i="1"/>
  <c r="AW41" i="1"/>
  <c r="AW33" i="1"/>
  <c r="AV39" i="1"/>
  <c r="AV31" i="1"/>
  <c r="AU37" i="1"/>
  <c r="AT43" i="1"/>
  <c r="AT35" i="1"/>
  <c r="AS41" i="1"/>
  <c r="AS33" i="1"/>
  <c r="AR39" i="1"/>
  <c r="AR31" i="1"/>
  <c r="AQ37" i="1"/>
  <c r="AP43" i="1"/>
  <c r="AP35" i="1"/>
  <c r="AO34" i="1"/>
  <c r="AO42" i="1"/>
  <c r="AN35" i="1"/>
  <c r="AM41" i="1"/>
  <c r="AM33" i="1"/>
  <c r="AL39" i="1"/>
  <c r="AL31" i="1"/>
  <c r="AK37" i="1"/>
  <c r="AJ43" i="1"/>
  <c r="AJ35" i="1"/>
  <c r="AA41" i="1"/>
  <c r="AA33" i="1"/>
  <c r="W39" i="1"/>
  <c r="W31" i="1"/>
  <c r="V37" i="1"/>
  <c r="U43" i="1"/>
  <c r="U35" i="1"/>
  <c r="T41" i="1"/>
  <c r="T33" i="1"/>
  <c r="S39" i="1"/>
  <c r="S31" i="1"/>
  <c r="R37" i="1"/>
  <c r="Q43" i="1"/>
  <c r="Q35" i="1"/>
  <c r="P41" i="1"/>
  <c r="P33" i="1"/>
  <c r="O39" i="1"/>
  <c r="O31" i="1"/>
  <c r="N37" i="1"/>
  <c r="M43" i="1"/>
  <c r="M35" i="1"/>
  <c r="L41" i="1"/>
  <c r="L33" i="1"/>
  <c r="K39" i="1"/>
  <c r="K31" i="1"/>
  <c r="J37" i="1"/>
  <c r="I43" i="1"/>
  <c r="I35" i="1"/>
  <c r="H41" i="1"/>
  <c r="H33" i="1"/>
  <c r="G39" i="1"/>
  <c r="G31" i="1"/>
  <c r="F37" i="1"/>
  <c r="AX40" i="1"/>
  <c r="AX36" i="1"/>
  <c r="AW42" i="1"/>
  <c r="AW34" i="1"/>
  <c r="AV40" i="1"/>
  <c r="AV32" i="1"/>
  <c r="AU38" i="1"/>
  <c r="AT44" i="1"/>
  <c r="AT36" i="1"/>
  <c r="AS42" i="1"/>
  <c r="AS34" i="1"/>
  <c r="AR40" i="1"/>
  <c r="AR32" i="1"/>
  <c r="AQ38" i="1"/>
  <c r="AP44" i="1"/>
  <c r="AP36" i="1"/>
  <c r="AO33" i="1"/>
  <c r="AO41" i="1"/>
  <c r="AN40" i="1"/>
  <c r="AN32" i="1"/>
  <c r="AM38" i="1"/>
  <c r="AL44" i="1"/>
  <c r="AL36" i="1"/>
  <c r="AK42" i="1"/>
  <c r="AK34" i="1"/>
  <c r="AJ40" i="1"/>
  <c r="AJ32" i="1"/>
  <c r="AA38" i="1"/>
  <c r="W44" i="1"/>
  <c r="W36" i="1"/>
  <c r="V42" i="1"/>
  <c r="V34" i="1"/>
  <c r="U40" i="1"/>
  <c r="U32" i="1"/>
  <c r="T38" i="1"/>
  <c r="S44" i="1"/>
  <c r="S36" i="1"/>
  <c r="R42" i="1"/>
  <c r="R34" i="1"/>
  <c r="Q40" i="1"/>
  <c r="Q32" i="1"/>
  <c r="P38" i="1"/>
  <c r="O44" i="1"/>
  <c r="O36" i="1"/>
  <c r="N42" i="1"/>
  <c r="N34" i="1"/>
  <c r="M40" i="1"/>
  <c r="M32" i="1"/>
  <c r="L38" i="1"/>
  <c r="K44" i="1"/>
  <c r="K36" i="1"/>
  <c r="J42" i="1"/>
  <c r="J38" i="1"/>
  <c r="I44" i="1"/>
  <c r="I36" i="1"/>
  <c r="H42" i="1"/>
  <c r="H34" i="1"/>
  <c r="G40" i="1"/>
  <c r="G32" i="1"/>
  <c r="F34" i="1"/>
  <c r="E916" i="10"/>
  <c r="A916" i="10"/>
  <c r="E761" i="10"/>
  <c r="A761" i="10"/>
  <c r="E765" i="10"/>
  <c r="A765" i="10"/>
  <c r="E769" i="10"/>
  <c r="A769" i="10"/>
  <c r="E773" i="10"/>
  <c r="A773" i="10"/>
  <c r="E777" i="10"/>
  <c r="A777" i="10"/>
  <c r="E781" i="10"/>
  <c r="A781" i="10"/>
  <c r="E785" i="10"/>
  <c r="A785" i="10"/>
  <c r="E789" i="10"/>
  <c r="A789" i="10"/>
  <c r="E793" i="10"/>
  <c r="A793" i="10"/>
  <c r="E797" i="10"/>
  <c r="A797" i="10"/>
  <c r="E801" i="10"/>
  <c r="A801" i="10"/>
  <c r="E805" i="10"/>
  <c r="A805" i="10"/>
  <c r="E809" i="10"/>
  <c r="A809" i="10"/>
  <c r="E813" i="10"/>
  <c r="A813" i="10"/>
  <c r="E817" i="10"/>
  <c r="A817" i="10"/>
  <c r="E821" i="10"/>
  <c r="A821" i="10"/>
  <c r="E825" i="10"/>
  <c r="A825" i="10"/>
  <c r="E829" i="10"/>
  <c r="A829" i="10"/>
  <c r="E833" i="10"/>
  <c r="A833" i="10"/>
  <c r="E837" i="10"/>
  <c r="A837" i="10"/>
  <c r="E841" i="10"/>
  <c r="A841" i="10"/>
  <c r="E845" i="10"/>
  <c r="A845" i="10"/>
  <c r="E849" i="10"/>
  <c r="A849" i="10"/>
  <c r="E853" i="10"/>
  <c r="A853" i="10"/>
  <c r="E857" i="10"/>
  <c r="A857" i="10"/>
  <c r="E861" i="10"/>
  <c r="A861" i="10"/>
  <c r="E865" i="10"/>
  <c r="A865" i="10"/>
  <c r="E869" i="10"/>
  <c r="A869" i="10"/>
  <c r="E873" i="10"/>
  <c r="A873" i="10"/>
  <c r="E877" i="10"/>
  <c r="A877" i="10"/>
  <c r="E881" i="10"/>
  <c r="A881" i="10"/>
  <c r="E885" i="10"/>
  <c r="A885" i="10"/>
  <c r="E889" i="10"/>
  <c r="A889" i="10"/>
  <c r="E893" i="10"/>
  <c r="A893" i="10"/>
  <c r="E897" i="10"/>
  <c r="A897" i="10"/>
  <c r="E901" i="10"/>
  <c r="A901" i="10"/>
  <c r="E905" i="10"/>
  <c r="A905" i="10"/>
  <c r="E909" i="10"/>
  <c r="A909" i="10"/>
  <c r="E913" i="10"/>
  <c r="A913" i="10"/>
  <c r="E917" i="10"/>
  <c r="A917" i="10"/>
  <c r="E921" i="10"/>
  <c r="A921" i="10"/>
  <c r="E925" i="10"/>
  <c r="A925" i="10"/>
  <c r="E929" i="10"/>
  <c r="A929" i="10"/>
  <c r="E933" i="10"/>
  <c r="A933" i="10"/>
  <c r="E937" i="10"/>
  <c r="A937" i="10"/>
  <c r="E941" i="10"/>
  <c r="A941" i="10"/>
  <c r="E945" i="10"/>
  <c r="A945" i="10"/>
  <c r="E949" i="10"/>
  <c r="A949" i="10"/>
  <c r="E953" i="10"/>
  <c r="A953" i="10"/>
  <c r="E957" i="10"/>
  <c r="A957" i="10"/>
  <c r="E961" i="10"/>
  <c r="A961" i="10"/>
  <c r="E965" i="10"/>
  <c r="A965" i="10"/>
  <c r="E969" i="10"/>
  <c r="A969" i="10"/>
  <c r="E973" i="10"/>
  <c r="A973" i="10"/>
  <c r="E977" i="10"/>
  <c r="A977" i="10"/>
  <c r="E981" i="10"/>
  <c r="A981" i="10"/>
  <c r="E985" i="10"/>
  <c r="A985" i="10"/>
  <c r="E989" i="10"/>
  <c r="A989" i="10"/>
  <c r="E993" i="10"/>
  <c r="A993" i="10"/>
  <c r="E997" i="10"/>
  <c r="A997" i="10"/>
  <c r="E1001" i="10"/>
  <c r="A1001" i="10"/>
  <c r="E1005" i="10"/>
  <c r="A1005" i="10"/>
  <c r="E1009" i="10"/>
  <c r="A1009" i="10"/>
  <c r="E1013" i="10"/>
  <c r="A1013" i="10"/>
  <c r="E1017" i="10"/>
  <c r="A1017" i="10"/>
  <c r="E1021" i="10"/>
  <c r="A1021" i="10"/>
  <c r="E1025" i="10"/>
  <c r="A1025" i="10"/>
  <c r="E1029" i="10"/>
  <c r="A1029" i="10"/>
  <c r="E1033" i="10"/>
  <c r="A1033" i="10"/>
  <c r="E1037" i="10"/>
  <c r="A1037" i="10"/>
  <c r="E1041" i="10"/>
  <c r="A1041" i="10"/>
  <c r="E1045" i="10"/>
  <c r="A1045" i="10"/>
  <c r="E1049" i="10"/>
  <c r="A1049" i="10"/>
  <c r="E1053" i="10"/>
  <c r="A1053" i="10"/>
  <c r="E1057" i="10"/>
  <c r="A1057" i="10"/>
  <c r="E1061" i="10"/>
  <c r="A1061" i="10"/>
  <c r="E1065" i="10"/>
  <c r="A1065" i="10"/>
  <c r="E1069" i="10"/>
  <c r="A1069" i="10"/>
  <c r="E1073" i="10"/>
  <c r="A1073" i="10"/>
  <c r="E1077" i="10"/>
  <c r="A1077" i="10"/>
  <c r="E1081" i="10"/>
  <c r="A1081" i="10"/>
  <c r="E1085" i="10"/>
  <c r="A1085" i="10"/>
  <c r="E1089" i="10"/>
  <c r="A1089" i="10"/>
  <c r="E1093" i="10"/>
  <c r="A1093" i="10"/>
  <c r="E1097" i="10"/>
  <c r="A1097" i="10"/>
  <c r="E1101" i="10"/>
  <c r="A1101" i="10"/>
  <c r="E1105" i="10"/>
  <c r="A1105" i="10"/>
  <c r="E1109" i="10"/>
  <c r="A1109" i="10"/>
  <c r="E1113" i="10"/>
  <c r="A1113" i="10"/>
  <c r="E1117" i="10"/>
  <c r="A1117" i="10"/>
  <c r="E1121" i="10"/>
  <c r="A1121" i="10"/>
  <c r="E1125" i="10"/>
  <c r="A1125" i="10"/>
  <c r="E1129" i="10"/>
  <c r="A1129" i="10"/>
  <c r="E1133" i="10"/>
  <c r="A1133" i="10"/>
  <c r="E1137" i="10"/>
  <c r="A1137" i="10"/>
  <c r="E1141" i="10"/>
  <c r="A1141" i="10"/>
  <c r="E1145" i="10"/>
  <c r="A1145" i="10"/>
  <c r="E1149" i="10"/>
  <c r="A1149" i="10"/>
  <c r="E1153" i="10"/>
  <c r="A1153" i="10"/>
  <c r="E1157" i="10"/>
  <c r="A1157" i="10"/>
  <c r="E1161" i="10"/>
  <c r="A1161" i="10"/>
  <c r="E1165" i="10"/>
  <c r="A1165" i="10"/>
  <c r="E1169" i="10"/>
  <c r="A1169" i="10"/>
  <c r="E1173" i="10"/>
  <c r="A1173" i="10"/>
  <c r="E1177" i="10"/>
  <c r="A1177" i="10"/>
  <c r="E1181" i="10"/>
  <c r="A1181" i="10"/>
  <c r="E1185" i="10"/>
  <c r="A1185" i="10"/>
  <c r="E1189" i="10"/>
  <c r="A1189" i="10"/>
  <c r="E1193" i="10"/>
  <c r="A1193" i="10"/>
  <c r="E1197" i="10"/>
  <c r="A1197" i="10"/>
  <c r="E1201" i="10"/>
  <c r="A1201" i="10"/>
  <c r="E1205" i="10"/>
  <c r="A1205" i="10"/>
  <c r="E1209" i="10"/>
  <c r="A1209" i="10"/>
  <c r="E1213" i="10"/>
  <c r="A1213" i="10"/>
  <c r="E1217" i="10"/>
  <c r="A1217" i="10"/>
  <c r="E1221" i="10"/>
  <c r="A1221" i="10"/>
  <c r="E1225" i="10"/>
  <c r="A1225" i="10"/>
  <c r="E1229" i="10"/>
  <c r="A1229" i="10"/>
  <c r="E1233" i="10"/>
  <c r="A1233" i="10"/>
  <c r="E1237" i="10"/>
  <c r="A1237" i="10"/>
  <c r="E1241" i="10"/>
  <c r="A1241" i="10"/>
  <c r="E1245" i="10"/>
  <c r="A1245" i="10"/>
  <c r="E1249" i="10"/>
  <c r="A1249" i="10"/>
  <c r="E1253" i="10"/>
  <c r="A1253" i="10"/>
  <c r="E1257" i="10"/>
  <c r="A1257" i="10"/>
  <c r="E1261" i="10"/>
  <c r="A1261" i="10"/>
  <c r="E1265" i="10"/>
  <c r="A1265" i="10"/>
  <c r="E1269" i="10"/>
  <c r="A1269" i="10"/>
  <c r="E1273" i="10"/>
  <c r="A1273" i="10"/>
  <c r="E1277" i="10"/>
  <c r="A1277" i="10"/>
  <c r="E1281" i="10"/>
  <c r="A1281" i="10"/>
  <c r="E1285" i="10"/>
  <c r="A1285" i="10"/>
  <c r="E1289" i="10"/>
  <c r="A1289" i="10"/>
  <c r="E1293" i="10"/>
  <c r="A1293" i="10"/>
  <c r="E1297" i="10"/>
  <c r="A1297" i="10"/>
  <c r="E1301" i="10"/>
  <c r="A1301" i="10"/>
  <c r="E1305" i="10"/>
  <c r="A1305" i="10"/>
  <c r="E1309" i="10"/>
  <c r="A1309" i="10"/>
  <c r="E1313" i="10"/>
  <c r="A1313" i="10"/>
  <c r="E1317" i="10"/>
  <c r="A1317" i="10"/>
  <c r="E1321" i="10"/>
  <c r="A1321" i="10"/>
  <c r="E1325" i="10"/>
  <c r="A1325" i="10"/>
  <c r="E1329" i="10"/>
  <c r="A1329" i="10"/>
  <c r="E1333" i="10"/>
  <c r="A1333" i="10"/>
  <c r="E1337" i="10"/>
  <c r="A1337" i="10"/>
  <c r="E1341" i="10"/>
  <c r="A1341" i="10"/>
  <c r="E1345" i="10"/>
  <c r="A1345" i="10"/>
  <c r="E1349" i="10"/>
  <c r="A1349" i="10"/>
  <c r="E1353" i="10"/>
  <c r="A1353" i="10"/>
  <c r="E1357" i="10"/>
  <c r="A1357" i="10"/>
  <c r="E1361" i="10"/>
  <c r="A1361" i="10"/>
  <c r="E1365" i="10"/>
  <c r="A1365" i="10"/>
  <c r="E1369" i="10"/>
  <c r="A1369" i="10"/>
  <c r="E1373" i="10"/>
  <c r="A1373" i="10"/>
  <c r="E1377" i="10"/>
  <c r="A1377" i="10"/>
  <c r="E1381" i="10"/>
  <c r="A1381" i="10"/>
  <c r="E1385" i="10"/>
  <c r="A1385" i="10"/>
  <c r="E1389" i="10"/>
  <c r="A1389" i="10"/>
  <c r="E1393" i="10"/>
  <c r="A1393" i="10"/>
  <c r="E1397" i="10"/>
  <c r="A1397" i="10"/>
  <c r="E1401" i="10"/>
  <c r="A1401" i="10"/>
  <c r="E1405" i="10"/>
  <c r="A1405" i="10"/>
  <c r="E1409" i="10"/>
  <c r="A1409" i="10"/>
  <c r="E1413" i="10"/>
  <c r="A1413" i="10"/>
  <c r="E1417" i="10"/>
  <c r="A1417" i="10"/>
  <c r="E1421" i="10"/>
  <c r="A1421" i="10"/>
  <c r="E1425" i="10"/>
  <c r="A1425" i="10"/>
  <c r="E1429" i="10"/>
  <c r="A1429" i="10"/>
  <c r="E1433" i="10"/>
  <c r="A1433" i="10"/>
  <c r="E1437" i="10"/>
  <c r="A1437" i="10"/>
  <c r="E1441" i="10"/>
  <c r="A1441" i="10"/>
  <c r="E1445" i="10"/>
  <c r="A1445" i="10"/>
  <c r="E1449" i="10"/>
  <c r="A1449" i="10"/>
  <c r="E1453" i="10"/>
  <c r="A1453" i="10"/>
  <c r="E1457" i="10"/>
  <c r="A1457" i="10"/>
  <c r="E1461" i="10"/>
  <c r="A1461" i="10"/>
  <c r="E1465" i="10"/>
  <c r="A1465" i="10"/>
  <c r="E1469" i="10"/>
  <c r="A1469" i="10"/>
  <c r="E1473" i="10"/>
  <c r="A1473" i="10"/>
  <c r="D778" i="10"/>
  <c r="D782" i="10"/>
  <c r="D786" i="10"/>
  <c r="D790" i="10"/>
  <c r="D794" i="10"/>
  <c r="D798" i="10"/>
  <c r="D802" i="10"/>
  <c r="D806" i="10"/>
  <c r="D810" i="10"/>
  <c r="D814" i="10"/>
  <c r="D818" i="10"/>
  <c r="D822" i="10"/>
  <c r="D826" i="10"/>
  <c r="D830" i="10"/>
  <c r="D834" i="10"/>
  <c r="D838" i="10"/>
  <c r="D842" i="10"/>
  <c r="D846" i="10"/>
  <c r="D850" i="10"/>
  <c r="D854" i="10"/>
  <c r="D858" i="10"/>
  <c r="D862" i="10"/>
  <c r="D866" i="10"/>
  <c r="D870" i="10"/>
  <c r="D874" i="10"/>
  <c r="D878" i="10"/>
  <c r="D882" i="10"/>
  <c r="D886" i="10"/>
  <c r="D890" i="10"/>
  <c r="D894" i="10"/>
  <c r="D898" i="10"/>
  <c r="D902" i="10"/>
  <c r="D906" i="10"/>
  <c r="D910" i="10"/>
  <c r="D914" i="10"/>
  <c r="E763" i="10"/>
  <c r="E767" i="10"/>
  <c r="E771" i="10"/>
  <c r="E775" i="10"/>
  <c r="E779" i="10"/>
  <c r="E787" i="10"/>
  <c r="E791" i="10"/>
  <c r="E795" i="10"/>
  <c r="E799" i="10"/>
  <c r="E803" i="10"/>
  <c r="E807" i="10"/>
  <c r="E811" i="10"/>
  <c r="E815" i="10"/>
  <c r="E819" i="10"/>
  <c r="E823" i="10"/>
  <c r="E827" i="10"/>
  <c r="E831" i="10"/>
  <c r="E835" i="10"/>
  <c r="E839" i="10"/>
  <c r="E843" i="10"/>
  <c r="E847" i="10"/>
  <c r="E851" i="10"/>
  <c r="E855" i="10"/>
  <c r="E859" i="10"/>
  <c r="E863" i="10"/>
  <c r="E867" i="10"/>
  <c r="E871" i="10"/>
  <c r="E875" i="10"/>
  <c r="E879" i="10"/>
  <c r="E883" i="10"/>
  <c r="E887" i="10"/>
  <c r="E891" i="10"/>
  <c r="E895" i="10"/>
  <c r="E899" i="10"/>
  <c r="E903" i="10"/>
  <c r="E907" i="10"/>
  <c r="E911" i="10"/>
  <c r="E915" i="10"/>
  <c r="E919" i="10"/>
  <c r="E923" i="10"/>
  <c r="E927" i="10"/>
  <c r="E931" i="10"/>
  <c r="E935" i="10"/>
  <c r="E939" i="10"/>
  <c r="E943" i="10"/>
  <c r="E947" i="10"/>
  <c r="E951" i="10"/>
  <c r="E955" i="10"/>
  <c r="E959" i="10"/>
  <c r="E963" i="10"/>
  <c r="E967" i="10"/>
  <c r="E971" i="10"/>
  <c r="E975" i="10"/>
  <c r="E979" i="10"/>
  <c r="E983" i="10"/>
  <c r="E987" i="10"/>
  <c r="E991" i="10"/>
  <c r="E995" i="10"/>
  <c r="E999" i="10"/>
  <c r="E1003" i="10"/>
  <c r="E1007" i="10"/>
  <c r="E1011" i="10"/>
  <c r="E1015" i="10"/>
  <c r="E1019" i="10"/>
  <c r="E1023" i="10"/>
  <c r="E1027" i="10"/>
  <c r="E1031" i="10"/>
  <c r="E1035" i="10"/>
  <c r="E1039" i="10"/>
  <c r="E1043" i="10"/>
  <c r="E1047" i="10"/>
  <c r="E1051" i="10"/>
  <c r="E1055" i="10"/>
  <c r="E1059" i="10"/>
  <c r="E1063" i="10"/>
  <c r="E1067" i="10"/>
  <c r="E1071" i="10"/>
  <c r="E1075" i="10"/>
  <c r="E1079" i="10"/>
  <c r="E1083" i="10"/>
  <c r="E1087" i="10"/>
  <c r="E1091" i="10"/>
  <c r="E1095" i="10"/>
  <c r="E1099" i="10"/>
  <c r="E1103" i="10"/>
  <c r="E1107" i="10"/>
  <c r="E1111" i="10"/>
  <c r="E1115" i="10"/>
  <c r="E1119" i="10"/>
  <c r="E1123" i="10"/>
  <c r="E1127" i="10"/>
  <c r="E1131" i="10"/>
  <c r="E1135" i="10"/>
  <c r="E1139" i="10"/>
  <c r="E1143" i="10"/>
  <c r="E1147" i="10"/>
  <c r="E1151" i="10"/>
  <c r="E1155" i="10"/>
  <c r="E1159" i="10"/>
  <c r="E1163" i="10"/>
  <c r="E1167" i="10"/>
  <c r="E1171" i="10"/>
  <c r="E1175" i="10"/>
  <c r="E1179" i="10"/>
  <c r="E1183" i="10"/>
  <c r="E1187" i="10"/>
  <c r="E1191" i="10"/>
  <c r="E1195" i="10"/>
  <c r="E1199" i="10"/>
  <c r="E1203" i="10"/>
  <c r="E1207" i="10"/>
  <c r="E1211" i="10"/>
  <c r="E1215" i="10"/>
  <c r="E1219" i="10"/>
  <c r="E1223" i="10"/>
  <c r="E1227" i="10"/>
  <c r="E1231" i="10"/>
  <c r="E1235" i="10"/>
  <c r="E1239" i="10"/>
  <c r="E1243" i="10"/>
  <c r="E1247" i="10"/>
  <c r="E1251" i="10"/>
  <c r="E1255" i="10"/>
  <c r="E1259" i="10"/>
  <c r="E1263" i="10"/>
  <c r="E1267" i="10"/>
  <c r="E1271" i="10"/>
  <c r="E1275" i="10"/>
  <c r="E1279" i="10"/>
  <c r="E1283" i="10"/>
  <c r="E1287" i="10"/>
  <c r="E1291" i="10"/>
  <c r="E1295" i="10"/>
  <c r="E1299" i="10"/>
  <c r="E1303" i="10"/>
  <c r="E1307" i="10"/>
  <c r="E1311" i="10"/>
  <c r="E1315" i="10"/>
  <c r="E1319" i="10"/>
  <c r="E1323" i="10"/>
  <c r="E1327" i="10"/>
  <c r="E1331" i="10"/>
  <c r="E1335" i="10"/>
  <c r="E1339" i="10"/>
  <c r="E1343" i="10"/>
  <c r="E1347" i="10"/>
  <c r="E1351" i="10"/>
  <c r="E1355" i="10"/>
  <c r="E1359" i="10"/>
  <c r="E1363" i="10"/>
  <c r="E1367" i="10"/>
  <c r="E1371" i="10"/>
  <c r="E1375" i="10"/>
  <c r="E1379" i="10"/>
  <c r="E783" i="10"/>
  <c r="D783" i="10"/>
  <c r="E31" i="1"/>
  <c r="E35" i="1"/>
  <c r="E39" i="1"/>
  <c r="E43" i="1"/>
  <c r="E34" i="1"/>
  <c r="E38" i="1"/>
  <c r="E42" i="1"/>
  <c r="E33" i="1"/>
  <c r="E37" i="1"/>
  <c r="E41" i="1"/>
  <c r="E32" i="1"/>
  <c r="E36" i="1"/>
  <c r="E40" i="1"/>
  <c r="E44" i="1"/>
  <c r="D762" i="10"/>
  <c r="D766" i="10"/>
  <c r="D770" i="10"/>
  <c r="D774" i="10"/>
  <c r="D760" i="10"/>
  <c r="D764" i="10"/>
  <c r="D768" i="10"/>
  <c r="D772" i="10"/>
  <c r="D776" i="10"/>
  <c r="D780" i="10"/>
  <c r="D784" i="10"/>
  <c r="D788" i="10"/>
  <c r="D792" i="10"/>
  <c r="D796" i="10"/>
  <c r="D800" i="10"/>
  <c r="D804" i="10"/>
  <c r="D808" i="10"/>
  <c r="D812" i="10"/>
  <c r="D816" i="10"/>
  <c r="D820" i="10"/>
  <c r="D824" i="10"/>
  <c r="D828" i="10"/>
  <c r="D832" i="10"/>
  <c r="D836" i="10"/>
  <c r="D840" i="10"/>
  <c r="D844" i="10"/>
  <c r="D848" i="10"/>
  <c r="D852" i="10"/>
  <c r="D856" i="10"/>
  <c r="D860" i="10"/>
  <c r="D864" i="10"/>
  <c r="D868" i="10"/>
  <c r="D872" i="10"/>
  <c r="D876" i="10"/>
  <c r="D880" i="10"/>
  <c r="D884" i="10"/>
  <c r="D888" i="10"/>
  <c r="D892" i="10"/>
  <c r="D896" i="10"/>
  <c r="D900" i="10"/>
  <c r="D904" i="10"/>
  <c r="D908" i="10"/>
  <c r="D912" i="10"/>
  <c r="D918" i="10"/>
  <c r="E918" i="10"/>
  <c r="D934" i="10"/>
  <c r="E934" i="10"/>
  <c r="D950" i="10"/>
  <c r="E950" i="10"/>
  <c r="D966" i="10"/>
  <c r="E966" i="10"/>
  <c r="D986" i="10"/>
  <c r="E986" i="10"/>
  <c r="D1006" i="10"/>
  <c r="E1006" i="10"/>
  <c r="D1022" i="10"/>
  <c r="E1022" i="10"/>
  <c r="D1038" i="10"/>
  <c r="E1038" i="10"/>
  <c r="D1054" i="10"/>
  <c r="E1054" i="10"/>
  <c r="D1070" i="10"/>
  <c r="E1070" i="10"/>
  <c r="D1086" i="10"/>
  <c r="E1086" i="10"/>
  <c r="D1102" i="10"/>
  <c r="E1102" i="10"/>
  <c r="D1118" i="10"/>
  <c r="E1118" i="10"/>
  <c r="D1134" i="10"/>
  <c r="E1134" i="10"/>
  <c r="D1150" i="10"/>
  <c r="E1150" i="10"/>
  <c r="D1166" i="10"/>
  <c r="E1166" i="10"/>
  <c r="D1182" i="10"/>
  <c r="E1182" i="10"/>
  <c r="D1194" i="10"/>
  <c r="E1194" i="10"/>
  <c r="D1214" i="10"/>
  <c r="E1214" i="10"/>
  <c r="D1230" i="10"/>
  <c r="E1230" i="10"/>
  <c r="D1246" i="10"/>
  <c r="E1246" i="10"/>
  <c r="D1262" i="10"/>
  <c r="E1262" i="10"/>
  <c r="D1278" i="10"/>
  <c r="E1278" i="10"/>
  <c r="D1294" i="10"/>
  <c r="E1294" i="10"/>
  <c r="D1306" i="10"/>
  <c r="E1306" i="10"/>
  <c r="D1322" i="10"/>
  <c r="E1322" i="10"/>
  <c r="D1342" i="10"/>
  <c r="E1342" i="10"/>
  <c r="D1354" i="10"/>
  <c r="E1354" i="10"/>
  <c r="D1374" i="10"/>
  <c r="E1374" i="10"/>
  <c r="E1390" i="10"/>
  <c r="D1390" i="10"/>
  <c r="E1406" i="10"/>
  <c r="D1406" i="10"/>
  <c r="E1422" i="10"/>
  <c r="D1422" i="10"/>
  <c r="E1434" i="10"/>
  <c r="D1434" i="10"/>
  <c r="E1450" i="10"/>
  <c r="D1450" i="10"/>
  <c r="E1466" i="10"/>
  <c r="D1466" i="10"/>
  <c r="D761" i="10"/>
  <c r="D763" i="10"/>
  <c r="D765" i="10"/>
  <c r="D767" i="10"/>
  <c r="D769" i="10"/>
  <c r="D771" i="10"/>
  <c r="D773" i="10"/>
  <c r="D775" i="10"/>
  <c r="D777" i="10"/>
  <c r="D779" i="10"/>
  <c r="D781" i="10"/>
  <c r="D785" i="10"/>
  <c r="D787" i="10"/>
  <c r="D789" i="10"/>
  <c r="D791" i="10"/>
  <c r="D793" i="10"/>
  <c r="D795" i="10"/>
  <c r="D797" i="10"/>
  <c r="D799" i="10"/>
  <c r="D801" i="10"/>
  <c r="D803" i="10"/>
  <c r="D805" i="10"/>
  <c r="D807" i="10"/>
  <c r="D809" i="10"/>
  <c r="D811" i="10"/>
  <c r="D813" i="10"/>
  <c r="D815" i="10"/>
  <c r="D817" i="10"/>
  <c r="D819" i="10"/>
  <c r="D821" i="10"/>
  <c r="D823" i="10"/>
  <c r="D825" i="10"/>
  <c r="D827" i="10"/>
  <c r="D829" i="10"/>
  <c r="D831" i="10"/>
  <c r="D833" i="10"/>
  <c r="D835" i="10"/>
  <c r="D837" i="10"/>
  <c r="D839" i="10"/>
  <c r="D841" i="10"/>
  <c r="D843" i="10"/>
  <c r="D845" i="10"/>
  <c r="D847" i="10"/>
  <c r="D849" i="10"/>
  <c r="D851" i="10"/>
  <c r="D853" i="10"/>
  <c r="D855" i="10"/>
  <c r="D857" i="10"/>
  <c r="D859" i="10"/>
  <c r="D861" i="10"/>
  <c r="D863" i="10"/>
  <c r="D865" i="10"/>
  <c r="D867" i="10"/>
  <c r="D869" i="10"/>
  <c r="D871" i="10"/>
  <c r="D873" i="10"/>
  <c r="D875" i="10"/>
  <c r="D877" i="10"/>
  <c r="D879" i="10"/>
  <c r="D881" i="10"/>
  <c r="D883" i="10"/>
  <c r="D885" i="10"/>
  <c r="D887" i="10"/>
  <c r="D889" i="10"/>
  <c r="D891" i="10"/>
  <c r="D893" i="10"/>
  <c r="D895" i="10"/>
  <c r="D897" i="10"/>
  <c r="D899" i="10"/>
  <c r="D901" i="10"/>
  <c r="D903" i="10"/>
  <c r="D905" i="10"/>
  <c r="D907" i="10"/>
  <c r="D909" i="10"/>
  <c r="D911" i="10"/>
  <c r="D913" i="10"/>
  <c r="D915" i="10"/>
  <c r="D919" i="10"/>
  <c r="D927" i="10"/>
  <c r="D935" i="10"/>
  <c r="D943" i="10"/>
  <c r="D951" i="10"/>
  <c r="D959" i="10"/>
  <c r="D967" i="10"/>
  <c r="D975" i="10"/>
  <c r="D983" i="10"/>
  <c r="D991" i="10"/>
  <c r="D999" i="10"/>
  <c r="D1007" i="10"/>
  <c r="D1015" i="10"/>
  <c r="D1023" i="10"/>
  <c r="D1031" i="10"/>
  <c r="D1039" i="10"/>
  <c r="D1047" i="10"/>
  <c r="D1055" i="10"/>
  <c r="D1063" i="10"/>
  <c r="D1071" i="10"/>
  <c r="D1079" i="10"/>
  <c r="D1087" i="10"/>
  <c r="D1095" i="10"/>
  <c r="D1103" i="10"/>
  <c r="D1111" i="10"/>
  <c r="D1119" i="10"/>
  <c r="D1127" i="10"/>
  <c r="D1135" i="10"/>
  <c r="D1143" i="10"/>
  <c r="D1151" i="10"/>
  <c r="D1159" i="10"/>
  <c r="D1167" i="10"/>
  <c r="D1175" i="10"/>
  <c r="D1183" i="10"/>
  <c r="D1191" i="10"/>
  <c r="D1199" i="10"/>
  <c r="D1207" i="10"/>
  <c r="D1215" i="10"/>
  <c r="D1223" i="10"/>
  <c r="D1231" i="10"/>
  <c r="D1239" i="10"/>
  <c r="D1247" i="10"/>
  <c r="D1255" i="10"/>
  <c r="D1263" i="10"/>
  <c r="D1271" i="10"/>
  <c r="D1279" i="10"/>
  <c r="D1287" i="10"/>
  <c r="D1295" i="10"/>
  <c r="D1303" i="10"/>
  <c r="D1311" i="10"/>
  <c r="D1319" i="10"/>
  <c r="D1327" i="10"/>
  <c r="D1335" i="10"/>
  <c r="D1343" i="10"/>
  <c r="D1351" i="10"/>
  <c r="D1359" i="10"/>
  <c r="D1367" i="10"/>
  <c r="D1375" i="10"/>
  <c r="D1385" i="10"/>
  <c r="D1401" i="10"/>
  <c r="D1417" i="10"/>
  <c r="D1433" i="10"/>
  <c r="D1449" i="10"/>
  <c r="D1465" i="10"/>
  <c r="D922" i="10"/>
  <c r="E922" i="10"/>
  <c r="D938" i="10"/>
  <c r="E938" i="10"/>
  <c r="D954" i="10"/>
  <c r="E954" i="10"/>
  <c r="D970" i="10"/>
  <c r="E970" i="10"/>
  <c r="D978" i="10"/>
  <c r="E978" i="10"/>
  <c r="D994" i="10"/>
  <c r="E994" i="10"/>
  <c r="D1010" i="10"/>
  <c r="E1010" i="10"/>
  <c r="D1026" i="10"/>
  <c r="E1026" i="10"/>
  <c r="D1042" i="10"/>
  <c r="E1042" i="10"/>
  <c r="D1062" i="10"/>
  <c r="E1062" i="10"/>
  <c r="D1074" i="10"/>
  <c r="E1074" i="10"/>
  <c r="D1090" i="10"/>
  <c r="E1090" i="10"/>
  <c r="D1106" i="10"/>
  <c r="E1106" i="10"/>
  <c r="D1126" i="10"/>
  <c r="E1126" i="10"/>
  <c r="D1142" i="10"/>
  <c r="E1142" i="10"/>
  <c r="D1158" i="10"/>
  <c r="E1158" i="10"/>
  <c r="D1174" i="10"/>
  <c r="E1174" i="10"/>
  <c r="D1190" i="10"/>
  <c r="E1190" i="10"/>
  <c r="D1206" i="10"/>
  <c r="E1206" i="10"/>
  <c r="D1218" i="10"/>
  <c r="E1218" i="10"/>
  <c r="D1234" i="10"/>
  <c r="E1234" i="10"/>
  <c r="D1254" i="10"/>
  <c r="E1254" i="10"/>
  <c r="D1270" i="10"/>
  <c r="E1270" i="10"/>
  <c r="D1286" i="10"/>
  <c r="E1286" i="10"/>
  <c r="D1302" i="10"/>
  <c r="E1302" i="10"/>
  <c r="D1318" i="10"/>
  <c r="E1318" i="10"/>
  <c r="D1334" i="10"/>
  <c r="E1334" i="10"/>
  <c r="D1346" i="10"/>
  <c r="E1346" i="10"/>
  <c r="D1362" i="10"/>
  <c r="E1362" i="10"/>
  <c r="D1378" i="10"/>
  <c r="E1378" i="10"/>
  <c r="E1394" i="10"/>
  <c r="D1394" i="10"/>
  <c r="E1414" i="10"/>
  <c r="D1414" i="10"/>
  <c r="E1430" i="10"/>
  <c r="D1430" i="10"/>
  <c r="E1446" i="10"/>
  <c r="D1446" i="10"/>
  <c r="E1458" i="10"/>
  <c r="D1458" i="10"/>
  <c r="E1474" i="10"/>
  <c r="D1474" i="10"/>
  <c r="D924" i="10"/>
  <c r="E924" i="10"/>
  <c r="D932" i="10"/>
  <c r="E932" i="10"/>
  <c r="D944" i="10"/>
  <c r="E944" i="10"/>
  <c r="D952" i="10"/>
  <c r="E952" i="10"/>
  <c r="D960" i="10"/>
  <c r="E960" i="10"/>
  <c r="D968" i="10"/>
  <c r="E968" i="10"/>
  <c r="D976" i="10"/>
  <c r="E976" i="10"/>
  <c r="D984" i="10"/>
  <c r="E984" i="10"/>
  <c r="D992" i="10"/>
  <c r="E992" i="10"/>
  <c r="D1000" i="10"/>
  <c r="E1000" i="10"/>
  <c r="D1008" i="10"/>
  <c r="E1008" i="10"/>
  <c r="D1016" i="10"/>
  <c r="E1016" i="10"/>
  <c r="D1024" i="10"/>
  <c r="E1024" i="10"/>
  <c r="D1032" i="10"/>
  <c r="E1032" i="10"/>
  <c r="D1040" i="10"/>
  <c r="E1040" i="10"/>
  <c r="D1048" i="10"/>
  <c r="E1048" i="10"/>
  <c r="D1056" i="10"/>
  <c r="E1056" i="10"/>
  <c r="D1064" i="10"/>
  <c r="E1064" i="10"/>
  <c r="D1072" i="10"/>
  <c r="E1072" i="10"/>
  <c r="D1080" i="10"/>
  <c r="E1080" i="10"/>
  <c r="D1088" i="10"/>
  <c r="E1088" i="10"/>
  <c r="D1096" i="10"/>
  <c r="E1096" i="10"/>
  <c r="D1104" i="10"/>
  <c r="E1104" i="10"/>
  <c r="D1112" i="10"/>
  <c r="E1112" i="10"/>
  <c r="D1120" i="10"/>
  <c r="E1120" i="10"/>
  <c r="D1128" i="10"/>
  <c r="E1128" i="10"/>
  <c r="D1136" i="10"/>
  <c r="E1136" i="10"/>
  <c r="D1144" i="10"/>
  <c r="E1144" i="10"/>
  <c r="D1152" i="10"/>
  <c r="E1152" i="10"/>
  <c r="D1160" i="10"/>
  <c r="E1160" i="10"/>
  <c r="D1168" i="10"/>
  <c r="E1168" i="10"/>
  <c r="D1176" i="10"/>
  <c r="E1176" i="10"/>
  <c r="D1184" i="10"/>
  <c r="E1184" i="10"/>
  <c r="D1192" i="10"/>
  <c r="E1192" i="10"/>
  <c r="D1200" i="10"/>
  <c r="E1200" i="10"/>
  <c r="D1208" i="10"/>
  <c r="E1208" i="10"/>
  <c r="D1216" i="10"/>
  <c r="E1216" i="10"/>
  <c r="D1224" i="10"/>
  <c r="E1224" i="10"/>
  <c r="D1232" i="10"/>
  <c r="E1232" i="10"/>
  <c r="D1240" i="10"/>
  <c r="E1240" i="10"/>
  <c r="D1248" i="10"/>
  <c r="E1248" i="10"/>
  <c r="D1256" i="10"/>
  <c r="E1256" i="10"/>
  <c r="D1260" i="10"/>
  <c r="E1260" i="10"/>
  <c r="D1264" i="10"/>
  <c r="E1264" i="10"/>
  <c r="D1268" i="10"/>
  <c r="E1268" i="10"/>
  <c r="D1272" i="10"/>
  <c r="E1272" i="10"/>
  <c r="D1276" i="10"/>
  <c r="E1276" i="10"/>
  <c r="D1284" i="10"/>
  <c r="E1284" i="10"/>
  <c r="D1288" i="10"/>
  <c r="E1288" i="10"/>
  <c r="D1292" i="10"/>
  <c r="E1292" i="10"/>
  <c r="D1296" i="10"/>
  <c r="E1296" i="10"/>
  <c r="D1300" i="10"/>
  <c r="E1300" i="10"/>
  <c r="D1304" i="10"/>
  <c r="E1304" i="10"/>
  <c r="D1308" i="10"/>
  <c r="E1308" i="10"/>
  <c r="D1312" i="10"/>
  <c r="E1312" i="10"/>
  <c r="D1316" i="10"/>
  <c r="E1316" i="10"/>
  <c r="D1320" i="10"/>
  <c r="E1320" i="10"/>
  <c r="D1324" i="10"/>
  <c r="E1324" i="10"/>
  <c r="D1328" i="10"/>
  <c r="E1328" i="10"/>
  <c r="D1332" i="10"/>
  <c r="E1332" i="10"/>
  <c r="D1336" i="10"/>
  <c r="E1336" i="10"/>
  <c r="D1340" i="10"/>
  <c r="E1340" i="10"/>
  <c r="D1344" i="10"/>
  <c r="E1344" i="10"/>
  <c r="D1348" i="10"/>
  <c r="E1348" i="10"/>
  <c r="D1352" i="10"/>
  <c r="E1352" i="10"/>
  <c r="D1356" i="10"/>
  <c r="E1356" i="10"/>
  <c r="D1360" i="10"/>
  <c r="E1360" i="10"/>
  <c r="D1364" i="10"/>
  <c r="E1364" i="10"/>
  <c r="D1368" i="10"/>
  <c r="E1368" i="10"/>
  <c r="D1372" i="10"/>
  <c r="E1372" i="10"/>
  <c r="D1376" i="10"/>
  <c r="E1376" i="10"/>
  <c r="D1380" i="10"/>
  <c r="E1380" i="10"/>
  <c r="E1384" i="10"/>
  <c r="D1384" i="10"/>
  <c r="E1388" i="10"/>
  <c r="D1388" i="10"/>
  <c r="E1392" i="10"/>
  <c r="D1392" i="10"/>
  <c r="E1396" i="10"/>
  <c r="D1396" i="10"/>
  <c r="E1400" i="10"/>
  <c r="D1400" i="10"/>
  <c r="E1404" i="10"/>
  <c r="D1404" i="10"/>
  <c r="E1408" i="10"/>
  <c r="D1408" i="10"/>
  <c r="E1412" i="10"/>
  <c r="D1412" i="10"/>
  <c r="E1416" i="10"/>
  <c r="D1416" i="10"/>
  <c r="E1420" i="10"/>
  <c r="D1420" i="10"/>
  <c r="E1424" i="10"/>
  <c r="D1424" i="10"/>
  <c r="E1428" i="10"/>
  <c r="D1428" i="10"/>
  <c r="E1432" i="10"/>
  <c r="D1432" i="10"/>
  <c r="E1436" i="10"/>
  <c r="D1436" i="10"/>
  <c r="E1440" i="10"/>
  <c r="D1440" i="10"/>
  <c r="E1444" i="10"/>
  <c r="D1444" i="10"/>
  <c r="E1448" i="10"/>
  <c r="D1448" i="10"/>
  <c r="E1452" i="10"/>
  <c r="D1452" i="10"/>
  <c r="E1456" i="10"/>
  <c r="D1456" i="10"/>
  <c r="E1460" i="10"/>
  <c r="D1460" i="10"/>
  <c r="E1464" i="10"/>
  <c r="D1464" i="10"/>
  <c r="E1468" i="10"/>
  <c r="D1468" i="10"/>
  <c r="E1472" i="10"/>
  <c r="D1472" i="10"/>
  <c r="E760" i="10"/>
  <c r="E762" i="10"/>
  <c r="E764" i="10"/>
  <c r="E766" i="10"/>
  <c r="E768" i="10"/>
  <c r="E770" i="10"/>
  <c r="E772" i="10"/>
  <c r="E774" i="10"/>
  <c r="E776" i="10"/>
  <c r="E778" i="10"/>
  <c r="E780" i="10"/>
  <c r="E782" i="10"/>
  <c r="E784" i="10"/>
  <c r="E786" i="10"/>
  <c r="E788" i="10"/>
  <c r="E790" i="10"/>
  <c r="E792" i="10"/>
  <c r="E794" i="10"/>
  <c r="E796" i="10"/>
  <c r="E798" i="10"/>
  <c r="E800" i="10"/>
  <c r="E802" i="10"/>
  <c r="E804" i="10"/>
  <c r="E806" i="10"/>
  <c r="E808" i="10"/>
  <c r="E810" i="10"/>
  <c r="E812" i="10"/>
  <c r="E814" i="10"/>
  <c r="E816" i="10"/>
  <c r="E818" i="10"/>
  <c r="E820" i="10"/>
  <c r="E822" i="10"/>
  <c r="E824" i="10"/>
  <c r="E826" i="10"/>
  <c r="E828" i="10"/>
  <c r="E830" i="10"/>
  <c r="E832" i="10"/>
  <c r="E834" i="10"/>
  <c r="E836" i="10"/>
  <c r="E838" i="10"/>
  <c r="E840" i="10"/>
  <c r="E842" i="10"/>
  <c r="E844" i="10"/>
  <c r="E846" i="10"/>
  <c r="E848" i="10"/>
  <c r="E850" i="10"/>
  <c r="E852" i="10"/>
  <c r="E854" i="10"/>
  <c r="E856" i="10"/>
  <c r="E858" i="10"/>
  <c r="E860" i="10"/>
  <c r="E862" i="10"/>
  <c r="E864" i="10"/>
  <c r="E866" i="10"/>
  <c r="E868" i="10"/>
  <c r="E870" i="10"/>
  <c r="E872" i="10"/>
  <c r="E874" i="10"/>
  <c r="E876" i="10"/>
  <c r="E878" i="10"/>
  <c r="E880" i="10"/>
  <c r="E882" i="10"/>
  <c r="E884" i="10"/>
  <c r="E886" i="10"/>
  <c r="E888" i="10"/>
  <c r="E890" i="10"/>
  <c r="E892" i="10"/>
  <c r="E894" i="10"/>
  <c r="E896" i="10"/>
  <c r="E898" i="10"/>
  <c r="E900" i="10"/>
  <c r="E902" i="10"/>
  <c r="E904" i="10"/>
  <c r="E906" i="10"/>
  <c r="E908" i="10"/>
  <c r="E910" i="10"/>
  <c r="E912" i="10"/>
  <c r="E914" i="10"/>
  <c r="D917" i="10"/>
  <c r="D925" i="10"/>
  <c r="D933" i="10"/>
  <c r="D941" i="10"/>
  <c r="D949" i="10"/>
  <c r="D957" i="10"/>
  <c r="D965" i="10"/>
  <c r="D973" i="10"/>
  <c r="D981" i="10"/>
  <c r="D989" i="10"/>
  <c r="D997" i="10"/>
  <c r="D1005" i="10"/>
  <c r="D1013" i="10"/>
  <c r="D1021" i="10"/>
  <c r="D1029" i="10"/>
  <c r="D1037" i="10"/>
  <c r="D1045" i="10"/>
  <c r="D1053" i="10"/>
  <c r="D1061" i="10"/>
  <c r="D1069" i="10"/>
  <c r="D1077" i="10"/>
  <c r="D1085" i="10"/>
  <c r="D1093" i="10"/>
  <c r="D1101" i="10"/>
  <c r="D1109" i="10"/>
  <c r="D1117" i="10"/>
  <c r="D1125" i="10"/>
  <c r="D1133" i="10"/>
  <c r="D1141" i="10"/>
  <c r="D1149" i="10"/>
  <c r="D1157" i="10"/>
  <c r="D1165" i="10"/>
  <c r="D1173" i="10"/>
  <c r="D1181" i="10"/>
  <c r="D1189" i="10"/>
  <c r="D1197" i="10"/>
  <c r="D1205" i="10"/>
  <c r="D1213" i="10"/>
  <c r="D1221" i="10"/>
  <c r="D1229" i="10"/>
  <c r="D1237" i="10"/>
  <c r="D1245" i="10"/>
  <c r="D1253" i="10"/>
  <c r="D1261" i="10"/>
  <c r="D1269" i="10"/>
  <c r="D1277" i="10"/>
  <c r="D1285" i="10"/>
  <c r="D1293" i="10"/>
  <c r="D1301" i="10"/>
  <c r="D1309" i="10"/>
  <c r="D1317" i="10"/>
  <c r="D1325" i="10"/>
  <c r="D1333" i="10"/>
  <c r="D1341" i="10"/>
  <c r="D1349" i="10"/>
  <c r="D1357" i="10"/>
  <c r="D1365" i="10"/>
  <c r="D1373" i="10"/>
  <c r="D1381" i="10"/>
  <c r="D1397" i="10"/>
  <c r="D1413" i="10"/>
  <c r="D1429" i="10"/>
  <c r="D1445" i="10"/>
  <c r="D1461" i="10"/>
  <c r="D930" i="10"/>
  <c r="E930" i="10"/>
  <c r="D946" i="10"/>
  <c r="E946" i="10"/>
  <c r="D962" i="10"/>
  <c r="E962" i="10"/>
  <c r="D982" i="10"/>
  <c r="E982" i="10"/>
  <c r="D998" i="10"/>
  <c r="E998" i="10"/>
  <c r="D1014" i="10"/>
  <c r="E1014" i="10"/>
  <c r="D1030" i="10"/>
  <c r="E1030" i="10"/>
  <c r="D1046" i="10"/>
  <c r="E1046" i="10"/>
  <c r="D1058" i="10"/>
  <c r="E1058" i="10"/>
  <c r="D1078" i="10"/>
  <c r="E1078" i="10"/>
  <c r="D1094" i="10"/>
  <c r="E1094" i="10"/>
  <c r="D1110" i="10"/>
  <c r="E1110" i="10"/>
  <c r="D1122" i="10"/>
  <c r="E1122" i="10"/>
  <c r="D1138" i="10"/>
  <c r="E1138" i="10"/>
  <c r="D1154" i="10"/>
  <c r="E1154" i="10"/>
  <c r="D1170" i="10"/>
  <c r="E1170" i="10"/>
  <c r="D1186" i="10"/>
  <c r="E1186" i="10"/>
  <c r="D1202" i="10"/>
  <c r="E1202" i="10"/>
  <c r="D1222" i="10"/>
  <c r="E1222" i="10"/>
  <c r="D1238" i="10"/>
  <c r="E1238" i="10"/>
  <c r="D1250" i="10"/>
  <c r="E1250" i="10"/>
  <c r="D1266" i="10"/>
  <c r="E1266" i="10"/>
  <c r="D1282" i="10"/>
  <c r="E1282" i="10"/>
  <c r="D1298" i="10"/>
  <c r="E1298" i="10"/>
  <c r="D1314" i="10"/>
  <c r="E1314" i="10"/>
  <c r="D1330" i="10"/>
  <c r="E1330" i="10"/>
  <c r="D1350" i="10"/>
  <c r="E1350" i="10"/>
  <c r="D1366" i="10"/>
  <c r="E1366" i="10"/>
  <c r="E1382" i="10"/>
  <c r="D1382" i="10"/>
  <c r="E1398" i="10"/>
  <c r="D1398" i="10"/>
  <c r="E1410" i="10"/>
  <c r="D1410" i="10"/>
  <c r="E1426" i="10"/>
  <c r="D1426" i="10"/>
  <c r="E1442" i="10"/>
  <c r="D1442" i="10"/>
  <c r="E1462" i="10"/>
  <c r="D1462" i="10"/>
  <c r="D920" i="10"/>
  <c r="E920" i="10"/>
  <c r="D928" i="10"/>
  <c r="E928" i="10"/>
  <c r="D936" i="10"/>
  <c r="E936" i="10"/>
  <c r="D940" i="10"/>
  <c r="E940" i="10"/>
  <c r="D948" i="10"/>
  <c r="E948" i="10"/>
  <c r="D956" i="10"/>
  <c r="E956" i="10"/>
  <c r="D964" i="10"/>
  <c r="E964" i="10"/>
  <c r="D972" i="10"/>
  <c r="E972" i="10"/>
  <c r="D980" i="10"/>
  <c r="E980" i="10"/>
  <c r="D988" i="10"/>
  <c r="E988" i="10"/>
  <c r="D996" i="10"/>
  <c r="E996" i="10"/>
  <c r="D1004" i="10"/>
  <c r="E1004" i="10"/>
  <c r="D1012" i="10"/>
  <c r="E1012" i="10"/>
  <c r="D1020" i="10"/>
  <c r="E1020" i="10"/>
  <c r="D1028" i="10"/>
  <c r="E1028" i="10"/>
  <c r="D1036" i="10"/>
  <c r="E1036" i="10"/>
  <c r="D1044" i="10"/>
  <c r="E1044" i="10"/>
  <c r="D1052" i="10"/>
  <c r="E1052" i="10"/>
  <c r="D1060" i="10"/>
  <c r="E1060" i="10"/>
  <c r="D1068" i="10"/>
  <c r="E1068" i="10"/>
  <c r="D1076" i="10"/>
  <c r="E1076" i="10"/>
  <c r="D1084" i="10"/>
  <c r="E1084" i="10"/>
  <c r="D1092" i="10"/>
  <c r="E1092" i="10"/>
  <c r="D1100" i="10"/>
  <c r="E1100" i="10"/>
  <c r="D1108" i="10"/>
  <c r="E1108" i="10"/>
  <c r="D1116" i="10"/>
  <c r="E1116" i="10"/>
  <c r="D1124" i="10"/>
  <c r="E1124" i="10"/>
  <c r="D1132" i="10"/>
  <c r="E1132" i="10"/>
  <c r="D1140" i="10"/>
  <c r="E1140" i="10"/>
  <c r="D1148" i="10"/>
  <c r="E1148" i="10"/>
  <c r="D1156" i="10"/>
  <c r="E1156" i="10"/>
  <c r="D1164" i="10"/>
  <c r="E1164" i="10"/>
  <c r="D1172" i="10"/>
  <c r="E1172" i="10"/>
  <c r="D1180" i="10"/>
  <c r="E1180" i="10"/>
  <c r="D1188" i="10"/>
  <c r="E1188" i="10"/>
  <c r="D1196" i="10"/>
  <c r="E1196" i="10"/>
  <c r="D1204" i="10"/>
  <c r="E1204" i="10"/>
  <c r="D1212" i="10"/>
  <c r="E1212" i="10"/>
  <c r="D1220" i="10"/>
  <c r="E1220" i="10"/>
  <c r="D1228" i="10"/>
  <c r="E1228" i="10"/>
  <c r="D1236" i="10"/>
  <c r="E1236" i="10"/>
  <c r="D1244" i="10"/>
  <c r="E1244" i="10"/>
  <c r="D1252" i="10"/>
  <c r="E1252" i="10"/>
  <c r="D1280" i="10"/>
  <c r="E1280" i="10"/>
  <c r="E1383" i="10"/>
  <c r="D1383" i="10"/>
  <c r="E1387" i="10"/>
  <c r="D1387" i="10"/>
  <c r="E1391" i="10"/>
  <c r="D1391" i="10"/>
  <c r="E1395" i="10"/>
  <c r="D1395" i="10"/>
  <c r="E1399" i="10"/>
  <c r="D1399" i="10"/>
  <c r="E1403" i="10"/>
  <c r="D1403" i="10"/>
  <c r="E1407" i="10"/>
  <c r="D1407" i="10"/>
  <c r="E1411" i="10"/>
  <c r="D1411" i="10"/>
  <c r="E1415" i="10"/>
  <c r="D1415" i="10"/>
  <c r="E1419" i="10"/>
  <c r="D1419" i="10"/>
  <c r="E1423" i="10"/>
  <c r="D1423" i="10"/>
  <c r="E1427" i="10"/>
  <c r="D1427" i="10"/>
  <c r="E1431" i="10"/>
  <c r="D1431" i="10"/>
  <c r="E1435" i="10"/>
  <c r="D1435" i="10"/>
  <c r="E1439" i="10"/>
  <c r="D1439" i="10"/>
  <c r="E1443" i="10"/>
  <c r="D1443" i="10"/>
  <c r="E1447" i="10"/>
  <c r="D1447" i="10"/>
  <c r="E1451" i="10"/>
  <c r="D1451" i="10"/>
  <c r="E1455" i="10"/>
  <c r="D1455" i="10"/>
  <c r="E1459" i="10"/>
  <c r="D1459" i="10"/>
  <c r="E1463" i="10"/>
  <c r="D1463" i="10"/>
  <c r="E1467" i="10"/>
  <c r="D1467" i="10"/>
  <c r="E1471" i="10"/>
  <c r="D1471" i="10"/>
  <c r="E1475" i="10"/>
  <c r="D1475" i="10"/>
  <c r="D916" i="10"/>
  <c r="D923" i="10"/>
  <c r="D931" i="10"/>
  <c r="D939" i="10"/>
  <c r="D947" i="10"/>
  <c r="D955" i="10"/>
  <c r="D963" i="10"/>
  <c r="D971" i="10"/>
  <c r="D979" i="10"/>
  <c r="D987" i="10"/>
  <c r="D995" i="10"/>
  <c r="D1003" i="10"/>
  <c r="D1011" i="10"/>
  <c r="D1019" i="10"/>
  <c r="D1027" i="10"/>
  <c r="D1035" i="10"/>
  <c r="D1043" i="10"/>
  <c r="D1051" i="10"/>
  <c r="D1059" i="10"/>
  <c r="D1067" i="10"/>
  <c r="D1075" i="10"/>
  <c r="D1083" i="10"/>
  <c r="D1091" i="10"/>
  <c r="D1099" i="10"/>
  <c r="D1107" i="10"/>
  <c r="D1115" i="10"/>
  <c r="D1123" i="10"/>
  <c r="D1131" i="10"/>
  <c r="D1139" i="10"/>
  <c r="D1147" i="10"/>
  <c r="D1155" i="10"/>
  <c r="D1163" i="10"/>
  <c r="D1171" i="10"/>
  <c r="D1179" i="10"/>
  <c r="D1187" i="10"/>
  <c r="D1195" i="10"/>
  <c r="D1203" i="10"/>
  <c r="D1211" i="10"/>
  <c r="D1219" i="10"/>
  <c r="D1227" i="10"/>
  <c r="D1235" i="10"/>
  <c r="D1243" i="10"/>
  <c r="D1251" i="10"/>
  <c r="D1259" i="10"/>
  <c r="D1267" i="10"/>
  <c r="D1275" i="10"/>
  <c r="D1283" i="10"/>
  <c r="D1291" i="10"/>
  <c r="D1299" i="10"/>
  <c r="D1307" i="10"/>
  <c r="D1315" i="10"/>
  <c r="D1323" i="10"/>
  <c r="D1331" i="10"/>
  <c r="D1339" i="10"/>
  <c r="D1347" i="10"/>
  <c r="D1355" i="10"/>
  <c r="D1363" i="10"/>
  <c r="D1371" i="10"/>
  <c r="D1379" i="10"/>
  <c r="D1393" i="10"/>
  <c r="D1409" i="10"/>
  <c r="D1425" i="10"/>
  <c r="D1441" i="10"/>
  <c r="D1457" i="10"/>
  <c r="D1473" i="10"/>
  <c r="D926" i="10"/>
  <c r="E926" i="10"/>
  <c r="D942" i="10"/>
  <c r="E942" i="10"/>
  <c r="D958" i="10"/>
  <c r="E958" i="10"/>
  <c r="D974" i="10"/>
  <c r="E974" i="10"/>
  <c r="D990" i="10"/>
  <c r="E990" i="10"/>
  <c r="D1002" i="10"/>
  <c r="E1002" i="10"/>
  <c r="D1018" i="10"/>
  <c r="E1018" i="10"/>
  <c r="D1034" i="10"/>
  <c r="E1034" i="10"/>
  <c r="D1050" i="10"/>
  <c r="E1050" i="10"/>
  <c r="D1066" i="10"/>
  <c r="E1066" i="10"/>
  <c r="D1082" i="10"/>
  <c r="E1082" i="10"/>
  <c r="D1098" i="10"/>
  <c r="E1098" i="10"/>
  <c r="D1114" i="10"/>
  <c r="E1114" i="10"/>
  <c r="D1130" i="10"/>
  <c r="E1130" i="10"/>
  <c r="D1146" i="10"/>
  <c r="E1146" i="10"/>
  <c r="D1162" i="10"/>
  <c r="E1162" i="10"/>
  <c r="D1178" i="10"/>
  <c r="E1178" i="10"/>
  <c r="D1198" i="10"/>
  <c r="E1198" i="10"/>
  <c r="D1210" i="10"/>
  <c r="E1210" i="10"/>
  <c r="D1226" i="10"/>
  <c r="E1226" i="10"/>
  <c r="D1242" i="10"/>
  <c r="E1242" i="10"/>
  <c r="D1258" i="10"/>
  <c r="E1258" i="10"/>
  <c r="D1274" i="10"/>
  <c r="E1274" i="10"/>
  <c r="D1290" i="10"/>
  <c r="E1290" i="10"/>
  <c r="D1310" i="10"/>
  <c r="E1310" i="10"/>
  <c r="D1326" i="10"/>
  <c r="E1326" i="10"/>
  <c r="D1338" i="10"/>
  <c r="E1338" i="10"/>
  <c r="D1358" i="10"/>
  <c r="E1358" i="10"/>
  <c r="D1370" i="10"/>
  <c r="E1370" i="10"/>
  <c r="E1386" i="10"/>
  <c r="D1386" i="10"/>
  <c r="E1402" i="10"/>
  <c r="D1402" i="10"/>
  <c r="E1418" i="10"/>
  <c r="D1418" i="10"/>
  <c r="E1438" i="10"/>
  <c r="D1438" i="10"/>
  <c r="E1454" i="10"/>
  <c r="D1454" i="10"/>
  <c r="E1470" i="10"/>
  <c r="D1470" i="10"/>
  <c r="D921" i="10"/>
  <c r="D929" i="10"/>
  <c r="D937" i="10"/>
  <c r="D945" i="10"/>
  <c r="D953" i="10"/>
  <c r="D961" i="10"/>
  <c r="D969" i="10"/>
  <c r="D977" i="10"/>
  <c r="D985" i="10"/>
  <c r="D993" i="10"/>
  <c r="D1001" i="10"/>
  <c r="D1009" i="10"/>
  <c r="D1017" i="10"/>
  <c r="D1025" i="10"/>
  <c r="D1033" i="10"/>
  <c r="D1041" i="10"/>
  <c r="D1049" i="10"/>
  <c r="D1057" i="10"/>
  <c r="D1065" i="10"/>
  <c r="D1073" i="10"/>
  <c r="D1081" i="10"/>
  <c r="D1089" i="10"/>
  <c r="D1097" i="10"/>
  <c r="D1105" i="10"/>
  <c r="D1113" i="10"/>
  <c r="D1121" i="10"/>
  <c r="D1129" i="10"/>
  <c r="D1137" i="10"/>
  <c r="D1145" i="10"/>
  <c r="D1153" i="10"/>
  <c r="D1161" i="10"/>
  <c r="D1169" i="10"/>
  <c r="D1177" i="10"/>
  <c r="D1185" i="10"/>
  <c r="D1193" i="10"/>
  <c r="D1201" i="10"/>
  <c r="D1209" i="10"/>
  <c r="D1217" i="10"/>
  <c r="D1225" i="10"/>
  <c r="D1233" i="10"/>
  <c r="D1241" i="10"/>
  <c r="D1249" i="10"/>
  <c r="D1257" i="10"/>
  <c r="D1265" i="10"/>
  <c r="D1273" i="10"/>
  <c r="D1281" i="10"/>
  <c r="D1289" i="10"/>
  <c r="D1297" i="10"/>
  <c r="D1305" i="10"/>
  <c r="D1313" i="10"/>
  <c r="D1321" i="10"/>
  <c r="D1329" i="10"/>
  <c r="D1337" i="10"/>
  <c r="D1345" i="10"/>
  <c r="D1353" i="10"/>
  <c r="D1361" i="10"/>
  <c r="D1369" i="10"/>
  <c r="D1377" i="10"/>
  <c r="D1389" i="10"/>
  <c r="D1405" i="10"/>
  <c r="D1421" i="10"/>
  <c r="D1437" i="10"/>
  <c r="D1453" i="10"/>
  <c r="D1469" i="10"/>
  <c r="D1476" i="10"/>
  <c r="E1476" i="10"/>
  <c r="D1477" i="10"/>
  <c r="E1477" i="10"/>
  <c r="D1478" i="10"/>
  <c r="E1478" i="10"/>
  <c r="D1479" i="10"/>
  <c r="E1479" i="10"/>
  <c r="D1480" i="10"/>
  <c r="E1480" i="10"/>
  <c r="D1481" i="10"/>
  <c r="E1481" i="10"/>
  <c r="D1482" i="10"/>
  <c r="E1482" i="10"/>
  <c r="D1483" i="10"/>
  <c r="E1483" i="10"/>
  <c r="D1484" i="10"/>
  <c r="E1484" i="10"/>
  <c r="D1485" i="10"/>
  <c r="E1485" i="10"/>
  <c r="D1486" i="10"/>
  <c r="E1486" i="10"/>
  <c r="D1487" i="10"/>
  <c r="E1487" i="10"/>
  <c r="D1488" i="10"/>
  <c r="E1488" i="10"/>
  <c r="D1489" i="10"/>
  <c r="E1489" i="10"/>
  <c r="D1490" i="10"/>
  <c r="E1490" i="10"/>
  <c r="D1491" i="10"/>
  <c r="E1491" i="10"/>
  <c r="D1492" i="10"/>
  <c r="E1492" i="10"/>
  <c r="D1493" i="10"/>
  <c r="E1493" i="10"/>
  <c r="D1494" i="10"/>
  <c r="E1494" i="10"/>
  <c r="D1495" i="10"/>
  <c r="E1495" i="10"/>
  <c r="D1496" i="10"/>
  <c r="E1496" i="10"/>
  <c r="D1497" i="10"/>
  <c r="E1497" i="10"/>
  <c r="D1498" i="10"/>
  <c r="E1498" i="10"/>
  <c r="D1499" i="10"/>
  <c r="E1499" i="10"/>
  <c r="D1500" i="10"/>
  <c r="E1500" i="10"/>
  <c r="D1501" i="10"/>
  <c r="E1501" i="10"/>
  <c r="D1502" i="10"/>
  <c r="E1502" i="10"/>
  <c r="D1503" i="10"/>
  <c r="E1503" i="10"/>
  <c r="D1504" i="10"/>
  <c r="E1504" i="10"/>
  <c r="D1505" i="10"/>
  <c r="E1505" i="10"/>
  <c r="D1506" i="10"/>
  <c r="E1506" i="10"/>
  <c r="D1507" i="10"/>
  <c r="E1507" i="10"/>
  <c r="D1508" i="10"/>
  <c r="E1508" i="10"/>
  <c r="D1509" i="10"/>
  <c r="E1509" i="10"/>
  <c r="D1510" i="10"/>
  <c r="E1510" i="10"/>
  <c r="D1511" i="10"/>
  <c r="E1511" i="10"/>
  <c r="D1512" i="10"/>
  <c r="E1512" i="10"/>
  <c r="D1513" i="10"/>
  <c r="E1513" i="10"/>
  <c r="D1514" i="10"/>
  <c r="E1514" i="10"/>
  <c r="D1515" i="10"/>
  <c r="E1515" i="10"/>
  <c r="D1516" i="10"/>
  <c r="E1516" i="10"/>
  <c r="D1517" i="10"/>
  <c r="E1517" i="10"/>
  <c r="D1518" i="10"/>
  <c r="E1518" i="10"/>
  <c r="D1519" i="10"/>
  <c r="E1519" i="10"/>
  <c r="D1520" i="10"/>
  <c r="E1520" i="10"/>
  <c r="D1521" i="10"/>
  <c r="E1521" i="10"/>
  <c r="D1522" i="10"/>
  <c r="E1522" i="10"/>
  <c r="D1523" i="10"/>
  <c r="E1523" i="10"/>
  <c r="D1524" i="10"/>
  <c r="E1524" i="10"/>
  <c r="D1525" i="10"/>
  <c r="E1525" i="10"/>
  <c r="D1526" i="10"/>
  <c r="E1526" i="10"/>
  <c r="D1527" i="10"/>
  <c r="E1527" i="10"/>
  <c r="D1528" i="10"/>
  <c r="E1528" i="10"/>
  <c r="D1529" i="10"/>
  <c r="E1529" i="10"/>
  <c r="D1530" i="10"/>
  <c r="E1530" i="10"/>
  <c r="D1531" i="10"/>
  <c r="E1531" i="10"/>
  <c r="D1532" i="10"/>
  <c r="E1532" i="10"/>
  <c r="D1533" i="10"/>
  <c r="E1533" i="10"/>
  <c r="D1534" i="10"/>
  <c r="E1534" i="10"/>
  <c r="D1535" i="10"/>
  <c r="E1535" i="10"/>
  <c r="D1536" i="10"/>
  <c r="E1536" i="10"/>
  <c r="D1537" i="10"/>
  <c r="E1537" i="10"/>
  <c r="D1538" i="10"/>
  <c r="E1538" i="10"/>
  <c r="D1539" i="10"/>
  <c r="E1539" i="10"/>
  <c r="D1540" i="10"/>
  <c r="E1540" i="10"/>
  <c r="D1541" i="10"/>
  <c r="E1541" i="10"/>
  <c r="D1542" i="10"/>
  <c r="E1542" i="10"/>
  <c r="D1543" i="10"/>
  <c r="E1543" i="10"/>
  <c r="D1544" i="10"/>
  <c r="E1544" i="10"/>
  <c r="D1545" i="10"/>
  <c r="E1545" i="10"/>
  <c r="D1546" i="10"/>
  <c r="E1546" i="10"/>
  <c r="D1547" i="10"/>
  <c r="E1547" i="10"/>
  <c r="D1548" i="10"/>
  <c r="E1548" i="10"/>
  <c r="D1549" i="10"/>
  <c r="E1549" i="10"/>
  <c r="D1550" i="10"/>
  <c r="E1550" i="10"/>
  <c r="D1551" i="10"/>
  <c r="E1551" i="10"/>
  <c r="D1552" i="10"/>
  <c r="E1552" i="10"/>
  <c r="D1553" i="10"/>
  <c r="E1553" i="10"/>
  <c r="D1554" i="10"/>
  <c r="E1554" i="10"/>
  <c r="D1555" i="10"/>
  <c r="E1555" i="10"/>
  <c r="D1556" i="10"/>
  <c r="E1556" i="10"/>
  <c r="D1557" i="10"/>
  <c r="E1557" i="10"/>
  <c r="D1558" i="10"/>
  <c r="E1558" i="10"/>
  <c r="D1559" i="10"/>
  <c r="E1559" i="10"/>
  <c r="D1560" i="10"/>
  <c r="E1560" i="10"/>
  <c r="D1561" i="10"/>
  <c r="E1561" i="10"/>
  <c r="D1562" i="10"/>
  <c r="E1562" i="10"/>
  <c r="D1563" i="10"/>
  <c r="E1563" i="10"/>
  <c r="D1564" i="10"/>
  <c r="E1564" i="10"/>
  <c r="D1565" i="10"/>
  <c r="E1565" i="10"/>
  <c r="D1566" i="10"/>
  <c r="E1566" i="10"/>
  <c r="D1567" i="10"/>
  <c r="E1567" i="10"/>
  <c r="D1568" i="10"/>
  <c r="E1568" i="10"/>
  <c r="D1569" i="10"/>
  <c r="E1569" i="10"/>
  <c r="D1570" i="10"/>
  <c r="E1570" i="10"/>
  <c r="D1571" i="10"/>
  <c r="E1571" i="10"/>
  <c r="D1572" i="10"/>
  <c r="E1572" i="10"/>
  <c r="D1573" i="10"/>
  <c r="E1573" i="10"/>
  <c r="D1574" i="10"/>
  <c r="E1574" i="10"/>
  <c r="D1575" i="10"/>
  <c r="E1575" i="10"/>
  <c r="D1576" i="10"/>
  <c r="E1576" i="10"/>
  <c r="D1577" i="10"/>
  <c r="E1577" i="10"/>
  <c r="D1578" i="10"/>
  <c r="E1578" i="10"/>
  <c r="D1579" i="10"/>
  <c r="E1579" i="10"/>
  <c r="D1580" i="10"/>
  <c r="E1580" i="10"/>
  <c r="D1581" i="10"/>
  <c r="E1581" i="10"/>
  <c r="D1582" i="10"/>
  <c r="E1582" i="10"/>
  <c r="D1583" i="10"/>
  <c r="E1583" i="10"/>
  <c r="D1584" i="10"/>
  <c r="E1584" i="10"/>
  <c r="D1585" i="10"/>
  <c r="E1585" i="10"/>
  <c r="D1586" i="10"/>
  <c r="E1586" i="10"/>
  <c r="D1587" i="10"/>
  <c r="E1587" i="10"/>
  <c r="D1588" i="10"/>
  <c r="E1588" i="10"/>
  <c r="D1589" i="10"/>
  <c r="E1589" i="10"/>
  <c r="D1590" i="10"/>
  <c r="E1590" i="10"/>
  <c r="D1591" i="10"/>
  <c r="E1591" i="10"/>
  <c r="D1592" i="10"/>
  <c r="E1592" i="10"/>
  <c r="D1593" i="10"/>
  <c r="E1593" i="10"/>
  <c r="D1594" i="10"/>
  <c r="E1594" i="10"/>
  <c r="D1595" i="10"/>
  <c r="E1595" i="10"/>
  <c r="D1596" i="10"/>
  <c r="E1596" i="10"/>
  <c r="D1597" i="10"/>
  <c r="E1597" i="10"/>
  <c r="D1598" i="10"/>
  <c r="E1598" i="10"/>
  <c r="D1599" i="10"/>
  <c r="E1599" i="10"/>
  <c r="D1600" i="10"/>
  <c r="E1600" i="10"/>
  <c r="D1601" i="10"/>
  <c r="E1601" i="10"/>
  <c r="D1602" i="10"/>
  <c r="E1602" i="10"/>
  <c r="D1603" i="10"/>
  <c r="E1603" i="10"/>
  <c r="D1604" i="10"/>
  <c r="E1604" i="10"/>
  <c r="D1605" i="10"/>
  <c r="E1605" i="10"/>
  <c r="D1606" i="10"/>
  <c r="E1606" i="10"/>
  <c r="D1607" i="10"/>
  <c r="E1607" i="10"/>
  <c r="D1608" i="10"/>
  <c r="E1608" i="10"/>
  <c r="D1609" i="10"/>
  <c r="E1609" i="10"/>
  <c r="D1610" i="10"/>
  <c r="E1610" i="10"/>
  <c r="D1611" i="10"/>
  <c r="E1611" i="10"/>
  <c r="D1612" i="10"/>
  <c r="E1612" i="10"/>
  <c r="D1613" i="10"/>
  <c r="E1613" i="10"/>
  <c r="D1614" i="10"/>
  <c r="E1614" i="10"/>
  <c r="D1615" i="10"/>
  <c r="E1615" i="10"/>
  <c r="D1616" i="10"/>
  <c r="E1616" i="10"/>
  <c r="D1617" i="10"/>
  <c r="E1617" i="10"/>
  <c r="D1618" i="10"/>
  <c r="E1618" i="10"/>
  <c r="D1619" i="10"/>
  <c r="E1619" i="10"/>
  <c r="D1620" i="10"/>
  <c r="E1620" i="10"/>
  <c r="D1621" i="10"/>
  <c r="E1621" i="10"/>
  <c r="D1622" i="10"/>
  <c r="E1622" i="10"/>
  <c r="D1623" i="10"/>
  <c r="E1623" i="10"/>
  <c r="D1624" i="10"/>
  <c r="E1624" i="10"/>
  <c r="D1625" i="10"/>
  <c r="E1625" i="10"/>
  <c r="D1626" i="10"/>
  <c r="E1626" i="10"/>
  <c r="D1627" i="10"/>
  <c r="E1627" i="10"/>
  <c r="D1628" i="10"/>
  <c r="E1628" i="10"/>
  <c r="D1629" i="10"/>
  <c r="E1629" i="10"/>
  <c r="D1630" i="10"/>
  <c r="E1630" i="10"/>
  <c r="D1631" i="10"/>
  <c r="E1631" i="10"/>
  <c r="D1632" i="10"/>
  <c r="E1632" i="10"/>
  <c r="D1633" i="10"/>
  <c r="E1633" i="10"/>
  <c r="D1634" i="10"/>
  <c r="E1634" i="10"/>
  <c r="D1635" i="10"/>
  <c r="E1635" i="10"/>
  <c r="D1636" i="10"/>
  <c r="E1636" i="10"/>
  <c r="D1637" i="10"/>
  <c r="E1637" i="10"/>
  <c r="D1638" i="10"/>
  <c r="E1638" i="10"/>
  <c r="D1639" i="10"/>
  <c r="E1639" i="10"/>
  <c r="D1640" i="10"/>
  <c r="E1640" i="10"/>
  <c r="D1641" i="10"/>
  <c r="E1641" i="10"/>
  <c r="D1642" i="10"/>
  <c r="E1642" i="10"/>
  <c r="D1643" i="10"/>
  <c r="E1643" i="10"/>
  <c r="D1644" i="10"/>
  <c r="E1644" i="10"/>
  <c r="D1645" i="10"/>
  <c r="E1645" i="10"/>
  <c r="D1646" i="10"/>
  <c r="E1646" i="10"/>
  <c r="D1647" i="10"/>
  <c r="E1647" i="10"/>
  <c r="D1648" i="10"/>
  <c r="E1648" i="10"/>
  <c r="D1649" i="10"/>
  <c r="E1649" i="10"/>
  <c r="D1650" i="10"/>
  <c r="E1650" i="10"/>
  <c r="D1651" i="10"/>
  <c r="E1651" i="10"/>
  <c r="D1652" i="10"/>
  <c r="E1652" i="10"/>
  <c r="D1653" i="10"/>
  <c r="E1653" i="10"/>
  <c r="D1654" i="10"/>
  <c r="E1654" i="10"/>
  <c r="D1655" i="10"/>
  <c r="E1655" i="10"/>
  <c r="D1656" i="10"/>
  <c r="E1656" i="10"/>
  <c r="D1657" i="10"/>
  <c r="E1657" i="10"/>
  <c r="D1658" i="10"/>
  <c r="E1658" i="10"/>
  <c r="D1659" i="10"/>
  <c r="E1659" i="10"/>
  <c r="D1660" i="10"/>
  <c r="E1660" i="10"/>
  <c r="D1661" i="10"/>
  <c r="E1661" i="10"/>
  <c r="D1662" i="10"/>
  <c r="E1662" i="10"/>
  <c r="D1663" i="10"/>
  <c r="E1663" i="10"/>
  <c r="D1664" i="10"/>
  <c r="E1664" i="10"/>
  <c r="D1665" i="10"/>
  <c r="E1665" i="10"/>
  <c r="D1666" i="10"/>
  <c r="E1666" i="10"/>
  <c r="D1667" i="10"/>
  <c r="E1667" i="10"/>
  <c r="D1668" i="10"/>
  <c r="E1668" i="10"/>
  <c r="D1669" i="10"/>
  <c r="E1669" i="10"/>
  <c r="D1670" i="10"/>
  <c r="E1670" i="10"/>
  <c r="D1671" i="10"/>
  <c r="E1671" i="10"/>
  <c r="D1672" i="10"/>
  <c r="E1672" i="10"/>
  <c r="D1673" i="10"/>
  <c r="E1673" i="10"/>
  <c r="D1674" i="10"/>
  <c r="E1674" i="10"/>
  <c r="D1675" i="10"/>
  <c r="E1675" i="10"/>
  <c r="D1676" i="10"/>
  <c r="E1676" i="10"/>
  <c r="D1677" i="10"/>
  <c r="E1677" i="10"/>
  <c r="D1678" i="10"/>
  <c r="E1678" i="10"/>
  <c r="D1679" i="10"/>
  <c r="E1679" i="10"/>
  <c r="D1680" i="10"/>
  <c r="E1680" i="10"/>
  <c r="D1681" i="10"/>
  <c r="E1681" i="10"/>
  <c r="D1682" i="10"/>
  <c r="E1682" i="10"/>
  <c r="D1683" i="10"/>
  <c r="E1683" i="10"/>
  <c r="D1684" i="10"/>
  <c r="E1684" i="10"/>
  <c r="D1685" i="10"/>
  <c r="E1685" i="10"/>
  <c r="D1686" i="10"/>
  <c r="E1686" i="10"/>
  <c r="D1687" i="10"/>
  <c r="E1687" i="10"/>
  <c r="D1688" i="10"/>
  <c r="E1688" i="10"/>
  <c r="D1689" i="10"/>
  <c r="E1689" i="10"/>
  <c r="D1690" i="10"/>
  <c r="E1690" i="10"/>
  <c r="D1691" i="10"/>
  <c r="E1691" i="10"/>
  <c r="D1692" i="10"/>
  <c r="E1692" i="10"/>
  <c r="D1693" i="10"/>
  <c r="E1693" i="10"/>
  <c r="D1694" i="10"/>
  <c r="E1694" i="10"/>
  <c r="D1695" i="10"/>
  <c r="E1695" i="10"/>
  <c r="D1696" i="10"/>
  <c r="E1696" i="10"/>
  <c r="D1697" i="10"/>
  <c r="E1697" i="10"/>
  <c r="D1698" i="10"/>
  <c r="E1698" i="10"/>
  <c r="D1699" i="10"/>
  <c r="E1699" i="10"/>
  <c r="D1700" i="10"/>
  <c r="E1700" i="10"/>
  <c r="D1701" i="10"/>
  <c r="E1701" i="10"/>
  <c r="D1702" i="10"/>
  <c r="E1702" i="10"/>
  <c r="D1703" i="10"/>
  <c r="E1703" i="10"/>
  <c r="D1704" i="10"/>
  <c r="E1704" i="10"/>
  <c r="D1705" i="10"/>
  <c r="E1705" i="10"/>
  <c r="D1706" i="10"/>
  <c r="E1706" i="10"/>
  <c r="D1707" i="10"/>
  <c r="E1707" i="10"/>
  <c r="D1708" i="10"/>
  <c r="E1708" i="10"/>
  <c r="D1709" i="10"/>
  <c r="E1709" i="10"/>
  <c r="D1710" i="10"/>
  <c r="E1710" i="10"/>
  <c r="D1711" i="10"/>
  <c r="E1711" i="10"/>
  <c r="D1712" i="10"/>
  <c r="E1712" i="10"/>
  <c r="D1713" i="10"/>
  <c r="E1713" i="10"/>
  <c r="D1714" i="10"/>
  <c r="E1714" i="10"/>
  <c r="D1715" i="10"/>
  <c r="E1715" i="10"/>
  <c r="D1716" i="10"/>
  <c r="E1716" i="10"/>
  <c r="D1717" i="10"/>
  <c r="E1717" i="10"/>
  <c r="D1718" i="10"/>
  <c r="E1718" i="10"/>
  <c r="D1719" i="10"/>
  <c r="E1719" i="10"/>
  <c r="D1720" i="10"/>
  <c r="E1720" i="10"/>
  <c r="D1721" i="10"/>
  <c r="E1721" i="10"/>
  <c r="D1722" i="10"/>
  <c r="E1722" i="10"/>
  <c r="D1723" i="10"/>
  <c r="E1723" i="10"/>
  <c r="D1724" i="10"/>
  <c r="E1724" i="10"/>
  <c r="D1725" i="10"/>
  <c r="E1725" i="10"/>
  <c r="D1726" i="10"/>
  <c r="E1726" i="10"/>
  <c r="D1727" i="10"/>
  <c r="E1727" i="10"/>
  <c r="D1728" i="10"/>
  <c r="E1728" i="10"/>
  <c r="D1729" i="10"/>
  <c r="E1729" i="10"/>
  <c r="D1730" i="10"/>
  <c r="E1730" i="10"/>
  <c r="D1731" i="10"/>
  <c r="E1731" i="10"/>
  <c r="D1732" i="10"/>
  <c r="E1732" i="10"/>
  <c r="D1733" i="10"/>
  <c r="E1733" i="10"/>
  <c r="D1734" i="10"/>
  <c r="E1734" i="10"/>
  <c r="D1735" i="10"/>
  <c r="E1735" i="10"/>
  <c r="D1736" i="10"/>
  <c r="E1736" i="10"/>
  <c r="D1737" i="10"/>
  <c r="E1737" i="10"/>
  <c r="D1738" i="10"/>
  <c r="E1738" i="10"/>
  <c r="D1739" i="10"/>
  <c r="E1739" i="10"/>
  <c r="D1740" i="10"/>
  <c r="E1740" i="10"/>
  <c r="D1741" i="10"/>
  <c r="E1741" i="10"/>
  <c r="D1742" i="10"/>
  <c r="E1742" i="10"/>
  <c r="D1743" i="10"/>
  <c r="E1743" i="10"/>
  <c r="D1744" i="10"/>
  <c r="E1744" i="10"/>
  <c r="D1745" i="10"/>
  <c r="E1745" i="10"/>
  <c r="D1746" i="10"/>
  <c r="E1746" i="10"/>
  <c r="D1747" i="10"/>
  <c r="E1747" i="10"/>
  <c r="D1748" i="10"/>
  <c r="E1748" i="10"/>
  <c r="D1749" i="10"/>
  <c r="E1749" i="10"/>
  <c r="D1750" i="10"/>
  <c r="E1750" i="10"/>
  <c r="D1751" i="10"/>
  <c r="E1751" i="10"/>
  <c r="D1752" i="10"/>
  <c r="E1752" i="10"/>
  <c r="D1753" i="10"/>
  <c r="E1753" i="10"/>
  <c r="D1754" i="10"/>
  <c r="E1754" i="10"/>
  <c r="D1755" i="10"/>
  <c r="E1755" i="10"/>
  <c r="D1756" i="10"/>
  <c r="E1756" i="10"/>
  <c r="D1757" i="10"/>
  <c r="E1757" i="10"/>
  <c r="D1758" i="10"/>
  <c r="E1758" i="10"/>
  <c r="D1759" i="10"/>
  <c r="E1759" i="10"/>
  <c r="D1760" i="10"/>
  <c r="E1760" i="10"/>
  <c r="D1761" i="10"/>
  <c r="E1761" i="10"/>
  <c r="D1762" i="10"/>
  <c r="E1762" i="10"/>
  <c r="D1763" i="10"/>
  <c r="E1763" i="10"/>
  <c r="D1764" i="10"/>
  <c r="E1764" i="10"/>
  <c r="D1765" i="10"/>
  <c r="E1765" i="10"/>
  <c r="D1766" i="10"/>
  <c r="E1766" i="10"/>
  <c r="D1767" i="10"/>
  <c r="E1767" i="10"/>
  <c r="D1768" i="10"/>
  <c r="E1768" i="10"/>
  <c r="D1769" i="10"/>
  <c r="E1769" i="10"/>
  <c r="D1770" i="10"/>
  <c r="E1770" i="10"/>
  <c r="D1771" i="10"/>
  <c r="E1771" i="10"/>
  <c r="D1772" i="10"/>
  <c r="E1772" i="10"/>
  <c r="D1773" i="10"/>
  <c r="E1773" i="10"/>
  <c r="D1774" i="10"/>
  <c r="E1774" i="10"/>
  <c r="D1775" i="10"/>
  <c r="E1775" i="10"/>
  <c r="D1776" i="10"/>
  <c r="E1776" i="10"/>
  <c r="D1777" i="10"/>
  <c r="E1777" i="10"/>
  <c r="D1778" i="10"/>
  <c r="E1778" i="10"/>
  <c r="D1779" i="10"/>
  <c r="E1779" i="10"/>
  <c r="D1780" i="10"/>
  <c r="E1780" i="10"/>
  <c r="D1781" i="10"/>
  <c r="E1781" i="10"/>
  <c r="D1782" i="10"/>
  <c r="E1782" i="10"/>
  <c r="D1783" i="10"/>
  <c r="E1783" i="10"/>
  <c r="D1784" i="10"/>
  <c r="E1784" i="10"/>
  <c r="D1785" i="10"/>
  <c r="E1785" i="10"/>
  <c r="D1786" i="10"/>
  <c r="E1786" i="10"/>
  <c r="D1787" i="10"/>
  <c r="E1787" i="10"/>
  <c r="D1788" i="10"/>
  <c r="E1788" i="10"/>
  <c r="D1789" i="10"/>
  <c r="E1789" i="10"/>
  <c r="D1790" i="10"/>
  <c r="E1790" i="10"/>
  <c r="D1791" i="10"/>
  <c r="E1791" i="10"/>
  <c r="D1792" i="10"/>
  <c r="E1792" i="10"/>
  <c r="D1793" i="10"/>
  <c r="E1793" i="10"/>
  <c r="D1794" i="10"/>
  <c r="E1794" i="10"/>
  <c r="D1795" i="10"/>
  <c r="E1795" i="10"/>
  <c r="D1796" i="10"/>
  <c r="E1796" i="10"/>
  <c r="D1797" i="10"/>
  <c r="E1797" i="10"/>
  <c r="D1798" i="10"/>
  <c r="E1798" i="10"/>
  <c r="D1799" i="10"/>
  <c r="E1799" i="10"/>
  <c r="D1800" i="10"/>
  <c r="E1800" i="10"/>
  <c r="D1801" i="10"/>
  <c r="E1801" i="10"/>
  <c r="D1802" i="10"/>
  <c r="E1802" i="10"/>
  <c r="D1803" i="10"/>
  <c r="E1803" i="10"/>
  <c r="D1804" i="10"/>
  <c r="E1804" i="10"/>
  <c r="D1805" i="10"/>
  <c r="E1805" i="10"/>
  <c r="D1806" i="10"/>
  <c r="E1806" i="10"/>
  <c r="D1807" i="10"/>
  <c r="E1807" i="10"/>
  <c r="D1808" i="10"/>
  <c r="E1808" i="10"/>
  <c r="D1809" i="10"/>
  <c r="E1809" i="10"/>
  <c r="D1810" i="10"/>
  <c r="E1810" i="10"/>
  <c r="D1811" i="10"/>
  <c r="E1811" i="10"/>
  <c r="D1812" i="10"/>
  <c r="E1812" i="10"/>
  <c r="D1813" i="10"/>
  <c r="E1813" i="10"/>
  <c r="D1814" i="10"/>
  <c r="E1814" i="10"/>
  <c r="D1815" i="10"/>
  <c r="E1815" i="10"/>
  <c r="D1816" i="10"/>
  <c r="E1816" i="10"/>
  <c r="D1817" i="10"/>
  <c r="E1817" i="10"/>
  <c r="D1818" i="10"/>
  <c r="E1818" i="10"/>
  <c r="D1819" i="10"/>
  <c r="E1819" i="10"/>
  <c r="D1820" i="10"/>
  <c r="E1820" i="10"/>
  <c r="D1821" i="10"/>
  <c r="E1821" i="10"/>
  <c r="D1822" i="10"/>
  <c r="E1822" i="10"/>
  <c r="D1823" i="10"/>
  <c r="E1823" i="10"/>
  <c r="D1824" i="10"/>
  <c r="E1824" i="10"/>
  <c r="D1825" i="10"/>
  <c r="E1825" i="10"/>
  <c r="D1826" i="10"/>
  <c r="E1826" i="10"/>
  <c r="D1827" i="10"/>
  <c r="E1827" i="10"/>
  <c r="D1828" i="10"/>
  <c r="E1828" i="10"/>
  <c r="D1829" i="10"/>
  <c r="E1829" i="10"/>
  <c r="D1830" i="10"/>
  <c r="E1830" i="10"/>
  <c r="D1831" i="10"/>
  <c r="E1831" i="10"/>
  <c r="D1832" i="10"/>
  <c r="E1832" i="10"/>
  <c r="D1833" i="10"/>
  <c r="E1833" i="10"/>
  <c r="D1834" i="10"/>
  <c r="E1834" i="10"/>
  <c r="D1835" i="10"/>
  <c r="E1835" i="10"/>
  <c r="D1836" i="10"/>
  <c r="E1836" i="10"/>
  <c r="D1837" i="10"/>
  <c r="E1837" i="10"/>
  <c r="D1838" i="10"/>
  <c r="E1838" i="10"/>
  <c r="D1839" i="10"/>
  <c r="E1839" i="10"/>
  <c r="D1840" i="10"/>
  <c r="E1840" i="10"/>
  <c r="D1841" i="10"/>
  <c r="E1841" i="10"/>
  <c r="D1842" i="10"/>
  <c r="E1842" i="10"/>
  <c r="D1843" i="10"/>
  <c r="E1843" i="10"/>
  <c r="D1844" i="10"/>
  <c r="E1844" i="10"/>
  <c r="D1845" i="10"/>
  <c r="E1845" i="10"/>
  <c r="D1846" i="10"/>
  <c r="E1846" i="10"/>
  <c r="D1847" i="10"/>
  <c r="E1847" i="10"/>
  <c r="D1848" i="10"/>
  <c r="E1848" i="10"/>
  <c r="D1849" i="10"/>
  <c r="E1849" i="10"/>
  <c r="D1850" i="10"/>
  <c r="E1850" i="10"/>
  <c r="D1851" i="10"/>
  <c r="E1851" i="10"/>
  <c r="D1852" i="10"/>
  <c r="E1852" i="10"/>
  <c r="D1853" i="10"/>
  <c r="E1853" i="10"/>
  <c r="D1854" i="10"/>
  <c r="E1854" i="10"/>
  <c r="D1855" i="10"/>
  <c r="E1855" i="10"/>
  <c r="D1856" i="10"/>
  <c r="E1856" i="10"/>
  <c r="D1857" i="10"/>
  <c r="E1857" i="10"/>
  <c r="D1858" i="10"/>
  <c r="E1858" i="10"/>
  <c r="D1859" i="10"/>
  <c r="E1859" i="10"/>
  <c r="D1860" i="10"/>
  <c r="E1860" i="10"/>
  <c r="D1861" i="10"/>
  <c r="E1861" i="10"/>
  <c r="D1862" i="10"/>
  <c r="E1862" i="10"/>
  <c r="D1863" i="10"/>
  <c r="E1863" i="10"/>
  <c r="D1864" i="10"/>
  <c r="E1864" i="10"/>
  <c r="D1865" i="10"/>
  <c r="E1865" i="10"/>
  <c r="D1866" i="10"/>
  <c r="E1866" i="10"/>
  <c r="D1867" i="10"/>
  <c r="E1867" i="10"/>
  <c r="D1868" i="10"/>
  <c r="E1868" i="10"/>
  <c r="D1869" i="10"/>
  <c r="E1869" i="10"/>
  <c r="D1870" i="10"/>
  <c r="E1870" i="10"/>
  <c r="D1871" i="10"/>
  <c r="E1871" i="10"/>
  <c r="D1872" i="10"/>
  <c r="E1872" i="10"/>
  <c r="D1873" i="10"/>
  <c r="E1873" i="10"/>
  <c r="D1874" i="10"/>
  <c r="E1874" i="10"/>
  <c r="D1875" i="10"/>
  <c r="E1875" i="10"/>
  <c r="D1876" i="10"/>
  <c r="E1876" i="10"/>
  <c r="D1877" i="10"/>
  <c r="E1877" i="10"/>
  <c r="D1878" i="10"/>
  <c r="E1878" i="10"/>
  <c r="D1879" i="10"/>
  <c r="E1879" i="10"/>
  <c r="D1880" i="10"/>
  <c r="E1880" i="10"/>
  <c r="D1881" i="10"/>
  <c r="E1881" i="10"/>
  <c r="D1882" i="10"/>
  <c r="E1882" i="10"/>
  <c r="D1883" i="10"/>
  <c r="E1883" i="10"/>
  <c r="D1884" i="10"/>
  <c r="E1884" i="10"/>
  <c r="D1885" i="10"/>
  <c r="E1885" i="10"/>
  <c r="D1886" i="10"/>
  <c r="E1886" i="10"/>
  <c r="D1887" i="10"/>
  <c r="E1887" i="10"/>
  <c r="D1888" i="10"/>
  <c r="E1888" i="10"/>
  <c r="D1889" i="10"/>
  <c r="E1889" i="10"/>
  <c r="D1890" i="10"/>
  <c r="E1890" i="10"/>
  <c r="D1891" i="10"/>
  <c r="E1891" i="10"/>
  <c r="D1892" i="10"/>
  <c r="E1892" i="10"/>
  <c r="D1893" i="10"/>
  <c r="E1893" i="10"/>
  <c r="D1894" i="10"/>
  <c r="E1894" i="10"/>
  <c r="D1895" i="10"/>
  <c r="E1895" i="10"/>
  <c r="D1896" i="10"/>
  <c r="E1896" i="10"/>
  <c r="D1897" i="10"/>
  <c r="E1897" i="10"/>
  <c r="D1898" i="10"/>
  <c r="E1898" i="10"/>
  <c r="D1899" i="10"/>
  <c r="E1899" i="10"/>
  <c r="D1900" i="10"/>
  <c r="E1900" i="10"/>
  <c r="D1901" i="10"/>
  <c r="E1901" i="10"/>
  <c r="D1902" i="10"/>
  <c r="E1902" i="10"/>
  <c r="D1903" i="10"/>
  <c r="E1903" i="10"/>
  <c r="D1904" i="10"/>
  <c r="E1904" i="10"/>
  <c r="D1905" i="10"/>
  <c r="E1905" i="10"/>
  <c r="D1906" i="10"/>
  <c r="E1906" i="10"/>
  <c r="D1907" i="10"/>
  <c r="E1907" i="10"/>
  <c r="D1908" i="10"/>
  <c r="E1908" i="10"/>
  <c r="D1909" i="10"/>
  <c r="E1909" i="10"/>
  <c r="D1910" i="10"/>
  <c r="E1910" i="10"/>
  <c r="D1911" i="10"/>
  <c r="E1911" i="10"/>
  <c r="D1912" i="10"/>
  <c r="E1912" i="10"/>
  <c r="D1913" i="10"/>
  <c r="E1913" i="10"/>
  <c r="D1914" i="10"/>
  <c r="E1914" i="10"/>
  <c r="D1915" i="10"/>
  <c r="E1915" i="10"/>
  <c r="D1916" i="10"/>
  <c r="E1916" i="10"/>
  <c r="D1917" i="10"/>
  <c r="E1917" i="10"/>
  <c r="D1918" i="10"/>
  <c r="E1918" i="10"/>
  <c r="D1919" i="10"/>
  <c r="E1919" i="10"/>
  <c r="D1920" i="10"/>
  <c r="E1920" i="10"/>
  <c r="D1921" i="10"/>
  <c r="E1921" i="10"/>
  <c r="D1922" i="10"/>
  <c r="E1922" i="10"/>
  <c r="D1923" i="10"/>
  <c r="E1923" i="10"/>
  <c r="D1924" i="10"/>
  <c r="E1924" i="10"/>
  <c r="D1925" i="10"/>
  <c r="E1925" i="10"/>
  <c r="D1926" i="10"/>
  <c r="E1926" i="10"/>
  <c r="D1927" i="10"/>
  <c r="E1927" i="10"/>
  <c r="D1928" i="10"/>
  <c r="E1928" i="10"/>
  <c r="D1929" i="10"/>
  <c r="E1929" i="10"/>
  <c r="D1930" i="10"/>
  <c r="E1930" i="10"/>
  <c r="D1931" i="10"/>
  <c r="E1931" i="10"/>
  <c r="D1932" i="10"/>
  <c r="E1932" i="10"/>
  <c r="D1933" i="10"/>
  <c r="E1933" i="10"/>
  <c r="D1934" i="10"/>
  <c r="E1934" i="10"/>
  <c r="D1935" i="10"/>
  <c r="E1935" i="10"/>
  <c r="D1936" i="10"/>
  <c r="E1936" i="10"/>
  <c r="D1937" i="10"/>
  <c r="E1937" i="10"/>
  <c r="D1938" i="10"/>
  <c r="E1938" i="10"/>
  <c r="D1939" i="10"/>
  <c r="E1939" i="10"/>
  <c r="D1940" i="10"/>
  <c r="E1940" i="10"/>
  <c r="D1941" i="10"/>
  <c r="E1941" i="10"/>
  <c r="D1942" i="10"/>
  <c r="E1942" i="10"/>
  <c r="D1943" i="10"/>
  <c r="E1943" i="10"/>
  <c r="D1944" i="10"/>
  <c r="E1944" i="10"/>
  <c r="D1945" i="10"/>
  <c r="E1945" i="10"/>
  <c r="D1946" i="10"/>
  <c r="E1946" i="10"/>
  <c r="D1947" i="10"/>
  <c r="E1947" i="10"/>
  <c r="D1948" i="10"/>
  <c r="E1948" i="10"/>
  <c r="D1949" i="10"/>
  <c r="E1949" i="10"/>
  <c r="D1950" i="10"/>
  <c r="E1950" i="10"/>
  <c r="D1951" i="10"/>
  <c r="E1951" i="10"/>
  <c r="D1952" i="10"/>
  <c r="E1952" i="10"/>
  <c r="D1953" i="10"/>
  <c r="E1953" i="10"/>
  <c r="D1954" i="10"/>
  <c r="E1954" i="10"/>
  <c r="D1955" i="10"/>
  <c r="E1955" i="10"/>
  <c r="D1956" i="10"/>
  <c r="E1956" i="10"/>
  <c r="D1957" i="10"/>
  <c r="E1957" i="10"/>
  <c r="D1958" i="10"/>
  <c r="E1958" i="10"/>
  <c r="D1959" i="10"/>
  <c r="E1959" i="10"/>
  <c r="D1960" i="10"/>
  <c r="E1960" i="10"/>
  <c r="D1961" i="10"/>
  <c r="E1961" i="10"/>
  <c r="D1962" i="10"/>
  <c r="E1962" i="10"/>
  <c r="D1963" i="10"/>
  <c r="E1963" i="10"/>
  <c r="D1964" i="10"/>
  <c r="E1964" i="10"/>
  <c r="D1965" i="10"/>
  <c r="E1965" i="10"/>
  <c r="D1966" i="10"/>
  <c r="E1966" i="10"/>
  <c r="D1967" i="10"/>
  <c r="E1967" i="10"/>
  <c r="D1968" i="10"/>
  <c r="E1968" i="10"/>
  <c r="D1969" i="10"/>
  <c r="E1969" i="10"/>
  <c r="D1970" i="10"/>
  <c r="E1970" i="10"/>
  <c r="D1971" i="10"/>
  <c r="E1971" i="10"/>
  <c r="D1972" i="10"/>
  <c r="E1972" i="10"/>
  <c r="D1973" i="10"/>
  <c r="E1973" i="10"/>
  <c r="D1974" i="10"/>
  <c r="E1974" i="10"/>
  <c r="D1975" i="10"/>
  <c r="E1975" i="10"/>
  <c r="D1976" i="10"/>
  <c r="E1976" i="10"/>
  <c r="D1977" i="10"/>
  <c r="E1977" i="10"/>
  <c r="D1978" i="10"/>
  <c r="E1978" i="10"/>
  <c r="D1979" i="10"/>
  <c r="E1979" i="10"/>
  <c r="D1980" i="10"/>
  <c r="E1980" i="10"/>
  <c r="D1981" i="10"/>
  <c r="E1981" i="10"/>
  <c r="D1982" i="10"/>
  <c r="E1982" i="10"/>
  <c r="D1983" i="10"/>
  <c r="E1983" i="10"/>
  <c r="D1984" i="10"/>
  <c r="E1984" i="10"/>
  <c r="D1985" i="10"/>
  <c r="E1985" i="10"/>
  <c r="D1986" i="10"/>
  <c r="E1986" i="10"/>
  <c r="D1987" i="10"/>
  <c r="E1987" i="10"/>
  <c r="D1988" i="10"/>
  <c r="E1988" i="10"/>
  <c r="D1989" i="10"/>
  <c r="E1989" i="10"/>
  <c r="D1990" i="10"/>
  <c r="E1990" i="10"/>
  <c r="D1991" i="10"/>
  <c r="E1991" i="10"/>
  <c r="D1992" i="10"/>
  <c r="E1992" i="10"/>
  <c r="D1993" i="10"/>
  <c r="E1993" i="10"/>
  <c r="D1994" i="10"/>
  <c r="E1994" i="10"/>
  <c r="D1995" i="10"/>
  <c r="E1995" i="10"/>
  <c r="D1996" i="10"/>
  <c r="E1996" i="10"/>
  <c r="D1997" i="10"/>
  <c r="E1997" i="10"/>
  <c r="D1998" i="10"/>
  <c r="E1998" i="10"/>
  <c r="D1999" i="10"/>
  <c r="E1999" i="10"/>
  <c r="D2000" i="10"/>
  <c r="E2000" i="10"/>
  <c r="D2001" i="10"/>
  <c r="E2001" i="10"/>
  <c r="D2002" i="10"/>
  <c r="E2002" i="10"/>
  <c r="D2003" i="10"/>
  <c r="E2003" i="10"/>
  <c r="D2004" i="10"/>
  <c r="E2004" i="10"/>
  <c r="D2005" i="10"/>
  <c r="E2005" i="10"/>
  <c r="D2006" i="10"/>
  <c r="E2006" i="10"/>
  <c r="D2007" i="10"/>
  <c r="E2007" i="10"/>
  <c r="D2008" i="10"/>
  <c r="E2008" i="10"/>
  <c r="D2009" i="10"/>
  <c r="E2009" i="10"/>
  <c r="D2010" i="10"/>
  <c r="E2010" i="10"/>
  <c r="D2011" i="10"/>
  <c r="E2011" i="10"/>
  <c r="D2012" i="10"/>
  <c r="E2012" i="10"/>
  <c r="D2013" i="10"/>
  <c r="E2013" i="10"/>
  <c r="D2014" i="10"/>
  <c r="E2014" i="10"/>
  <c r="D2015" i="10"/>
  <c r="E2015" i="10"/>
  <c r="D2016" i="10"/>
  <c r="E2016" i="10"/>
  <c r="D2017" i="10"/>
  <c r="E2017" i="10"/>
  <c r="D2018" i="10"/>
  <c r="E2018" i="10"/>
  <c r="D2019" i="10"/>
  <c r="E2019" i="10"/>
  <c r="D2020" i="10"/>
  <c r="E2020" i="10"/>
  <c r="D2021" i="10"/>
  <c r="E2021" i="10"/>
  <c r="D2022" i="10"/>
  <c r="E2022" i="10"/>
  <c r="D2023" i="10"/>
  <c r="E2023" i="10"/>
  <c r="D2024" i="10"/>
  <c r="E2024" i="10"/>
  <c r="D2025" i="10"/>
  <c r="E2025" i="10"/>
  <c r="D2026" i="10"/>
  <c r="E2026" i="10"/>
  <c r="D2027" i="10"/>
  <c r="E2027" i="10"/>
  <c r="D2028" i="10"/>
  <c r="E2028" i="10"/>
  <c r="D2029" i="10"/>
  <c r="E2029" i="10"/>
  <c r="D2030" i="10"/>
  <c r="E2030" i="10"/>
  <c r="D2031" i="10"/>
  <c r="E2031" i="10"/>
  <c r="D2032" i="10"/>
  <c r="E2032" i="10"/>
  <c r="D2033" i="10"/>
  <c r="E2033" i="10"/>
  <c r="D2034" i="10"/>
  <c r="E2034" i="10"/>
  <c r="D2035" i="10"/>
  <c r="E2035" i="10"/>
  <c r="D2036" i="10"/>
  <c r="E2036" i="10"/>
  <c r="D2037" i="10"/>
  <c r="E2037" i="10"/>
  <c r="D2038" i="10"/>
  <c r="E2038" i="10"/>
  <c r="D2039" i="10"/>
  <c r="E2039" i="10"/>
  <c r="D2040" i="10"/>
  <c r="E2040" i="10"/>
  <c r="D2041" i="10"/>
  <c r="E2041" i="10"/>
  <c r="D2042" i="10"/>
  <c r="E2042" i="10"/>
  <c r="D2043" i="10"/>
  <c r="E2043" i="10"/>
  <c r="D2044" i="10"/>
  <c r="E2044" i="10"/>
  <c r="D2045" i="10"/>
  <c r="E2045" i="10"/>
  <c r="D2046" i="10"/>
  <c r="E2046" i="10"/>
  <c r="D2047" i="10"/>
  <c r="E2047" i="10"/>
  <c r="D2048" i="10"/>
  <c r="E2048" i="10"/>
  <c r="D2049" i="10"/>
  <c r="E2049" i="10"/>
  <c r="D2050" i="10"/>
  <c r="E2050" i="10"/>
  <c r="D2051" i="10"/>
  <c r="E2051" i="10"/>
  <c r="D2052" i="10"/>
  <c r="E2052" i="10"/>
  <c r="D2053" i="10"/>
  <c r="E2053" i="10"/>
  <c r="D2054" i="10"/>
  <c r="E2054" i="10"/>
  <c r="D2055" i="10"/>
  <c r="E2055" i="10"/>
  <c r="D2056" i="10"/>
  <c r="E2056" i="10"/>
  <c r="D2057" i="10"/>
  <c r="E2057" i="10"/>
  <c r="D2058" i="10"/>
  <c r="E2058" i="10"/>
  <c r="D2059" i="10"/>
  <c r="E2059" i="10"/>
  <c r="D2060" i="10"/>
  <c r="E2060" i="10"/>
  <c r="D2061" i="10"/>
  <c r="E2061" i="10"/>
  <c r="D2062" i="10"/>
  <c r="E2062" i="10"/>
  <c r="D2063" i="10"/>
  <c r="E2063" i="10"/>
  <c r="D2064" i="10"/>
  <c r="E2064" i="10"/>
  <c r="D2065" i="10"/>
  <c r="E2065" i="10"/>
  <c r="D2066" i="10"/>
  <c r="E2066" i="10"/>
  <c r="D2067" i="10"/>
  <c r="E2067" i="10"/>
  <c r="D2068" i="10"/>
  <c r="E2068" i="10"/>
  <c r="D2069" i="10"/>
  <c r="E2069" i="10"/>
  <c r="D2070" i="10"/>
  <c r="E2070" i="10"/>
  <c r="D2071" i="10"/>
  <c r="E2071" i="10"/>
  <c r="D2072" i="10"/>
  <c r="E2072" i="10"/>
  <c r="D2073" i="10"/>
  <c r="E2073" i="10"/>
  <c r="D2074" i="10"/>
  <c r="E2074" i="10"/>
  <c r="D2075" i="10"/>
  <c r="E2075" i="10"/>
  <c r="D2076" i="10"/>
  <c r="E2076" i="10"/>
  <c r="D2077" i="10"/>
  <c r="E2077" i="10"/>
  <c r="D2078" i="10"/>
  <c r="E2078" i="10"/>
  <c r="D2079" i="10"/>
  <c r="E2079" i="10"/>
  <c r="D2080" i="10"/>
  <c r="E2080" i="10"/>
  <c r="D2081" i="10"/>
  <c r="E2081" i="10"/>
  <c r="D2082" i="10"/>
  <c r="E2082" i="10"/>
  <c r="D2083" i="10"/>
  <c r="E2083" i="10"/>
  <c r="D2084" i="10"/>
  <c r="E2084" i="10"/>
  <c r="D2085" i="10"/>
  <c r="E2085" i="10"/>
  <c r="D2086" i="10"/>
  <c r="E2086" i="10"/>
  <c r="D2087" i="10"/>
  <c r="E2087" i="10"/>
  <c r="D2088" i="10"/>
  <c r="E2088" i="10"/>
  <c r="D2089" i="10"/>
  <c r="E2089" i="10"/>
  <c r="D2090" i="10"/>
  <c r="E2090" i="10"/>
  <c r="D2091" i="10"/>
  <c r="E2091" i="10"/>
  <c r="D2092" i="10"/>
  <c r="E2092" i="10"/>
  <c r="D2093" i="10"/>
  <c r="E2093" i="10"/>
  <c r="D2094" i="10"/>
  <c r="E2094" i="10"/>
  <c r="D2095" i="10"/>
  <c r="E2095" i="10"/>
  <c r="D2096" i="10"/>
  <c r="E2096" i="10"/>
  <c r="D2097" i="10"/>
  <c r="E2097" i="10"/>
  <c r="D2098" i="10"/>
  <c r="E2098" i="10"/>
  <c r="D2099" i="10"/>
  <c r="E2099" i="10"/>
  <c r="D2100" i="10"/>
  <c r="E2100" i="10"/>
  <c r="D2101" i="10"/>
  <c r="E2101" i="10"/>
  <c r="D2102" i="10"/>
  <c r="E2102" i="10"/>
  <c r="D2103" i="10"/>
  <c r="E2103" i="10"/>
  <c r="D2104" i="10"/>
  <c r="E2104" i="10"/>
  <c r="D2105" i="10"/>
  <c r="E2105" i="10"/>
  <c r="D2106" i="10"/>
  <c r="E2106" i="10"/>
  <c r="D2107" i="10"/>
  <c r="E2107" i="10"/>
  <c r="D2108" i="10"/>
  <c r="E2108" i="10"/>
  <c r="D2109" i="10"/>
  <c r="E2109" i="10"/>
  <c r="D2110" i="10"/>
  <c r="E2110" i="10"/>
  <c r="D2111" i="10"/>
  <c r="E2111" i="10"/>
  <c r="D2112" i="10"/>
  <c r="E2112" i="10"/>
  <c r="D2113" i="10"/>
  <c r="E2113" i="10"/>
  <c r="D2114" i="10"/>
  <c r="E2114" i="10"/>
  <c r="D2115" i="10"/>
  <c r="E2115" i="10"/>
  <c r="D2116" i="10"/>
  <c r="E2116" i="10"/>
  <c r="D2117" i="10"/>
  <c r="E2117" i="10"/>
  <c r="D2118" i="10"/>
  <c r="E2118" i="10"/>
  <c r="D2119" i="10"/>
  <c r="E2119" i="10"/>
  <c r="D2120" i="10"/>
  <c r="E2120" i="10"/>
  <c r="D2121" i="10"/>
  <c r="E2121" i="10"/>
  <c r="D2122" i="10"/>
  <c r="E2122" i="10"/>
  <c r="D2123" i="10"/>
  <c r="E2123" i="10"/>
  <c r="D2124" i="10"/>
  <c r="E2124" i="10"/>
  <c r="D2125" i="10"/>
  <c r="E2125" i="10"/>
  <c r="D2126" i="10"/>
  <c r="E2126" i="10"/>
  <c r="D2127" i="10"/>
  <c r="E2127" i="10"/>
  <c r="D2128" i="10"/>
  <c r="E2128" i="10"/>
  <c r="D2129" i="10"/>
  <c r="E2129" i="10"/>
  <c r="D2130" i="10"/>
  <c r="E2130" i="10"/>
  <c r="D2131" i="10"/>
  <c r="E2131" i="10"/>
  <c r="D2132" i="10"/>
  <c r="E2132" i="10"/>
  <c r="D2133" i="10"/>
  <c r="E2133" i="10"/>
  <c r="D2134" i="10"/>
  <c r="E2134" i="10"/>
  <c r="D2135" i="10"/>
  <c r="E2135" i="10"/>
  <c r="D2136" i="10"/>
  <c r="E2136" i="10"/>
  <c r="D2137" i="10"/>
  <c r="E2137" i="10"/>
  <c r="D2138" i="10"/>
  <c r="E2138" i="10"/>
  <c r="D2139" i="10"/>
  <c r="E2139" i="10"/>
  <c r="D2140" i="10"/>
  <c r="E2140" i="10"/>
  <c r="D2141" i="10"/>
  <c r="E2141" i="10"/>
  <c r="D2142" i="10"/>
  <c r="E2142" i="10"/>
  <c r="D2143" i="10"/>
  <c r="E2143" i="10"/>
  <c r="D2144" i="10"/>
  <c r="E2144" i="10"/>
  <c r="D2145" i="10"/>
  <c r="E2145" i="10"/>
  <c r="D2146" i="10"/>
  <c r="E2146" i="10"/>
  <c r="D2147" i="10"/>
  <c r="E2147" i="10"/>
  <c r="D2148" i="10"/>
  <c r="E2148" i="10"/>
  <c r="D2149" i="10"/>
  <c r="E2149" i="10"/>
  <c r="D2150" i="10"/>
  <c r="E2150" i="10"/>
  <c r="D2151" i="10"/>
  <c r="E2151" i="10"/>
  <c r="D2152" i="10"/>
  <c r="E2152" i="10"/>
  <c r="D2153" i="10"/>
  <c r="E2153" i="10"/>
  <c r="D2154" i="10"/>
  <c r="E2154" i="10"/>
  <c r="D2155" i="10"/>
  <c r="E2155" i="10"/>
  <c r="D2156" i="10"/>
  <c r="E2156" i="10"/>
  <c r="D2157" i="10"/>
  <c r="E2157" i="10"/>
  <c r="D2158" i="10"/>
  <c r="E2158" i="10"/>
  <c r="D2159" i="10"/>
  <c r="E2159" i="10"/>
  <c r="D2160" i="10"/>
  <c r="E2160" i="10"/>
  <c r="D2161" i="10"/>
  <c r="E2161" i="10"/>
  <c r="D2162" i="10"/>
  <c r="E2162" i="10"/>
  <c r="D2163" i="10"/>
  <c r="E2163" i="10"/>
  <c r="D2164" i="10"/>
  <c r="E2164" i="10"/>
  <c r="D2165" i="10"/>
  <c r="E2165" i="10"/>
  <c r="D2166" i="10"/>
  <c r="E2166" i="10"/>
  <c r="D2167" i="10"/>
  <c r="E2167" i="10"/>
  <c r="D2168" i="10"/>
  <c r="E2168" i="10"/>
  <c r="D2169" i="10"/>
  <c r="E2169" i="10"/>
  <c r="D2170" i="10"/>
  <c r="E2170" i="10"/>
  <c r="D2171" i="10"/>
  <c r="E2171" i="10"/>
  <c r="D2172" i="10"/>
  <c r="E2172" i="10"/>
  <c r="D2173" i="10"/>
  <c r="E2173" i="10"/>
  <c r="D2174" i="10"/>
  <c r="E2174" i="10"/>
  <c r="D2175" i="10"/>
  <c r="E2175" i="10"/>
  <c r="D2176" i="10"/>
  <c r="E2176" i="10"/>
  <c r="D2177" i="10"/>
  <c r="E2177" i="10"/>
  <c r="D2178" i="10"/>
  <c r="E2178" i="10"/>
  <c r="D2179" i="10"/>
  <c r="E2179" i="10"/>
  <c r="D2180" i="10"/>
  <c r="E2180" i="10"/>
  <c r="D2181" i="10"/>
  <c r="E2181" i="10"/>
  <c r="D2182" i="10"/>
  <c r="E2182" i="10"/>
  <c r="D2183" i="10"/>
  <c r="E2183" i="10"/>
  <c r="D2184" i="10"/>
  <c r="E2184" i="10"/>
  <c r="D2185" i="10"/>
  <c r="E2185" i="10"/>
  <c r="D2186" i="10"/>
  <c r="E2186" i="10"/>
  <c r="D2187" i="10"/>
  <c r="E2187" i="10"/>
  <c r="D2188" i="10"/>
  <c r="E2188" i="10"/>
  <c r="D2189" i="10"/>
  <c r="E2189" i="10"/>
  <c r="D2190" i="10"/>
  <c r="E2190" i="10"/>
  <c r="D2191" i="10"/>
  <c r="E2191" i="10"/>
  <c r="D2192" i="10"/>
  <c r="E2192" i="10"/>
  <c r="D2193" i="10"/>
  <c r="E2193" i="10"/>
  <c r="D2194" i="10"/>
  <c r="E2194" i="10"/>
  <c r="D2195" i="10"/>
  <c r="E2195" i="10"/>
  <c r="D2196" i="10"/>
  <c r="E2196" i="10"/>
  <c r="D2197" i="10"/>
  <c r="E2197" i="10"/>
  <c r="D2198" i="10"/>
  <c r="E2198" i="10"/>
  <c r="D2199" i="10"/>
  <c r="E2199" i="10"/>
  <c r="D2200" i="10"/>
  <c r="E2200" i="10"/>
  <c r="D2201" i="10"/>
  <c r="E2201" i="10"/>
  <c r="D2202" i="10"/>
  <c r="E2202" i="10"/>
  <c r="D2203" i="10"/>
  <c r="E2203" i="10"/>
  <c r="D2204" i="10"/>
  <c r="E2204" i="10"/>
  <c r="D2205" i="10"/>
  <c r="E2205" i="10"/>
  <c r="D2206" i="10"/>
  <c r="E2206" i="10"/>
  <c r="D2207" i="10"/>
  <c r="E2207" i="10"/>
  <c r="D2208" i="10"/>
  <c r="E2208" i="10"/>
  <c r="D2209" i="10"/>
  <c r="E2209" i="10"/>
  <c r="D2210" i="10"/>
  <c r="E2210" i="10"/>
  <c r="D2211" i="10"/>
  <c r="E2211" i="10"/>
  <c r="D2212" i="10"/>
  <c r="E2212" i="10"/>
  <c r="D2213" i="10"/>
  <c r="E2213" i="10"/>
  <c r="D2214" i="10"/>
  <c r="E2214" i="10"/>
  <c r="D2215" i="10"/>
  <c r="E2215" i="10"/>
  <c r="D2216" i="10"/>
  <c r="E2216" i="10"/>
  <c r="D2217" i="10"/>
  <c r="E2217" i="10"/>
  <c r="D2218" i="10"/>
  <c r="E2218" i="10"/>
  <c r="D2219" i="10"/>
  <c r="E2219" i="10"/>
  <c r="D2220" i="10"/>
  <c r="E2220" i="10"/>
  <c r="D2221" i="10"/>
  <c r="E2221" i="10"/>
  <c r="D2222" i="10"/>
  <c r="E2222" i="10"/>
  <c r="D2223" i="10"/>
  <c r="E2223" i="10"/>
  <c r="D2224" i="10"/>
  <c r="E2224" i="10"/>
  <c r="D2225" i="10"/>
  <c r="E2225" i="10"/>
  <c r="D2226" i="10"/>
  <c r="E2226" i="10"/>
  <c r="D2227" i="10"/>
  <c r="E2227" i="10"/>
  <c r="D2228" i="10"/>
  <c r="E2228" i="10"/>
  <c r="D2229" i="10"/>
  <c r="E2229" i="10"/>
  <c r="D2230" i="10"/>
  <c r="E2230" i="10"/>
  <c r="D2231" i="10"/>
  <c r="E2231" i="10"/>
  <c r="D2232" i="10"/>
  <c r="E2232" i="10"/>
  <c r="D2233" i="10"/>
  <c r="E2233" i="10"/>
  <c r="D2234" i="10"/>
  <c r="E2234" i="10"/>
  <c r="D2235" i="10"/>
  <c r="E2235" i="10"/>
  <c r="D2236" i="10"/>
  <c r="E2236" i="10"/>
  <c r="D2237" i="10"/>
  <c r="E2237" i="10"/>
  <c r="D2238" i="10"/>
  <c r="E2238" i="10"/>
  <c r="D2239" i="10"/>
  <c r="E2239" i="10"/>
  <c r="D2240" i="10"/>
  <c r="E2240" i="10"/>
  <c r="D2241" i="10"/>
  <c r="E2241" i="10"/>
  <c r="D2242" i="10"/>
  <c r="E2242" i="10"/>
  <c r="D2243" i="10"/>
  <c r="E2243" i="10"/>
  <c r="D2244" i="10"/>
  <c r="E2244" i="10"/>
  <c r="D2245" i="10"/>
  <c r="E2245" i="10"/>
  <c r="D2246" i="10"/>
  <c r="E2246" i="10"/>
  <c r="D2247" i="10"/>
  <c r="E2247" i="10"/>
  <c r="D2248" i="10"/>
  <c r="E2248" i="10"/>
  <c r="D2249" i="10"/>
  <c r="E2249" i="10"/>
  <c r="D2250" i="10"/>
  <c r="E2250" i="10"/>
  <c r="D2251" i="10"/>
  <c r="E2251" i="10"/>
  <c r="D2252" i="10"/>
  <c r="E2252" i="10"/>
  <c r="D2253" i="10"/>
  <c r="E2253" i="10"/>
  <c r="D2254" i="10"/>
  <c r="E2254" i="10"/>
  <c r="D2255" i="10"/>
  <c r="E2255" i="10"/>
  <c r="D2256" i="10"/>
  <c r="E2256" i="10"/>
  <c r="D2257" i="10"/>
  <c r="E2257" i="10"/>
  <c r="D2258" i="10"/>
  <c r="E2258" i="10"/>
  <c r="D2259" i="10"/>
  <c r="E2259" i="10"/>
  <c r="D2260" i="10"/>
  <c r="E2260" i="10"/>
  <c r="D2261" i="10"/>
  <c r="E2261" i="10"/>
  <c r="D2262" i="10"/>
  <c r="E2262" i="10"/>
  <c r="D2263" i="10"/>
  <c r="E2263" i="10"/>
  <c r="D2264" i="10"/>
  <c r="E2264" i="10"/>
  <c r="D2265" i="10"/>
  <c r="E2265" i="10"/>
  <c r="D2266" i="10"/>
  <c r="E2266" i="10"/>
  <c r="D2267" i="10"/>
  <c r="E2267" i="10"/>
  <c r="D2268" i="10"/>
  <c r="E2268" i="10"/>
  <c r="D2269" i="10"/>
  <c r="E2269" i="10"/>
  <c r="D2270" i="10"/>
  <c r="E2270" i="10"/>
  <c r="D2271" i="10"/>
  <c r="E2271" i="10"/>
  <c r="D2272" i="10"/>
  <c r="E2272" i="10"/>
  <c r="D2273" i="10"/>
  <c r="E2273" i="10"/>
  <c r="D2274" i="10"/>
  <c r="E2274" i="10"/>
  <c r="D2275" i="10"/>
  <c r="E2275" i="10"/>
  <c r="D2276" i="10"/>
  <c r="E2276" i="10"/>
  <c r="D2277" i="10"/>
  <c r="E2277" i="10"/>
  <c r="D2278" i="10"/>
  <c r="E2278" i="10"/>
  <c r="D2279" i="10"/>
  <c r="E2279" i="10"/>
  <c r="D2280" i="10"/>
  <c r="E2280" i="10"/>
  <c r="D2281" i="10"/>
  <c r="E2281" i="10"/>
  <c r="D2282" i="10"/>
  <c r="E2282" i="10"/>
  <c r="D2283" i="10"/>
  <c r="E2283" i="10"/>
  <c r="D2284" i="10"/>
  <c r="E2284" i="10"/>
  <c r="D2285" i="10"/>
  <c r="E2285" i="10"/>
  <c r="D2286" i="10"/>
  <c r="E2286" i="10"/>
  <c r="D2287" i="10"/>
  <c r="E2287" i="10"/>
  <c r="D2288" i="10"/>
  <c r="E2288" i="10"/>
  <c r="D2289" i="10"/>
  <c r="E2289" i="10"/>
  <c r="D2290" i="10"/>
  <c r="E2290" i="10"/>
  <c r="D2291" i="10"/>
  <c r="E2291" i="10"/>
  <c r="D2292" i="10"/>
  <c r="E2292" i="10"/>
  <c r="D2293" i="10"/>
  <c r="E2293" i="10"/>
  <c r="D2294" i="10"/>
  <c r="E2294" i="10"/>
  <c r="D2295" i="10"/>
  <c r="E2295" i="10"/>
  <c r="D2296" i="10"/>
  <c r="E2296" i="10"/>
  <c r="D2297" i="10"/>
  <c r="E2297" i="10"/>
  <c r="D2298" i="10"/>
  <c r="E2298" i="10"/>
  <c r="D2299" i="10"/>
  <c r="E2299" i="10"/>
  <c r="D2300" i="10"/>
  <c r="E2300" i="10"/>
  <c r="D2301" i="10"/>
  <c r="E2301" i="10"/>
  <c r="D2302" i="10"/>
  <c r="E2302" i="10"/>
  <c r="D2303" i="10"/>
  <c r="E2303" i="10"/>
  <c r="D2304" i="10"/>
  <c r="E2304" i="10"/>
  <c r="D2305" i="10"/>
  <c r="E2305" i="10"/>
  <c r="D2306" i="10"/>
  <c r="E2306" i="10"/>
  <c r="D2307" i="10"/>
  <c r="E2307" i="10"/>
  <c r="D2308" i="10"/>
  <c r="E2308" i="10"/>
  <c r="D2309" i="10"/>
  <c r="E2309" i="10"/>
  <c r="D2310" i="10"/>
  <c r="E2310" i="10"/>
  <c r="D2311" i="10"/>
  <c r="E2311" i="10"/>
  <c r="D2312" i="10"/>
  <c r="E2312" i="10"/>
  <c r="D2313" i="10"/>
  <c r="E2313" i="10"/>
  <c r="D2314" i="10"/>
  <c r="E2314" i="10"/>
  <c r="D2315" i="10"/>
  <c r="E2315" i="10"/>
  <c r="D2316" i="10"/>
  <c r="E2316" i="10"/>
  <c r="D2317" i="10"/>
  <c r="E2317" i="10"/>
  <c r="D2318" i="10"/>
  <c r="E2318" i="10"/>
  <c r="D2319" i="10"/>
  <c r="E2319" i="10"/>
  <c r="D2320" i="10"/>
  <c r="E2320" i="10"/>
  <c r="D2321" i="10"/>
  <c r="E2321" i="10"/>
  <c r="D2322" i="10"/>
  <c r="E2322" i="10"/>
  <c r="D2323" i="10"/>
  <c r="E2323" i="10"/>
  <c r="D2324" i="10"/>
  <c r="E2324" i="10"/>
  <c r="D2325" i="10"/>
  <c r="E2325" i="10"/>
  <c r="D2326" i="10"/>
  <c r="E2326" i="10"/>
  <c r="D2327" i="10"/>
  <c r="E2327" i="10"/>
  <c r="D2328" i="10"/>
  <c r="E2328" i="10"/>
  <c r="D2329" i="10"/>
  <c r="E2329" i="10"/>
  <c r="D2330" i="10"/>
  <c r="E2330" i="10"/>
  <c r="D2331" i="10"/>
  <c r="E2331" i="10"/>
  <c r="D2332" i="10"/>
  <c r="E2332" i="10"/>
  <c r="D2333" i="10"/>
  <c r="E2333" i="10"/>
  <c r="E2334" i="10"/>
  <c r="D2334" i="10"/>
  <c r="D2335" i="10"/>
  <c r="E2335" i="10"/>
  <c r="E2336" i="10"/>
  <c r="D2336" i="10"/>
  <c r="D2337" i="10"/>
  <c r="E2337" i="10"/>
  <c r="E2338" i="10"/>
  <c r="D2338" i="10"/>
  <c r="E2339" i="10"/>
  <c r="D2339" i="10"/>
  <c r="E2340" i="10"/>
  <c r="D2340" i="10"/>
  <c r="E2341" i="10"/>
  <c r="D2341" i="10"/>
  <c r="E2342" i="10"/>
  <c r="D2342" i="10"/>
  <c r="E2343" i="10"/>
  <c r="D2343" i="10"/>
  <c r="E2344" i="10"/>
  <c r="D2344" i="10"/>
  <c r="E2345" i="10"/>
  <c r="D2345" i="10"/>
  <c r="E2346" i="10"/>
  <c r="D2346" i="10"/>
  <c r="E2347" i="10"/>
  <c r="D2347" i="10"/>
  <c r="E2348" i="10"/>
  <c r="D2348" i="10"/>
  <c r="E2349" i="10"/>
  <c r="D2349" i="10"/>
  <c r="E2350" i="10"/>
  <c r="D2350" i="10"/>
  <c r="E2351" i="10"/>
  <c r="D2351" i="10"/>
  <c r="E2352" i="10"/>
  <c r="D2352" i="10"/>
  <c r="E2353" i="10"/>
  <c r="D2353" i="10"/>
  <c r="E2354" i="10"/>
  <c r="D2354" i="10"/>
  <c r="E2355" i="10"/>
  <c r="D2355" i="10"/>
  <c r="E2356" i="10"/>
  <c r="D2356" i="10"/>
  <c r="E2357" i="10"/>
  <c r="D2357" i="10"/>
  <c r="E2358" i="10"/>
  <c r="D2358" i="10"/>
  <c r="E2359" i="10"/>
  <c r="D2359" i="10"/>
  <c r="E2360" i="10"/>
  <c r="D2360" i="10"/>
  <c r="E2361" i="10"/>
  <c r="D2361" i="10"/>
  <c r="E2362" i="10"/>
  <c r="D2362" i="10"/>
  <c r="E2363" i="10"/>
  <c r="D2363" i="10"/>
  <c r="E2364" i="10"/>
  <c r="D2364" i="10"/>
  <c r="E2365" i="10"/>
  <c r="D2365" i="10"/>
  <c r="E2366" i="10"/>
  <c r="D2366" i="10"/>
  <c r="E2367" i="10"/>
  <c r="D2367" i="10"/>
  <c r="E2368" i="10"/>
  <c r="D2368" i="10"/>
  <c r="E2369" i="10"/>
  <c r="D2369" i="10"/>
  <c r="E2370" i="10"/>
  <c r="D2370" i="10"/>
  <c r="E2371" i="10"/>
  <c r="D2371" i="10"/>
  <c r="E2372" i="10"/>
  <c r="D2372" i="10"/>
  <c r="E2373" i="10"/>
  <c r="D2373" i="10"/>
  <c r="E2374" i="10"/>
  <c r="D2374" i="10"/>
  <c r="E2375" i="10"/>
  <c r="D2375" i="10"/>
  <c r="E2376" i="10"/>
  <c r="D2376" i="10"/>
  <c r="E2377" i="10"/>
  <c r="D2377" i="10"/>
  <c r="E2378" i="10"/>
  <c r="D2378" i="10"/>
  <c r="E2379" i="10"/>
  <c r="D2379" i="10"/>
  <c r="E2380" i="10"/>
  <c r="D2380" i="10"/>
  <c r="E2381" i="10"/>
  <c r="D2381" i="10"/>
  <c r="E2382" i="10"/>
  <c r="D2382" i="10"/>
  <c r="E2383" i="10"/>
  <c r="D2383" i="10"/>
  <c r="E2384" i="10"/>
  <c r="D2384" i="10"/>
  <c r="E2385" i="10"/>
  <c r="D2385" i="10"/>
  <c r="E2386" i="10"/>
  <c r="D2386" i="10"/>
  <c r="E2387" i="10"/>
  <c r="D2387" i="10"/>
  <c r="E2388" i="10"/>
  <c r="D2388" i="10"/>
  <c r="E2389" i="10"/>
  <c r="D2389" i="10"/>
  <c r="E2390" i="10"/>
  <c r="D2390" i="10"/>
  <c r="E2391" i="10"/>
  <c r="D2391" i="10"/>
  <c r="E2392" i="10"/>
  <c r="D2392" i="10"/>
  <c r="E2393" i="10"/>
  <c r="D2393" i="10"/>
  <c r="E2394" i="10"/>
  <c r="D2394" i="10"/>
  <c r="E2395" i="10"/>
  <c r="D2395" i="10"/>
  <c r="E2396" i="10"/>
  <c r="D2396" i="10"/>
  <c r="E2397" i="10"/>
  <c r="D2397" i="10"/>
  <c r="E2398" i="10"/>
  <c r="D2398" i="10"/>
  <c r="E2399" i="10"/>
  <c r="D2399" i="10"/>
  <c r="E2400" i="10"/>
  <c r="D2400" i="10"/>
  <c r="E2401" i="10"/>
  <c r="D2401" i="10"/>
  <c r="E2402" i="10"/>
  <c r="D2402" i="10"/>
  <c r="E2403" i="10"/>
  <c r="D2403" i="10"/>
  <c r="E2404" i="10"/>
  <c r="D2404" i="10"/>
  <c r="E2405" i="10"/>
  <c r="D2405" i="10"/>
  <c r="E2406" i="10"/>
  <c r="D2406" i="10"/>
  <c r="E2407" i="10"/>
  <c r="D2407" i="10"/>
  <c r="E2408" i="10"/>
  <c r="D2408" i="10"/>
  <c r="E2409" i="10"/>
  <c r="D2409" i="10"/>
  <c r="E2410" i="10"/>
  <c r="D2410" i="10"/>
  <c r="E2411" i="10"/>
  <c r="D2411" i="10"/>
  <c r="E2412" i="10"/>
  <c r="D2412" i="10"/>
  <c r="E2413" i="10"/>
  <c r="D2413" i="10"/>
  <c r="E2414" i="10"/>
  <c r="D2414" i="10"/>
  <c r="E2415" i="10"/>
  <c r="D2415" i="10"/>
  <c r="E2416" i="10"/>
  <c r="D2416" i="10"/>
  <c r="E2417" i="10"/>
  <c r="D2417" i="10"/>
  <c r="E2418" i="10"/>
  <c r="D2418" i="10"/>
  <c r="E2419" i="10"/>
  <c r="D2419" i="10"/>
  <c r="E2420" i="10"/>
  <c r="D2420" i="10"/>
  <c r="E2421" i="10"/>
  <c r="D2421" i="10"/>
  <c r="E2422" i="10"/>
  <c r="D2422" i="10"/>
  <c r="E2423" i="10"/>
  <c r="D2423" i="10"/>
  <c r="E2424" i="10"/>
  <c r="D2424" i="10"/>
  <c r="E2425" i="10"/>
  <c r="D2425" i="10"/>
  <c r="E2426" i="10"/>
  <c r="D2426" i="10"/>
  <c r="E2427" i="10"/>
  <c r="D2427" i="10"/>
  <c r="E2428" i="10"/>
  <c r="D2428" i="10"/>
  <c r="E2429" i="10"/>
  <c r="D2429" i="10"/>
  <c r="E2430" i="10"/>
  <c r="D2430" i="10"/>
  <c r="E2431" i="10"/>
  <c r="D2431" i="10"/>
  <c r="E2432" i="10"/>
  <c r="D2432" i="10"/>
  <c r="E2433" i="10"/>
  <c r="D2433" i="10"/>
  <c r="E2434" i="10"/>
  <c r="D2434" i="10"/>
  <c r="E2435" i="10"/>
  <c r="D2435" i="10"/>
  <c r="E2436" i="10"/>
  <c r="D2436" i="10"/>
  <c r="E2437" i="10"/>
  <c r="D2437" i="10"/>
  <c r="E2438" i="10"/>
  <c r="D2438" i="10"/>
  <c r="E2439" i="10"/>
  <c r="D2439" i="10"/>
  <c r="E2440" i="10"/>
  <c r="D2440" i="10"/>
  <c r="E2441" i="10"/>
  <c r="D2441" i="10"/>
  <c r="E2442" i="10"/>
  <c r="D2442" i="10"/>
  <c r="E2443" i="10"/>
  <c r="D2443" i="10"/>
  <c r="E2444" i="10"/>
  <c r="D2444" i="10"/>
  <c r="E2445" i="10"/>
  <c r="D2445" i="10"/>
  <c r="E2446" i="10"/>
  <c r="D2446" i="10"/>
  <c r="E2447" i="10"/>
  <c r="D2447" i="10"/>
  <c r="E2448" i="10"/>
  <c r="D2448" i="10"/>
  <c r="E2449" i="10"/>
  <c r="D2449" i="10"/>
  <c r="E2450" i="10"/>
  <c r="D2450" i="10"/>
  <c r="E2451" i="10"/>
  <c r="D2451" i="10"/>
  <c r="E2452" i="10"/>
  <c r="D2452" i="10"/>
  <c r="E2453" i="10"/>
  <c r="D2453" i="10"/>
  <c r="E2454" i="10"/>
  <c r="D2454" i="10"/>
  <c r="E2455" i="10"/>
  <c r="D2455" i="10"/>
  <c r="E2456" i="10"/>
  <c r="D2456" i="10"/>
  <c r="E2457" i="10"/>
  <c r="D2457" i="10"/>
  <c r="E2458" i="10"/>
  <c r="D2458" i="10"/>
  <c r="E2459" i="10"/>
  <c r="D2459" i="10"/>
  <c r="E2460" i="10"/>
  <c r="D2460" i="10"/>
  <c r="E2461" i="10"/>
  <c r="D2461" i="10"/>
  <c r="E2462" i="10"/>
  <c r="D2462" i="10"/>
  <c r="E2463" i="10"/>
  <c r="D2463" i="10"/>
  <c r="E2464" i="10"/>
  <c r="D2464" i="10"/>
  <c r="E2465" i="10"/>
  <c r="D2465" i="10"/>
  <c r="E2466" i="10"/>
  <c r="D2466" i="10"/>
  <c r="E2467" i="10"/>
  <c r="D2467" i="10"/>
  <c r="E2468" i="10"/>
  <c r="D2468" i="10"/>
  <c r="E2469" i="10"/>
  <c r="D2469" i="10"/>
  <c r="E2470" i="10"/>
  <c r="D2470" i="10"/>
  <c r="E2471" i="10"/>
  <c r="D2471" i="10"/>
  <c r="E2472" i="10"/>
  <c r="D2472" i="10"/>
  <c r="E2473" i="10"/>
  <c r="D2473" i="10"/>
  <c r="E2474" i="10"/>
  <c r="D2474" i="10"/>
  <c r="D2475" i="10"/>
  <c r="E2475" i="10"/>
  <c r="D2476" i="10"/>
  <c r="E2476" i="10"/>
  <c r="D2477" i="10"/>
  <c r="E2477" i="10"/>
  <c r="D2478" i="10"/>
  <c r="E2478" i="10"/>
  <c r="D2479" i="10"/>
  <c r="E2479" i="10"/>
  <c r="D2480" i="10"/>
  <c r="E2480" i="10"/>
  <c r="D2481" i="10"/>
  <c r="E2481" i="10"/>
  <c r="D2482" i="10"/>
  <c r="E2482" i="10"/>
  <c r="D2483" i="10"/>
  <c r="E2483" i="10"/>
  <c r="D2484" i="10"/>
  <c r="E2484" i="10"/>
  <c r="D2485" i="10"/>
  <c r="E2485" i="10"/>
  <c r="D2486" i="10"/>
  <c r="E2486" i="10"/>
  <c r="D2487" i="10"/>
  <c r="E2487" i="10"/>
  <c r="D2488" i="10"/>
  <c r="E2488" i="10"/>
  <c r="D2489" i="10"/>
  <c r="E2489" i="10"/>
  <c r="D2490" i="10"/>
  <c r="E2490" i="10"/>
  <c r="D2491" i="10"/>
  <c r="E2491" i="10"/>
  <c r="D2492" i="10"/>
  <c r="E2492" i="10"/>
  <c r="D2493" i="10"/>
  <c r="E2493" i="10"/>
  <c r="D2494" i="10"/>
  <c r="E2494" i="10"/>
  <c r="D2495" i="10"/>
  <c r="E2495" i="10"/>
  <c r="D2496" i="10"/>
  <c r="E2496" i="10"/>
  <c r="D2497" i="10"/>
  <c r="E2497" i="10"/>
  <c r="D2498" i="10"/>
  <c r="E2498" i="10"/>
  <c r="D2499" i="10"/>
  <c r="E2499" i="10"/>
  <c r="D2500" i="10"/>
  <c r="E2500" i="10"/>
  <c r="D2501" i="10"/>
  <c r="E2501" i="10"/>
  <c r="D2502" i="10"/>
  <c r="E2502" i="10"/>
  <c r="D2503" i="10"/>
  <c r="E2503" i="10"/>
  <c r="D2504" i="10"/>
  <c r="E2504" i="10"/>
  <c r="D2505" i="10"/>
  <c r="E2505" i="10"/>
  <c r="D2506" i="10"/>
  <c r="E2506" i="10"/>
  <c r="D2507" i="10"/>
  <c r="E2507" i="10"/>
  <c r="D2508" i="10"/>
  <c r="E2508" i="10"/>
  <c r="D2509" i="10"/>
  <c r="E2509" i="10"/>
  <c r="D2510" i="10"/>
  <c r="E2510" i="10"/>
  <c r="D2511" i="10"/>
  <c r="E2511" i="10"/>
  <c r="D2512" i="10"/>
  <c r="E2512" i="10"/>
  <c r="D2513" i="10"/>
  <c r="E2513" i="10"/>
  <c r="D2514" i="10"/>
  <c r="E2514" i="10"/>
  <c r="D2515" i="10"/>
  <c r="E2515" i="10"/>
  <c r="D2516" i="10"/>
  <c r="E2516" i="10"/>
  <c r="D2517" i="10"/>
  <c r="E2517" i="10"/>
  <c r="D2518" i="10"/>
  <c r="E2518" i="10"/>
  <c r="D2519" i="10"/>
  <c r="E2519" i="10"/>
  <c r="D2520" i="10"/>
  <c r="E2520" i="10"/>
  <c r="D2521" i="10"/>
  <c r="E2521" i="10"/>
  <c r="D2522" i="10"/>
  <c r="E2522" i="10"/>
  <c r="D2523" i="10"/>
  <c r="E2523" i="10"/>
  <c r="D2524" i="10"/>
  <c r="E2524" i="10"/>
  <c r="D2525" i="10"/>
  <c r="E2525" i="10"/>
  <c r="D2526" i="10"/>
  <c r="E2526" i="10"/>
  <c r="D2527" i="10"/>
  <c r="E2527" i="10"/>
  <c r="D2528" i="10"/>
  <c r="E2528" i="10"/>
  <c r="D2529" i="10"/>
  <c r="E2529" i="10"/>
  <c r="D2530" i="10"/>
  <c r="E2530" i="10"/>
  <c r="D2531" i="10"/>
  <c r="E2531" i="10"/>
  <c r="D2532" i="10"/>
  <c r="E2532" i="10"/>
  <c r="D2533" i="10"/>
  <c r="E2533" i="10"/>
  <c r="D2534" i="10"/>
  <c r="E2534" i="10"/>
  <c r="D2535" i="10"/>
  <c r="E2535" i="10"/>
  <c r="D2536" i="10"/>
  <c r="E2536" i="10"/>
  <c r="D2537" i="10"/>
  <c r="E2537" i="10"/>
  <c r="D2538" i="10"/>
  <c r="E2538" i="10"/>
  <c r="D2539" i="10"/>
  <c r="E2539" i="10"/>
  <c r="D2540" i="10"/>
  <c r="E2540" i="10"/>
  <c r="D2541" i="10"/>
  <c r="E2541" i="10"/>
  <c r="D2542" i="10"/>
  <c r="E2542" i="10"/>
  <c r="D2543" i="10"/>
  <c r="E2543" i="10"/>
  <c r="D2544" i="10"/>
  <c r="E2544" i="10"/>
  <c r="D2545" i="10"/>
  <c r="E2545" i="10"/>
  <c r="D2546" i="10"/>
  <c r="E2546" i="10"/>
  <c r="D2547" i="10"/>
  <c r="E2547" i="10"/>
  <c r="D2548" i="10"/>
  <c r="E2548" i="10"/>
  <c r="D2549" i="10"/>
  <c r="E2549" i="10"/>
  <c r="D2550" i="10"/>
  <c r="E2550" i="10"/>
  <c r="D2551" i="10"/>
  <c r="E2551" i="10"/>
  <c r="D2552" i="10"/>
  <c r="E2552" i="10"/>
  <c r="D2553" i="10"/>
  <c r="E2553" i="10"/>
  <c r="D2554" i="10"/>
  <c r="E2554" i="10"/>
  <c r="D2555" i="10"/>
  <c r="E2555" i="10"/>
  <c r="D2556" i="10"/>
  <c r="E2556" i="10"/>
  <c r="D2557" i="10"/>
  <c r="E2557" i="10"/>
  <c r="D2558" i="10"/>
  <c r="E2558" i="10"/>
  <c r="D2559" i="10"/>
  <c r="E2559" i="10"/>
  <c r="D2560" i="10"/>
  <c r="E2560" i="10"/>
  <c r="D2561" i="10"/>
  <c r="E2561" i="10"/>
  <c r="D2562" i="10"/>
  <c r="E2562" i="10"/>
  <c r="D2563" i="10"/>
  <c r="E2563" i="10"/>
  <c r="D2564" i="10"/>
  <c r="E2564" i="10"/>
  <c r="D2565" i="10"/>
  <c r="E2565" i="10"/>
  <c r="D2566" i="10"/>
  <c r="E2566" i="10"/>
  <c r="D2567" i="10"/>
  <c r="E2567" i="10"/>
  <c r="D2568" i="10"/>
  <c r="E2568" i="10"/>
  <c r="D2569" i="10"/>
  <c r="E2569" i="10"/>
  <c r="D2570" i="10"/>
  <c r="E2570" i="10"/>
  <c r="D2571" i="10"/>
  <c r="E2571" i="10"/>
  <c r="D2572" i="10"/>
  <c r="E2572" i="10"/>
  <c r="D2573" i="10"/>
  <c r="E2573" i="10"/>
  <c r="D2574" i="10"/>
  <c r="E2574" i="10"/>
  <c r="D2575" i="10"/>
  <c r="E2575" i="10"/>
  <c r="D2576" i="10"/>
  <c r="E2576" i="10"/>
  <c r="D2577" i="10"/>
  <c r="E2577" i="10"/>
  <c r="D2578" i="10"/>
  <c r="E2578" i="10"/>
  <c r="D2579" i="10"/>
  <c r="E2579" i="10"/>
  <c r="D2580" i="10"/>
  <c r="E2580" i="10"/>
  <c r="D2581" i="10"/>
  <c r="E2581" i="10"/>
  <c r="D2582" i="10"/>
  <c r="E2582" i="10"/>
  <c r="D2583" i="10"/>
  <c r="E2583" i="10"/>
  <c r="D2584" i="10"/>
  <c r="E2584" i="10"/>
  <c r="D2585" i="10"/>
  <c r="E2585" i="10"/>
  <c r="D2586" i="10"/>
  <c r="E2586" i="10"/>
  <c r="D2587" i="10"/>
  <c r="E2587" i="10"/>
  <c r="D2588" i="10"/>
  <c r="E2588" i="10"/>
  <c r="D2589" i="10"/>
  <c r="E2589" i="10"/>
  <c r="D2590" i="10"/>
  <c r="E2590" i="10"/>
  <c r="D2591" i="10"/>
  <c r="E2591" i="10"/>
  <c r="D2592" i="10"/>
  <c r="E2592" i="10"/>
  <c r="D2593" i="10"/>
  <c r="E2593" i="10"/>
  <c r="D2594" i="10"/>
  <c r="E2594" i="10"/>
  <c r="D2595" i="10"/>
  <c r="E2595" i="10"/>
  <c r="D2596" i="10"/>
  <c r="E2596" i="10"/>
  <c r="D2597" i="10"/>
  <c r="E2597" i="10"/>
  <c r="D2598" i="10"/>
  <c r="E2598" i="10"/>
  <c r="D2599" i="10"/>
  <c r="E2599" i="10"/>
  <c r="D2600" i="10"/>
  <c r="E2600" i="10"/>
  <c r="D2601" i="10"/>
  <c r="E2601" i="10"/>
  <c r="D2602" i="10"/>
  <c r="E2602" i="10"/>
  <c r="D2603" i="10"/>
  <c r="E2603" i="10"/>
  <c r="D2604" i="10"/>
  <c r="E2604" i="10"/>
  <c r="D2605" i="10"/>
  <c r="E2605" i="10"/>
  <c r="D2606" i="10"/>
  <c r="E2606" i="10"/>
  <c r="D2607" i="10"/>
  <c r="E2607" i="10"/>
  <c r="D2608" i="10"/>
  <c r="E2608" i="10"/>
  <c r="D2609" i="10"/>
  <c r="E2609" i="10"/>
  <c r="D2610" i="10"/>
  <c r="E2610" i="10"/>
  <c r="D2611" i="10"/>
  <c r="E2611" i="10"/>
  <c r="D2612" i="10"/>
  <c r="E2612" i="10"/>
  <c r="D2613" i="10"/>
  <c r="E2613" i="10"/>
  <c r="D2614" i="10"/>
  <c r="E2614" i="10"/>
  <c r="D2615" i="10"/>
  <c r="E2615" i="10"/>
  <c r="D2616" i="10"/>
  <c r="E2616" i="10"/>
  <c r="D2617" i="10"/>
  <c r="E2617" i="10"/>
  <c r="D2618" i="10"/>
  <c r="E2618" i="10"/>
  <c r="D2619" i="10"/>
  <c r="E2619" i="10"/>
  <c r="D2620" i="10"/>
  <c r="E2620" i="10"/>
  <c r="D2621" i="10"/>
  <c r="E2621" i="10"/>
  <c r="D2622" i="10"/>
  <c r="E2622" i="10"/>
  <c r="D2623" i="10"/>
  <c r="E2623" i="10"/>
  <c r="D2624" i="10"/>
  <c r="E2624" i="10"/>
  <c r="D2625" i="10"/>
  <c r="E2625" i="10"/>
  <c r="D2626" i="10"/>
  <c r="E2626" i="10"/>
  <c r="D2627" i="10"/>
  <c r="E2627" i="10"/>
  <c r="D2628" i="10"/>
  <c r="E2628" i="10"/>
  <c r="D2629" i="10"/>
  <c r="E2629" i="10"/>
  <c r="D2630" i="10"/>
  <c r="E2630" i="10"/>
  <c r="D2631" i="10"/>
  <c r="E2631" i="10"/>
  <c r="D2632" i="10"/>
  <c r="E2632" i="10"/>
  <c r="D2633" i="10"/>
  <c r="E2633" i="10"/>
  <c r="D2634" i="10"/>
  <c r="E2634" i="10"/>
  <c r="D2635" i="10"/>
  <c r="E2635" i="10"/>
  <c r="D2636" i="10"/>
  <c r="E2636" i="10"/>
  <c r="D2637" i="10"/>
  <c r="E2637" i="10"/>
  <c r="D2638" i="10"/>
  <c r="E2638" i="10"/>
  <c r="D2639" i="10"/>
  <c r="E2639" i="10"/>
  <c r="D2640" i="10"/>
  <c r="E2640" i="10"/>
  <c r="D2641" i="10"/>
  <c r="E2641" i="10"/>
  <c r="D2642" i="10"/>
  <c r="E2642" i="10"/>
  <c r="D2643" i="10"/>
  <c r="E2643" i="10"/>
  <c r="D2644" i="10"/>
  <c r="E2644" i="10"/>
  <c r="D2645" i="10"/>
  <c r="E2645" i="10"/>
  <c r="D2646" i="10"/>
  <c r="E2646" i="10"/>
  <c r="D2647" i="10"/>
  <c r="E2647" i="10"/>
  <c r="D2648" i="10"/>
  <c r="E2648" i="10"/>
  <c r="D2649" i="10"/>
  <c r="E2649" i="10"/>
  <c r="D2650" i="10"/>
  <c r="E2650" i="10"/>
  <c r="D2651" i="10"/>
  <c r="E2651" i="10"/>
  <c r="D2652" i="10"/>
  <c r="E2652" i="10"/>
  <c r="D2653" i="10"/>
  <c r="E2653" i="10"/>
  <c r="D2654" i="10"/>
  <c r="E2654" i="10"/>
  <c r="D2655" i="10"/>
  <c r="E2655" i="10"/>
  <c r="D2656" i="10"/>
  <c r="E2656" i="10"/>
  <c r="D2657" i="10"/>
  <c r="E2657" i="10"/>
  <c r="D2658" i="10"/>
  <c r="E2658" i="10"/>
  <c r="D2659" i="10"/>
  <c r="E2659" i="10"/>
  <c r="D2660" i="10"/>
  <c r="E2660" i="10"/>
  <c r="D2661" i="10"/>
  <c r="E2661" i="10"/>
  <c r="D2662" i="10"/>
  <c r="E2662" i="10"/>
  <c r="D2663" i="10"/>
  <c r="E2663" i="10"/>
  <c r="D2664" i="10"/>
  <c r="E2664" i="10"/>
  <c r="D2665" i="10"/>
  <c r="E2665" i="10"/>
  <c r="D2666" i="10"/>
  <c r="E2666" i="10"/>
  <c r="D2667" i="10"/>
  <c r="E2667" i="10"/>
  <c r="D2668" i="10"/>
  <c r="E2668" i="10"/>
  <c r="D2669" i="10"/>
  <c r="E2669" i="10"/>
  <c r="D2670" i="10"/>
  <c r="E2670" i="10"/>
  <c r="D2671" i="10"/>
  <c r="E2671" i="10"/>
  <c r="D2672" i="10"/>
  <c r="E2672" i="10"/>
  <c r="D2673" i="10"/>
  <c r="E2673" i="10"/>
  <c r="D2674" i="10"/>
  <c r="E2674" i="10"/>
  <c r="D2675" i="10"/>
  <c r="E2675" i="10"/>
  <c r="D2676" i="10"/>
  <c r="E2676" i="10"/>
  <c r="D2677" i="10"/>
  <c r="E2677" i="10"/>
  <c r="D2678" i="10"/>
  <c r="E2678" i="10"/>
  <c r="D2679" i="10"/>
  <c r="E2679" i="10"/>
  <c r="D2680" i="10"/>
  <c r="E2680" i="10"/>
  <c r="D2681" i="10"/>
  <c r="E2681" i="10"/>
  <c r="D2682" i="10"/>
  <c r="E2682" i="10"/>
  <c r="D2683" i="10"/>
  <c r="E2683" i="10"/>
  <c r="D2684" i="10"/>
  <c r="E2684" i="10"/>
  <c r="D2685" i="10"/>
  <c r="E2685" i="10"/>
  <c r="D2686" i="10"/>
  <c r="E2686" i="10"/>
  <c r="D2687" i="10"/>
  <c r="E2687" i="10"/>
  <c r="D2688" i="10"/>
  <c r="E2688" i="10"/>
  <c r="D2689" i="10"/>
  <c r="E2689" i="10"/>
  <c r="D2690" i="10"/>
  <c r="E2690" i="10"/>
  <c r="D2691" i="10"/>
  <c r="E2691" i="10"/>
  <c r="D2692" i="10"/>
  <c r="E2692" i="10"/>
  <c r="D2693" i="10"/>
  <c r="E2693" i="10"/>
  <c r="D2694" i="10"/>
  <c r="E2694" i="10"/>
  <c r="D2695" i="10"/>
  <c r="E2695" i="10"/>
  <c r="D2696" i="10"/>
  <c r="E2696" i="10"/>
  <c r="D2697" i="10"/>
  <c r="E2697" i="10"/>
  <c r="D2698" i="10"/>
  <c r="E2698" i="10"/>
  <c r="D2699" i="10"/>
  <c r="E2699" i="10"/>
  <c r="D2700" i="10"/>
  <c r="E2700" i="10"/>
  <c r="D2701" i="10"/>
  <c r="E2701" i="10"/>
  <c r="D2702" i="10"/>
  <c r="E2702" i="10"/>
  <c r="D2703" i="10"/>
  <c r="E2703" i="10"/>
  <c r="D2704" i="10"/>
  <c r="E2704" i="10"/>
  <c r="D2705" i="10"/>
  <c r="E2705" i="10"/>
  <c r="D2706" i="10"/>
  <c r="E2706" i="10"/>
  <c r="D2707" i="10"/>
  <c r="E2707" i="10"/>
  <c r="D2708" i="10"/>
  <c r="E2708" i="10"/>
  <c r="D2709" i="10"/>
  <c r="E2709" i="10"/>
  <c r="D2710" i="10"/>
  <c r="E2710" i="10"/>
  <c r="D2711" i="10"/>
  <c r="E2711" i="10"/>
  <c r="D2712" i="10"/>
  <c r="E2712" i="10"/>
  <c r="D2713" i="10"/>
  <c r="E2713" i="10"/>
  <c r="D2714" i="10"/>
  <c r="E2714" i="10"/>
  <c r="D2715" i="10"/>
  <c r="E2715" i="10"/>
  <c r="D2716" i="10"/>
  <c r="E2716" i="10"/>
  <c r="D2717" i="10"/>
  <c r="E2717" i="10"/>
  <c r="D2718" i="10"/>
  <c r="E2718" i="10"/>
  <c r="D2719" i="10"/>
  <c r="E2719" i="10"/>
  <c r="D2720" i="10"/>
  <c r="E2720" i="10"/>
  <c r="D2721" i="10"/>
  <c r="E2721" i="10"/>
  <c r="D2722" i="10"/>
  <c r="E2722" i="10"/>
  <c r="D2723" i="10"/>
  <c r="E2723" i="10"/>
  <c r="D2724" i="10"/>
  <c r="E2724" i="10"/>
  <c r="D2725" i="10"/>
  <c r="E2725" i="10"/>
  <c r="D2726" i="10"/>
  <c r="E2726" i="10"/>
  <c r="D2727" i="10"/>
  <c r="E2727" i="10"/>
  <c r="D2728" i="10"/>
  <c r="E2728" i="10"/>
  <c r="D2729" i="10"/>
  <c r="E2729" i="10"/>
  <c r="D2730" i="10"/>
  <c r="E2730" i="10"/>
  <c r="D2731" i="10"/>
  <c r="E2731" i="10"/>
  <c r="D2732" i="10"/>
  <c r="E2732" i="10"/>
  <c r="D2733" i="10"/>
  <c r="E2733" i="10"/>
  <c r="D2734" i="10"/>
  <c r="E2734" i="10"/>
  <c r="D2735" i="10"/>
  <c r="E2735" i="10"/>
  <c r="D2736" i="10"/>
  <c r="E2736" i="10"/>
  <c r="D2737" i="10"/>
  <c r="E2737" i="10"/>
  <c r="D2738" i="10"/>
  <c r="E2738" i="10"/>
  <c r="D2739" i="10"/>
  <c r="E2739" i="10"/>
  <c r="D2740" i="10"/>
  <c r="E2740" i="10"/>
  <c r="D2741" i="10"/>
  <c r="E2741" i="10"/>
  <c r="D2742" i="10"/>
  <c r="E2742" i="10"/>
  <c r="D2743" i="10"/>
  <c r="E2743" i="10"/>
  <c r="D2744" i="10"/>
  <c r="E2744" i="10"/>
  <c r="D2745" i="10"/>
  <c r="E2745" i="10"/>
  <c r="D2746" i="10"/>
  <c r="E2746" i="10"/>
  <c r="D2747" i="10"/>
  <c r="E2747" i="10"/>
  <c r="D2748" i="10"/>
  <c r="E2748" i="10"/>
  <c r="D2749" i="10"/>
  <c r="E2749" i="10"/>
  <c r="D2750" i="10"/>
  <c r="E2750" i="10"/>
  <c r="D2751" i="10"/>
  <c r="E2751" i="10"/>
  <c r="D2752" i="10"/>
  <c r="E2752" i="10"/>
  <c r="D2753" i="10"/>
  <c r="E2753" i="10"/>
  <c r="D2754" i="10"/>
  <c r="E2754" i="10"/>
  <c r="D2755" i="10"/>
  <c r="E2755" i="10"/>
  <c r="D2756" i="10"/>
  <c r="E2756" i="10"/>
  <c r="D2757" i="10"/>
  <c r="E2757" i="10"/>
  <c r="D2758" i="10"/>
  <c r="E2758" i="10"/>
  <c r="D2759" i="10"/>
  <c r="E2759" i="10"/>
  <c r="D2760" i="10"/>
  <c r="E2760" i="10"/>
  <c r="D2761" i="10"/>
  <c r="E2761" i="10"/>
  <c r="D2762" i="10"/>
  <c r="E2762" i="10"/>
  <c r="D2763" i="10"/>
  <c r="E2763" i="10"/>
  <c r="D2764" i="10"/>
  <c r="E2764" i="10"/>
  <c r="D2765" i="10"/>
  <c r="E2765" i="10"/>
  <c r="D2766" i="10"/>
  <c r="E2766" i="10"/>
  <c r="D2767" i="10"/>
  <c r="E2767" i="10"/>
  <c r="D2768" i="10"/>
  <c r="E2768" i="10"/>
  <c r="D2769" i="10"/>
  <c r="E2769" i="10"/>
  <c r="D2770" i="10"/>
  <c r="E2770" i="10"/>
  <c r="D2771" i="10"/>
  <c r="E2771" i="10"/>
  <c r="D2772" i="10"/>
  <c r="E2772" i="10"/>
  <c r="D2773" i="10"/>
  <c r="E2773" i="10"/>
  <c r="D2774" i="10"/>
  <c r="E2774" i="10"/>
  <c r="D2775" i="10"/>
  <c r="E2775" i="10"/>
  <c r="D2776" i="10"/>
  <c r="E2776" i="10"/>
  <c r="D2777" i="10"/>
  <c r="E2777" i="10"/>
  <c r="D2778" i="10"/>
  <c r="E2778" i="10"/>
  <c r="D2779" i="10"/>
  <c r="E2779" i="10"/>
  <c r="D2780" i="10"/>
  <c r="E2780" i="10"/>
  <c r="D2781" i="10"/>
  <c r="E2781" i="10"/>
  <c r="D2782" i="10"/>
  <c r="E2782" i="10"/>
  <c r="D2783" i="10"/>
  <c r="E2783" i="10"/>
  <c r="D2784" i="10"/>
  <c r="E2784" i="10"/>
  <c r="D2785" i="10"/>
  <c r="E2785" i="10"/>
  <c r="D2786" i="10"/>
  <c r="E2786" i="10"/>
  <c r="D2787" i="10"/>
  <c r="E2787" i="10"/>
  <c r="D2788" i="10"/>
  <c r="E2788" i="10"/>
  <c r="D2789" i="10"/>
  <c r="E2789" i="10"/>
  <c r="D2790" i="10"/>
  <c r="E2790" i="10"/>
  <c r="D2791" i="10"/>
  <c r="E2791" i="10"/>
  <c r="D2792" i="10"/>
  <c r="E2792" i="10"/>
  <c r="D2793" i="10"/>
  <c r="E2793" i="10"/>
  <c r="D2794" i="10"/>
  <c r="E2794" i="10"/>
  <c r="D2795" i="10"/>
  <c r="E2795" i="10"/>
  <c r="D2796" i="10"/>
  <c r="E2796" i="10"/>
  <c r="D2797" i="10"/>
  <c r="E2797" i="10"/>
  <c r="D2798" i="10"/>
  <c r="E2798" i="10"/>
  <c r="D2799" i="10"/>
  <c r="E2799" i="10"/>
  <c r="D2800" i="10"/>
  <c r="E2800" i="10"/>
  <c r="D2801" i="10"/>
  <c r="E2801" i="10"/>
  <c r="D2802" i="10"/>
  <c r="E2802" i="10"/>
  <c r="D2803" i="10"/>
  <c r="E2803" i="10"/>
  <c r="D2804" i="10"/>
  <c r="E2804" i="10"/>
  <c r="D2805" i="10"/>
  <c r="E2805" i="10"/>
  <c r="D2806" i="10"/>
  <c r="E2806" i="10"/>
  <c r="D2807" i="10"/>
  <c r="E2807" i="10"/>
  <c r="D2808" i="10"/>
  <c r="E2808" i="10"/>
  <c r="D2809" i="10"/>
  <c r="E2809" i="10"/>
  <c r="D2810" i="10"/>
  <c r="E2810" i="10"/>
  <c r="D2811" i="10"/>
  <c r="E2811" i="10"/>
  <c r="D2812" i="10"/>
  <c r="E2812" i="10"/>
  <c r="D2813" i="10"/>
  <c r="E2813" i="10"/>
  <c r="D2814" i="10"/>
  <c r="E2814" i="10"/>
  <c r="D2815" i="10"/>
  <c r="E2815" i="10"/>
  <c r="D2816" i="10"/>
  <c r="E2816" i="10"/>
  <c r="D2817" i="10"/>
  <c r="E2817" i="10"/>
  <c r="D2818" i="10"/>
  <c r="E2818" i="10"/>
  <c r="D2819" i="10"/>
  <c r="E2819" i="10"/>
  <c r="D2820" i="10"/>
  <c r="E2820" i="10"/>
  <c r="D2821" i="10"/>
  <c r="E2821" i="10"/>
  <c r="D2822" i="10"/>
  <c r="E2822" i="10"/>
  <c r="D2823" i="10"/>
  <c r="E2823" i="10"/>
  <c r="D2824" i="10"/>
  <c r="E2824" i="10"/>
  <c r="D2825" i="10"/>
  <c r="E2825" i="10"/>
  <c r="D2826" i="10"/>
  <c r="E2826" i="10"/>
  <c r="D2827" i="10"/>
  <c r="E2827" i="10"/>
  <c r="D2828" i="10"/>
  <c r="E2828" i="10"/>
  <c r="D2829" i="10"/>
  <c r="E2829" i="10"/>
  <c r="D2830" i="10"/>
  <c r="E2830" i="10"/>
  <c r="D2831" i="10"/>
  <c r="E2831" i="10"/>
  <c r="D2832" i="10"/>
  <c r="E2832" i="10"/>
  <c r="D2833" i="10"/>
  <c r="E2833" i="10"/>
  <c r="D2834" i="10"/>
  <c r="E2834" i="10"/>
  <c r="D2835" i="10"/>
  <c r="E2835" i="10"/>
  <c r="D2836" i="10"/>
  <c r="E2836" i="10"/>
  <c r="D2837" i="10"/>
  <c r="E2837" i="10"/>
  <c r="D2838" i="10"/>
  <c r="E2838" i="10"/>
  <c r="D2839" i="10"/>
  <c r="E2839" i="10"/>
  <c r="D2840" i="10"/>
  <c r="E2840" i="10"/>
  <c r="D2841" i="10"/>
  <c r="E2841" i="10"/>
  <c r="D2842" i="10"/>
  <c r="E2842" i="10"/>
  <c r="D2843" i="10"/>
  <c r="E2843" i="10"/>
  <c r="D2844" i="10"/>
  <c r="E2844" i="10"/>
  <c r="D2845" i="10"/>
  <c r="E2845" i="10"/>
  <c r="D2846" i="10"/>
  <c r="E2846" i="10"/>
  <c r="D2847" i="10"/>
  <c r="E2847" i="10"/>
  <c r="D2848" i="10"/>
  <c r="E2848" i="10"/>
  <c r="D2849" i="10"/>
  <c r="E2849" i="10"/>
  <c r="D2850" i="10"/>
  <c r="E2850" i="10"/>
  <c r="D2851" i="10"/>
  <c r="E2851" i="10"/>
  <c r="D2852" i="10"/>
  <c r="E2852" i="10"/>
  <c r="D2853" i="10"/>
  <c r="E2853" i="10"/>
  <c r="D2854" i="10"/>
  <c r="E2854" i="10"/>
  <c r="D2855" i="10"/>
  <c r="E2855" i="10"/>
  <c r="D2856" i="10"/>
  <c r="E2856" i="10"/>
  <c r="D2857" i="10"/>
  <c r="E2857" i="10"/>
  <c r="D2858" i="10"/>
  <c r="E2858" i="10"/>
  <c r="D2859" i="10"/>
  <c r="E2859" i="10"/>
  <c r="D2860" i="10"/>
  <c r="E2860" i="10"/>
  <c r="D2861" i="10"/>
  <c r="E2861" i="10"/>
  <c r="D2862" i="10"/>
  <c r="E2862" i="10"/>
  <c r="D2863" i="10"/>
  <c r="E2863" i="10"/>
  <c r="D2864" i="10"/>
  <c r="E2864" i="10"/>
  <c r="D2865" i="10"/>
  <c r="E2865" i="10"/>
  <c r="D2866" i="10"/>
  <c r="E2866" i="10"/>
  <c r="D2867" i="10"/>
  <c r="E2867" i="10"/>
  <c r="D2868" i="10"/>
  <c r="E2868" i="10"/>
  <c r="D2869" i="10"/>
  <c r="E2869" i="10"/>
  <c r="D2870" i="10"/>
  <c r="E2870" i="10"/>
  <c r="D2871" i="10"/>
  <c r="E2871" i="10"/>
  <c r="D2872" i="10"/>
  <c r="E2872" i="10"/>
  <c r="D2873" i="10"/>
  <c r="E2873" i="10"/>
  <c r="D2874" i="10"/>
  <c r="E2874" i="10"/>
  <c r="D2875" i="10"/>
  <c r="E2875" i="10"/>
  <c r="D2876" i="10"/>
  <c r="E2876" i="10"/>
  <c r="D2877" i="10"/>
  <c r="E2877" i="10"/>
  <c r="D2878" i="10"/>
  <c r="E2878" i="10"/>
  <c r="D2879" i="10"/>
  <c r="E2879" i="10"/>
  <c r="D2880" i="10"/>
  <c r="E2880" i="10"/>
  <c r="D2881" i="10"/>
  <c r="E2881" i="10"/>
  <c r="D2882" i="10"/>
  <c r="E2882" i="10"/>
  <c r="D2883" i="10"/>
  <c r="E2883" i="10"/>
  <c r="D2884" i="10"/>
  <c r="E2884" i="10"/>
  <c r="D2885" i="10"/>
  <c r="E2885" i="10"/>
  <c r="D2886" i="10"/>
  <c r="E2886" i="10"/>
  <c r="D2887" i="10"/>
  <c r="E2887" i="10"/>
  <c r="D2888" i="10"/>
  <c r="E2888" i="10"/>
  <c r="D2889" i="10"/>
  <c r="E2889" i="10"/>
  <c r="D2890" i="10"/>
  <c r="E2890" i="10"/>
  <c r="D2891" i="10"/>
  <c r="E2891" i="10"/>
  <c r="D2892" i="10"/>
  <c r="E2892" i="10"/>
  <c r="D2893" i="10"/>
  <c r="E2893" i="10"/>
  <c r="D2894" i="10"/>
  <c r="E2894" i="10"/>
  <c r="D2895" i="10"/>
  <c r="E2895" i="10"/>
  <c r="D2896" i="10"/>
  <c r="E2896" i="10"/>
  <c r="D2897" i="10"/>
  <c r="E2897" i="10"/>
  <c r="D2898" i="10"/>
  <c r="E2898" i="10"/>
  <c r="D2899" i="10"/>
  <c r="E2899" i="10"/>
  <c r="D2900" i="10"/>
  <c r="E2900" i="10"/>
  <c r="D2901" i="10"/>
  <c r="E2901" i="10"/>
  <c r="D2902" i="10"/>
  <c r="E2902" i="10"/>
  <c r="D2903" i="10"/>
  <c r="E2903" i="10"/>
  <c r="D2904" i="10"/>
  <c r="E2904" i="10"/>
  <c r="D2905" i="10"/>
  <c r="E2905" i="10"/>
  <c r="D2906" i="10"/>
  <c r="E2906" i="10"/>
  <c r="D2907" i="10"/>
  <c r="E2907" i="10"/>
  <c r="D2908" i="10"/>
  <c r="E2908" i="10"/>
  <c r="D2909" i="10"/>
  <c r="E2909" i="10"/>
  <c r="D2910" i="10"/>
  <c r="E2910" i="10"/>
  <c r="D2911" i="10"/>
  <c r="E2911" i="10"/>
  <c r="D2912" i="10"/>
  <c r="E2912" i="10"/>
  <c r="D2913" i="10"/>
  <c r="E2913" i="10"/>
  <c r="D2914" i="10"/>
  <c r="E2914" i="10"/>
  <c r="D2915" i="10"/>
  <c r="E2915" i="10"/>
  <c r="D2916" i="10"/>
  <c r="E2916" i="10"/>
  <c r="D2917" i="10"/>
  <c r="E2917" i="10"/>
  <c r="D2918" i="10"/>
  <c r="E2918" i="10"/>
  <c r="D2919" i="10"/>
  <c r="E2919" i="10"/>
  <c r="D2920" i="10"/>
  <c r="E2920" i="10"/>
  <c r="D2921" i="10"/>
  <c r="E2921" i="10"/>
  <c r="D2922" i="10"/>
  <c r="E2922" i="10"/>
  <c r="D2923" i="10"/>
  <c r="E2923" i="10"/>
  <c r="D2924" i="10"/>
  <c r="E2924" i="10"/>
  <c r="D2925" i="10"/>
  <c r="E2925" i="10"/>
  <c r="D2926" i="10"/>
  <c r="E2926" i="10"/>
  <c r="D2927" i="10"/>
  <c r="E2927" i="10"/>
  <c r="D2928" i="10"/>
  <c r="E2928" i="10"/>
  <c r="D2929" i="10"/>
  <c r="E2929" i="10"/>
  <c r="D2930" i="10"/>
  <c r="E2930" i="10"/>
  <c r="D2931" i="10"/>
  <c r="E2931" i="10"/>
  <c r="D2932" i="10"/>
  <c r="E2932" i="10"/>
  <c r="D2933" i="10"/>
  <c r="E2933" i="10"/>
  <c r="D2934" i="10"/>
  <c r="E2934" i="10"/>
  <c r="D2935" i="10"/>
  <c r="E2935" i="10"/>
  <c r="D2936" i="10"/>
  <c r="E2936" i="10"/>
  <c r="D2937" i="10"/>
  <c r="E2937" i="10"/>
  <c r="D2938" i="10"/>
  <c r="E2938" i="10"/>
  <c r="D2939" i="10"/>
  <c r="E2939" i="10"/>
  <c r="D2940" i="10"/>
  <c r="E2940" i="10"/>
  <c r="D2941" i="10"/>
  <c r="E2941" i="10"/>
  <c r="D2942" i="10"/>
  <c r="E2942" i="10"/>
  <c r="D2943" i="10"/>
  <c r="E2943" i="10"/>
  <c r="D2944" i="10"/>
  <c r="E2944" i="10"/>
  <c r="D2945" i="10"/>
  <c r="E2945" i="10"/>
  <c r="D2946" i="10"/>
  <c r="E2946" i="10"/>
  <c r="D2947" i="10"/>
  <c r="E2947" i="10"/>
  <c r="D2948" i="10"/>
  <c r="E2948" i="10"/>
  <c r="D2949" i="10"/>
  <c r="E2949" i="10"/>
  <c r="D2950" i="10"/>
  <c r="E2950" i="10"/>
  <c r="D2951" i="10"/>
  <c r="E2951" i="10"/>
  <c r="D2952" i="10"/>
  <c r="E2952" i="10"/>
  <c r="D2953" i="10"/>
  <c r="E2953" i="10"/>
  <c r="D2954" i="10"/>
  <c r="E2954" i="10"/>
  <c r="D2955" i="10"/>
  <c r="E2955" i="10"/>
  <c r="D2956" i="10"/>
  <c r="E2956" i="10"/>
  <c r="D2957" i="10"/>
  <c r="E2957" i="10"/>
  <c r="D2958" i="10"/>
  <c r="E2958" i="10"/>
  <c r="D2959" i="10"/>
  <c r="E2959" i="10"/>
  <c r="D2960" i="10"/>
  <c r="E2960" i="10"/>
  <c r="D2961" i="10"/>
  <c r="E2961" i="10"/>
  <c r="D2962" i="10"/>
  <c r="E2962" i="10"/>
  <c r="D2963" i="10"/>
  <c r="E2963" i="10"/>
  <c r="D2964" i="10"/>
  <c r="E2964" i="10"/>
  <c r="D2965" i="10"/>
  <c r="E2965" i="10"/>
  <c r="D2966" i="10"/>
  <c r="E2966" i="10"/>
  <c r="D2967" i="10"/>
  <c r="E2967" i="10"/>
  <c r="D2968" i="10"/>
  <c r="E2968" i="10"/>
  <c r="D2969" i="10"/>
  <c r="E2969" i="10"/>
  <c r="D2970" i="10"/>
  <c r="E2970" i="10"/>
  <c r="D2971" i="10"/>
  <c r="E2971" i="10"/>
  <c r="D2972" i="10"/>
  <c r="E2972" i="10"/>
  <c r="D2973" i="10"/>
  <c r="E2973" i="10"/>
  <c r="D2974" i="10"/>
  <c r="E2974" i="10"/>
  <c r="D2975" i="10"/>
  <c r="E2975" i="10"/>
  <c r="D2976" i="10"/>
  <c r="E2976" i="10"/>
  <c r="D2977" i="10"/>
  <c r="E2977" i="10"/>
  <c r="D2978" i="10"/>
  <c r="E2978" i="10"/>
  <c r="D2979" i="10"/>
  <c r="E2979" i="10"/>
  <c r="D2980" i="10"/>
  <c r="E2980" i="10"/>
  <c r="D2981" i="10"/>
  <c r="E2981" i="10"/>
  <c r="D2982" i="10"/>
  <c r="E2982" i="10"/>
  <c r="D2983" i="10"/>
  <c r="E2983" i="10"/>
  <c r="D2984" i="10"/>
  <c r="E2984" i="10"/>
  <c r="D2985" i="10"/>
  <c r="E2985" i="10"/>
  <c r="D2986" i="10"/>
  <c r="E2986" i="10"/>
  <c r="D2987" i="10"/>
  <c r="E2987" i="10"/>
  <c r="D2988" i="10"/>
  <c r="E2988" i="10"/>
  <c r="D2989" i="10"/>
  <c r="E2989" i="10"/>
  <c r="D2990" i="10"/>
  <c r="E2990" i="10"/>
  <c r="D2991" i="10"/>
  <c r="E2991" i="10"/>
  <c r="D2992" i="10"/>
  <c r="E2992" i="10"/>
  <c r="D2993" i="10"/>
  <c r="E2993" i="10"/>
  <c r="D2994" i="10"/>
  <c r="E2994" i="10"/>
  <c r="D2995" i="10"/>
  <c r="E2995" i="10"/>
  <c r="D2996" i="10"/>
  <c r="E2996" i="10"/>
  <c r="D2997" i="10"/>
  <c r="E2997" i="10"/>
  <c r="D2998" i="10"/>
  <c r="E2998" i="10"/>
  <c r="D2999" i="10"/>
  <c r="E2999" i="10"/>
  <c r="D3000" i="10"/>
  <c r="E3000" i="10"/>
  <c r="D3001" i="10"/>
  <c r="E3001" i="10"/>
  <c r="D3002" i="10"/>
  <c r="E3002" i="10"/>
  <c r="D3003" i="10"/>
  <c r="E3003" i="10"/>
  <c r="D3004" i="10"/>
  <c r="E3004" i="10"/>
  <c r="D3005" i="10"/>
  <c r="E3005" i="10"/>
  <c r="D3006" i="10"/>
  <c r="E3006" i="10"/>
  <c r="D3007" i="10"/>
  <c r="E3007" i="10"/>
  <c r="D3008" i="10"/>
  <c r="E3008" i="10"/>
  <c r="D3009" i="10"/>
  <c r="E3009" i="10"/>
  <c r="D3010" i="10"/>
  <c r="E3010" i="10"/>
  <c r="D3011" i="10"/>
  <c r="E3011" i="10"/>
  <c r="D3012" i="10"/>
  <c r="E3012" i="10"/>
  <c r="D3013" i="10"/>
  <c r="E3013" i="10"/>
  <c r="D3014" i="10"/>
  <c r="E3014" i="10"/>
  <c r="D3015" i="10"/>
  <c r="E3015" i="10"/>
  <c r="D3016" i="10"/>
  <c r="E3016" i="10"/>
  <c r="D3017" i="10"/>
  <c r="E3017" i="10"/>
  <c r="D3018" i="10"/>
  <c r="E3018" i="10"/>
  <c r="D3019" i="10"/>
  <c r="E3019" i="10"/>
  <c r="D3020" i="10"/>
  <c r="E3020" i="10"/>
  <c r="D3021" i="10"/>
  <c r="E3021" i="10"/>
  <c r="D3022" i="10"/>
  <c r="E3022" i="10"/>
  <c r="D3023" i="10"/>
  <c r="E3023" i="10"/>
  <c r="D3024" i="10"/>
  <c r="E3024" i="10"/>
  <c r="D3025" i="10"/>
  <c r="E3025" i="10"/>
  <c r="D3026" i="10"/>
  <c r="E3026" i="10"/>
  <c r="D3027" i="10"/>
  <c r="E3027" i="10"/>
  <c r="D3028" i="10"/>
  <c r="E3028" i="10"/>
  <c r="D3029" i="10"/>
  <c r="E3029" i="10"/>
  <c r="D3030" i="10"/>
  <c r="E3030" i="10"/>
  <c r="D3031" i="10"/>
  <c r="E3031" i="10"/>
  <c r="D3032" i="10"/>
  <c r="E3032" i="10"/>
  <c r="D3033" i="10"/>
  <c r="E3033" i="10"/>
  <c r="D3034" i="10"/>
  <c r="E3034" i="10"/>
  <c r="D3035" i="10"/>
  <c r="E3035" i="10"/>
  <c r="D3036" i="10"/>
  <c r="E3036" i="10"/>
  <c r="D3037" i="10"/>
  <c r="E3037" i="10"/>
  <c r="D3038" i="10"/>
  <c r="E3038" i="10"/>
  <c r="D3039" i="10"/>
  <c r="E3039" i="10"/>
  <c r="D3040" i="10"/>
  <c r="E3040" i="10"/>
  <c r="D3041" i="10"/>
  <c r="E3041" i="10"/>
  <c r="E3042" i="10"/>
  <c r="D3042" i="10"/>
  <c r="D3043" i="10"/>
  <c r="E3043" i="10"/>
  <c r="E3044" i="10"/>
  <c r="D3044" i="10"/>
  <c r="D3045" i="10"/>
  <c r="E3045" i="10"/>
  <c r="E3046" i="10"/>
  <c r="D3046" i="10"/>
  <c r="D3047" i="10"/>
  <c r="E3047" i="10"/>
  <c r="E3048" i="10"/>
  <c r="D3048" i="10"/>
  <c r="D3049" i="10"/>
  <c r="E3049" i="10"/>
  <c r="E3050" i="10"/>
  <c r="D3050" i="10"/>
  <c r="D3051" i="10"/>
  <c r="E3051" i="10"/>
  <c r="E3052" i="10"/>
  <c r="D3052" i="10"/>
  <c r="D3053" i="10"/>
  <c r="E3053" i="10"/>
  <c r="E3054" i="10"/>
  <c r="D3054" i="10"/>
  <c r="D3055" i="10"/>
  <c r="E3055" i="10"/>
  <c r="E3056" i="10"/>
  <c r="D3056" i="10"/>
  <c r="D3057" i="10"/>
  <c r="E3057" i="10"/>
  <c r="E3058" i="10"/>
  <c r="D3058" i="10"/>
  <c r="D3059" i="10"/>
  <c r="E3059" i="10"/>
  <c r="E3060" i="10"/>
  <c r="D3060" i="10"/>
  <c r="D3061" i="10"/>
  <c r="E3061" i="10"/>
  <c r="E3062" i="10"/>
  <c r="D3062" i="10"/>
  <c r="D3063" i="10"/>
  <c r="E3063" i="10"/>
  <c r="E3064" i="10"/>
  <c r="D3064" i="10"/>
  <c r="D3065" i="10"/>
  <c r="E3065" i="10"/>
  <c r="E3066" i="10"/>
  <c r="D3066" i="10"/>
  <c r="D3067" i="10"/>
  <c r="E3067" i="10"/>
  <c r="E3068" i="10"/>
  <c r="D3068" i="10"/>
  <c r="D3069" i="10"/>
  <c r="E3069" i="10"/>
  <c r="E3070" i="10"/>
  <c r="D3070" i="10"/>
  <c r="D3071" i="10"/>
  <c r="E3071" i="10"/>
  <c r="E3072" i="10"/>
  <c r="D3072" i="10"/>
  <c r="D3073" i="10"/>
  <c r="E3073" i="10"/>
  <c r="E3074" i="10"/>
  <c r="D3074" i="10"/>
  <c r="D3075" i="10"/>
  <c r="E3075" i="10"/>
  <c r="E3076" i="10"/>
  <c r="D3076" i="10"/>
  <c r="D3077" i="10"/>
  <c r="E3077" i="10"/>
  <c r="E3078" i="10"/>
  <c r="D3078" i="10"/>
  <c r="D3079" i="10"/>
  <c r="E3079" i="10"/>
  <c r="E3080" i="10"/>
  <c r="D3080" i="10"/>
  <c r="D3081" i="10"/>
  <c r="E3081" i="10"/>
  <c r="E3082" i="10"/>
  <c r="D3082" i="10"/>
  <c r="D3083" i="10"/>
  <c r="E3083" i="10"/>
  <c r="E3084" i="10"/>
  <c r="D3084" i="10"/>
  <c r="D3085" i="10"/>
  <c r="E3085" i="10"/>
  <c r="E3086" i="10"/>
  <c r="D3086" i="10"/>
  <c r="D3087" i="10"/>
  <c r="E3087" i="10"/>
  <c r="E3088" i="10"/>
  <c r="D3088" i="10"/>
  <c r="D3089" i="10"/>
  <c r="E3089" i="10"/>
  <c r="E3090" i="10"/>
  <c r="D3090" i="10"/>
  <c r="D3091" i="10"/>
  <c r="E3091" i="10"/>
  <c r="E3092" i="10"/>
  <c r="D3092" i="10"/>
  <c r="D3093" i="10"/>
  <c r="E3093" i="10"/>
  <c r="E3094" i="10"/>
  <c r="D3094" i="10"/>
  <c r="D3095" i="10"/>
  <c r="E3095" i="10"/>
  <c r="E3096" i="10"/>
  <c r="D3096" i="10"/>
  <c r="D3097" i="10"/>
  <c r="E3097" i="10"/>
  <c r="E3098" i="10"/>
  <c r="D3098" i="10"/>
  <c r="D3099" i="10"/>
  <c r="E3099" i="10"/>
  <c r="E3100" i="10"/>
  <c r="D3100" i="10"/>
  <c r="D3101" i="10"/>
  <c r="E3101" i="10"/>
  <c r="E3102" i="10"/>
  <c r="D3102" i="10"/>
  <c r="D3103" i="10"/>
  <c r="E3103" i="10"/>
  <c r="E3104" i="10"/>
  <c r="D3104" i="10"/>
  <c r="D3105" i="10"/>
  <c r="E3105" i="10"/>
  <c r="E3106" i="10"/>
  <c r="D3106" i="10"/>
  <c r="D3107" i="10"/>
  <c r="E3107" i="10"/>
  <c r="E3108" i="10"/>
  <c r="D3108" i="10"/>
  <c r="D3109" i="10"/>
  <c r="E3109" i="10"/>
  <c r="E3110" i="10"/>
  <c r="D3110" i="10"/>
  <c r="D3111" i="10"/>
  <c r="E3111" i="10"/>
  <c r="E3112" i="10"/>
  <c r="D3112" i="10"/>
  <c r="D3113" i="10"/>
  <c r="E3113" i="10"/>
  <c r="E3114" i="10"/>
  <c r="D3114" i="10"/>
  <c r="D3115" i="10"/>
  <c r="E3115" i="10"/>
  <c r="E3116" i="10"/>
  <c r="D3116" i="10"/>
  <c r="D3117" i="10"/>
  <c r="E3117" i="10"/>
  <c r="E3118" i="10"/>
  <c r="D3118" i="10"/>
  <c r="D3119" i="10"/>
  <c r="E3119" i="10"/>
  <c r="E3120" i="10"/>
  <c r="D3120" i="10"/>
  <c r="D3121" i="10"/>
  <c r="E3121" i="10"/>
  <c r="E3122" i="10"/>
  <c r="D3122" i="10"/>
  <c r="D3123" i="10"/>
  <c r="E3123" i="10"/>
  <c r="E3124" i="10"/>
  <c r="D3124" i="10"/>
  <c r="D3125" i="10"/>
  <c r="E3125" i="10"/>
  <c r="E3126" i="10"/>
  <c r="D3126" i="10"/>
  <c r="D3127" i="10"/>
  <c r="E3127" i="10"/>
  <c r="E3128" i="10"/>
  <c r="D3128" i="10"/>
  <c r="D3129" i="10"/>
  <c r="E3129" i="10"/>
  <c r="E3130" i="10"/>
  <c r="D3130" i="10"/>
  <c r="D3131" i="10"/>
  <c r="E3131" i="10"/>
  <c r="E3132" i="10"/>
  <c r="D3132" i="10"/>
  <c r="D3133" i="10"/>
  <c r="E3133" i="10"/>
  <c r="E3134" i="10"/>
  <c r="D3134" i="10"/>
  <c r="D3135" i="10"/>
  <c r="E3135" i="10"/>
  <c r="E3136" i="10"/>
  <c r="D3136" i="10"/>
  <c r="D3137" i="10"/>
  <c r="E3137" i="10"/>
  <c r="E3138" i="10"/>
  <c r="D3138" i="10"/>
  <c r="D3139" i="10"/>
  <c r="E3139" i="10"/>
  <c r="E3140" i="10"/>
  <c r="D3140" i="10"/>
  <c r="D3141" i="10"/>
  <c r="E3141" i="10"/>
  <c r="E3142" i="10"/>
  <c r="D3142" i="10"/>
  <c r="D3143" i="10"/>
  <c r="E3143" i="10"/>
  <c r="E3144" i="10"/>
  <c r="D3144" i="10"/>
  <c r="D3145" i="10"/>
  <c r="E3145" i="10"/>
  <c r="E3146" i="10"/>
  <c r="D3146" i="10"/>
  <c r="D3147" i="10"/>
  <c r="E3147" i="10"/>
  <c r="E3148" i="10"/>
  <c r="D3148" i="10"/>
  <c r="D3149" i="10"/>
  <c r="E3149" i="10"/>
  <c r="E3150" i="10"/>
  <c r="D3150" i="10"/>
  <c r="D3151" i="10"/>
  <c r="E3151" i="10"/>
  <c r="E3152" i="10"/>
  <c r="D3152" i="10"/>
  <c r="D3153" i="10"/>
  <c r="E3153" i="10"/>
  <c r="E3154" i="10"/>
  <c r="D3154" i="10"/>
  <c r="D3155" i="10"/>
  <c r="E3155" i="10"/>
  <c r="E3156" i="10"/>
  <c r="D3156" i="10"/>
  <c r="D3157" i="10"/>
  <c r="E3157" i="10"/>
  <c r="E3158" i="10"/>
  <c r="D3158" i="10"/>
  <c r="D3159" i="10"/>
  <c r="E3159" i="10"/>
  <c r="E3160" i="10"/>
  <c r="D3160" i="10"/>
  <c r="D3161" i="10"/>
  <c r="E3161" i="10"/>
  <c r="E3162" i="10"/>
  <c r="D3162" i="10"/>
  <c r="D3163" i="10"/>
  <c r="E3163" i="10"/>
  <c r="E3164" i="10"/>
  <c r="D3164" i="10"/>
  <c r="D3165" i="10"/>
  <c r="E3165" i="10"/>
  <c r="E3166" i="10"/>
  <c r="D3166" i="10"/>
  <c r="D3167" i="10"/>
  <c r="E3167" i="10"/>
  <c r="E3168" i="10"/>
  <c r="D3168" i="10"/>
  <c r="D3169" i="10"/>
  <c r="E3169" i="10"/>
  <c r="E3170" i="10"/>
  <c r="D3170" i="10"/>
  <c r="D3171" i="10"/>
  <c r="E3171" i="10"/>
  <c r="E3172" i="10"/>
  <c r="D3172" i="10"/>
  <c r="D3173" i="10"/>
  <c r="E3173" i="10"/>
  <c r="E3174" i="10"/>
  <c r="D3174" i="10"/>
  <c r="D3175" i="10"/>
  <c r="E3175" i="10"/>
  <c r="E3176" i="10"/>
  <c r="D3176" i="10"/>
  <c r="D3177" i="10"/>
  <c r="E3177" i="10"/>
  <c r="E3178" i="10"/>
  <c r="D3178" i="10"/>
  <c r="D3179" i="10"/>
  <c r="E3179" i="10"/>
  <c r="E3180" i="10"/>
  <c r="D3180" i="10"/>
  <c r="D3181" i="10"/>
  <c r="E3181" i="10"/>
  <c r="E3182" i="10"/>
  <c r="D3182" i="10"/>
  <c r="D3183" i="10"/>
  <c r="E3183" i="10"/>
  <c r="E3184" i="10"/>
  <c r="D3184" i="10"/>
  <c r="D3185" i="10"/>
  <c r="E3185" i="10"/>
  <c r="E3186" i="10"/>
  <c r="D3186" i="10"/>
  <c r="D3187" i="10"/>
  <c r="E3187" i="10"/>
  <c r="E3188" i="10"/>
  <c r="D3188" i="10"/>
  <c r="D3189" i="10"/>
  <c r="E3189" i="10"/>
  <c r="E3190" i="10"/>
  <c r="D3190" i="10"/>
  <c r="D3191" i="10"/>
  <c r="E3191" i="10"/>
  <c r="E3192" i="10"/>
  <c r="D3192" i="10"/>
  <c r="D3193" i="10"/>
  <c r="E3193" i="10"/>
  <c r="E3194" i="10"/>
  <c r="D3194" i="10"/>
  <c r="D3195" i="10"/>
  <c r="E3195" i="10"/>
  <c r="E3196" i="10"/>
  <c r="D3196" i="10"/>
  <c r="D3197" i="10"/>
  <c r="E3197" i="10"/>
  <c r="E3198" i="10"/>
  <c r="D3198" i="10"/>
  <c r="D3199" i="10"/>
  <c r="E3199" i="10"/>
  <c r="E3200" i="10"/>
  <c r="D3200" i="10"/>
  <c r="D3201" i="10"/>
  <c r="E3201" i="10"/>
  <c r="E3202" i="10"/>
  <c r="D3202" i="10"/>
  <c r="D3203" i="10"/>
  <c r="E3203" i="10"/>
  <c r="T94" i="1" l="1"/>
  <c r="W94" i="1"/>
  <c r="V94" i="1"/>
  <c r="U94" i="1"/>
  <c r="AP7" i="1"/>
  <c r="AL83" i="1"/>
  <c r="AN83" i="1"/>
  <c r="AP83" i="1"/>
  <c r="T96" i="1"/>
  <c r="AP96" i="1"/>
  <c r="T84" i="1"/>
  <c r="AP84" i="1"/>
  <c r="T87" i="1"/>
  <c r="AL87" i="1"/>
  <c r="AN87" i="1"/>
  <c r="AP87" i="1"/>
  <c r="T89" i="1"/>
  <c r="T85" i="1"/>
  <c r="AP85" i="1"/>
  <c r="AK83" i="1"/>
  <c r="T83" i="1"/>
  <c r="AP89" i="1"/>
  <c r="AK87" i="1"/>
  <c r="AM87" i="1"/>
  <c r="AJ87" i="1"/>
  <c r="AJ89" i="1"/>
  <c r="AL84" i="1"/>
  <c r="AN89" i="1"/>
  <c r="AJ96" i="1"/>
  <c r="AL96" i="1"/>
  <c r="AK85" i="1"/>
  <c r="AL85" i="1"/>
  <c r="AN84" i="1"/>
  <c r="AN96" i="1"/>
  <c r="AJ85" i="1"/>
  <c r="AK89" i="1"/>
  <c r="AM85" i="1"/>
  <c r="AJ83" i="1"/>
  <c r="AM89" i="1"/>
  <c r="AK96" i="1"/>
  <c r="AJ84" i="1"/>
  <c r="AM84" i="1"/>
  <c r="AK84" i="1"/>
  <c r="AN85" i="1"/>
  <c r="AL89" i="1"/>
  <c r="AM83" i="1"/>
  <c r="AM96" i="1"/>
  <c r="AP94" i="1"/>
  <c r="T95" i="1"/>
  <c r="AP95" i="1"/>
  <c r="AL94" i="1"/>
  <c r="AM94" i="1"/>
  <c r="AL95" i="1"/>
  <c r="AN95" i="1"/>
  <c r="AK94" i="1"/>
  <c r="AK95" i="1"/>
  <c r="AN94" i="1"/>
  <c r="AM95" i="1"/>
  <c r="AJ95" i="1"/>
  <c r="AJ94" i="1"/>
  <c r="V96" i="1"/>
  <c r="V89" i="1"/>
  <c r="V87" i="1"/>
  <c r="V85" i="1"/>
  <c r="V84" i="1"/>
  <c r="V83" i="1"/>
  <c r="W89" i="1"/>
  <c r="W96" i="1"/>
  <c r="W85" i="1"/>
  <c r="W84" i="1"/>
  <c r="W83" i="1"/>
  <c r="W87" i="1"/>
  <c r="V95" i="1"/>
  <c r="W95" i="1"/>
  <c r="U96" i="1"/>
  <c r="U84" i="1"/>
  <c r="U87" i="1"/>
  <c r="U89" i="1"/>
  <c r="U85" i="1"/>
  <c r="U83" i="1"/>
  <c r="U95" i="1"/>
  <c r="AD3139" i="10"/>
  <c r="AF3139" i="10" s="1"/>
  <c r="AD3147" i="10"/>
  <c r="AF3147" i="10" s="1"/>
  <c r="AD3129" i="10"/>
  <c r="AF3129" i="10" s="1"/>
  <c r="AD3132" i="10"/>
  <c r="AF3132" i="10" s="1"/>
  <c r="AD3034" i="10"/>
  <c r="AD3030" i="10"/>
  <c r="AF3030" i="10" s="1"/>
  <c r="AD3032" i="10"/>
  <c r="AD3033" i="10"/>
  <c r="AD3031" i="10"/>
  <c r="AD3023" i="10"/>
  <c r="AF3023" i="10" s="1"/>
  <c r="AD3024" i="10"/>
  <c r="AF3024" i="10" s="1"/>
  <c r="AD3018" i="10"/>
  <c r="AF3018" i="10" s="1"/>
  <c r="AD758" i="10"/>
  <c r="AF758" i="10" s="1"/>
  <c r="AD2473" i="10"/>
  <c r="AD2471" i="10"/>
  <c r="AD2469" i="10"/>
  <c r="AD2467" i="10"/>
  <c r="AD2461" i="10"/>
  <c r="AD2453" i="10"/>
  <c r="AD2405" i="10"/>
  <c r="AD2395" i="10"/>
  <c r="AD2387" i="10"/>
  <c r="AD2379" i="10"/>
  <c r="AD2375" i="10"/>
  <c r="AD2367" i="10"/>
  <c r="AD1220" i="10"/>
  <c r="AD1140" i="10"/>
  <c r="AD1012" i="10"/>
  <c r="AD920" i="10"/>
  <c r="AD1154" i="10"/>
  <c r="AD930" i="10"/>
  <c r="AD846" i="10"/>
  <c r="AD814" i="10"/>
  <c r="AD1312" i="10"/>
  <c r="AD1216" i="10"/>
  <c r="AD1072" i="10"/>
  <c r="AD924" i="10"/>
  <c r="AD1206" i="10"/>
  <c r="AD922" i="10"/>
  <c r="AD1283" i="10"/>
  <c r="AD1171" i="10"/>
  <c r="AD1075" i="10"/>
  <c r="AD979" i="10"/>
  <c r="AD867" i="10"/>
  <c r="AD1461" i="10"/>
  <c r="AD1429" i="10"/>
  <c r="AD1405" i="10"/>
  <c r="AD1333" i="10"/>
  <c r="AD1309" i="10"/>
  <c r="AD1221" i="10"/>
  <c r="AD1149" i="10"/>
  <c r="AD1085" i="10"/>
  <c r="AD1061" i="10"/>
  <c r="AD997" i="10"/>
  <c r="AD941" i="10"/>
  <c r="AD917" i="10"/>
  <c r="AD853" i="10"/>
  <c r="AD3040" i="10"/>
  <c r="AD3038" i="10"/>
  <c r="AD3036" i="10"/>
  <c r="AD3028" i="10"/>
  <c r="AD3026" i="10"/>
  <c r="AD3020" i="10"/>
  <c r="AD2968" i="10"/>
  <c r="AD2964" i="10"/>
  <c r="AD2962" i="10"/>
  <c r="AD2960" i="10"/>
  <c r="AD2958" i="10"/>
  <c r="AD2956" i="10"/>
  <c r="AD2954" i="10"/>
  <c r="AD2952" i="10"/>
  <c r="AD2950" i="10"/>
  <c r="AD2948" i="10"/>
  <c r="AD2946" i="10"/>
  <c r="AD2944" i="10"/>
  <c r="AD2942" i="10"/>
  <c r="AD2940" i="10"/>
  <c r="AD2938" i="10"/>
  <c r="AD2916" i="10"/>
  <c r="AD2914" i="10"/>
  <c r="AD2912" i="10"/>
  <c r="AD2908" i="10"/>
  <c r="AD2906" i="10"/>
  <c r="AD2904" i="10"/>
  <c r="AD2902" i="10"/>
  <c r="AD2900" i="10"/>
  <c r="AD2898" i="10"/>
  <c r="AD2896" i="10"/>
  <c r="AD2894" i="10"/>
  <c r="AD2892" i="10"/>
  <c r="AD2890" i="10"/>
  <c r="AD2888" i="10"/>
  <c r="AD2886" i="10"/>
  <c r="AD2884" i="10"/>
  <c r="AD2880" i="10"/>
  <c r="AD2848" i="10"/>
  <c r="AD2846" i="10"/>
  <c r="AD2844" i="10"/>
  <c r="AD2842" i="10"/>
  <c r="AD2840" i="10"/>
  <c r="AD2838" i="10"/>
  <c r="AD2836" i="10"/>
  <c r="AD2834" i="10"/>
  <c r="AD2832" i="10"/>
  <c r="AD2830" i="10"/>
  <c r="AD2828" i="10"/>
  <c r="AD2826" i="10"/>
  <c r="AD2824" i="10"/>
  <c r="AD2822" i="10"/>
  <c r="AD2820" i="10"/>
  <c r="AD2818" i="10"/>
  <c r="AD2816" i="10"/>
  <c r="AD2814" i="10"/>
  <c r="AD2812" i="10"/>
  <c r="AD2810" i="10"/>
  <c r="AD2808" i="10"/>
  <c r="AD2806" i="10"/>
  <c r="AD2804" i="10"/>
  <c r="AD2802" i="10"/>
  <c r="AD2800" i="10"/>
  <c r="AD2754" i="10"/>
  <c r="AD2752" i="10"/>
  <c r="AD2750" i="10"/>
  <c r="AD2748" i="10"/>
  <c r="AD2746" i="10"/>
  <c r="AD2744" i="10"/>
  <c r="AD2742" i="10"/>
  <c r="AD2740" i="10"/>
  <c r="AD2738" i="10"/>
  <c r="AD2736" i="10"/>
  <c r="AD2734" i="10"/>
  <c r="AD2732" i="10"/>
  <c r="AD2730" i="10"/>
  <c r="AD2728" i="10"/>
  <c r="AD2726" i="10"/>
  <c r="AD2724" i="10"/>
  <c r="AD2722" i="10"/>
  <c r="AD2718" i="10"/>
  <c r="AD2688" i="10"/>
  <c r="AD2686" i="10"/>
  <c r="AD2684" i="10"/>
  <c r="AD2682" i="10"/>
  <c r="AD2680" i="10"/>
  <c r="AD2676" i="10"/>
  <c r="AD2674" i="10"/>
  <c r="AD2672" i="10"/>
  <c r="AD2670" i="10"/>
  <c r="AD2668" i="10"/>
  <c r="AD2666" i="10"/>
  <c r="AD2664" i="10"/>
  <c r="AD2662" i="10"/>
  <c r="AD2660" i="10"/>
  <c r="AD2658" i="10"/>
  <c r="AD2656" i="10"/>
  <c r="AD2654" i="10"/>
  <c r="AD2652" i="10"/>
  <c r="AD2650" i="10"/>
  <c r="AD2648" i="10"/>
  <c r="AD2646" i="10"/>
  <c r="AD2644" i="10"/>
  <c r="AD2642" i="10"/>
  <c r="AD2640" i="10"/>
  <c r="AD2636" i="10"/>
  <c r="AD2590" i="10"/>
  <c r="AD2588" i="10"/>
  <c r="AD2586" i="10"/>
  <c r="AD2584" i="10"/>
  <c r="AD2582" i="10"/>
  <c r="AD2578" i="10"/>
  <c r="AD2576" i="10"/>
  <c r="AD2574" i="10"/>
  <c r="AD2572" i="10"/>
  <c r="AD2570" i="10"/>
  <c r="AD2568" i="10"/>
  <c r="AD2566" i="10"/>
  <c r="AD2564" i="10"/>
  <c r="AD2562" i="10"/>
  <c r="AD2560" i="10"/>
  <c r="AD2558" i="10"/>
  <c r="AD2556" i="10"/>
  <c r="AD2554" i="10"/>
  <c r="AD2552" i="10"/>
  <c r="AD2550" i="10"/>
  <c r="AD2548" i="10"/>
  <c r="AD2546" i="10"/>
  <c r="AD2544" i="10"/>
  <c r="AD2498" i="10"/>
  <c r="AD2496" i="10"/>
  <c r="AD2494" i="10"/>
  <c r="AD2492" i="10"/>
  <c r="AD2490" i="10"/>
  <c r="AD2486" i="10"/>
  <c r="AD2484" i="10"/>
  <c r="AD2482" i="10"/>
  <c r="AD2480" i="10"/>
  <c r="AD2478" i="10"/>
  <c r="AD2476" i="10"/>
  <c r="AD2314" i="10"/>
  <c r="AD2312" i="10"/>
  <c r="AD2310" i="10"/>
  <c r="AD2308" i="10"/>
  <c r="AD2306" i="10"/>
  <c r="AD2304" i="10"/>
  <c r="AD2302" i="10"/>
  <c r="AD2300" i="10"/>
  <c r="AD2298" i="10"/>
  <c r="AD2296" i="10"/>
  <c r="AD2294" i="10"/>
  <c r="AD2292" i="10"/>
  <c r="AD2290" i="10"/>
  <c r="AD2288" i="10"/>
  <c r="AD2286" i="10"/>
  <c r="AD2284" i="10"/>
  <c r="AD2282" i="10"/>
  <c r="AD2280" i="10"/>
  <c r="AD2278" i="10"/>
  <c r="AD2276" i="10"/>
  <c r="AD2274" i="10"/>
  <c r="AD2272" i="10"/>
  <c r="AD2270" i="10"/>
  <c r="AD2465" i="10"/>
  <c r="AD2455" i="10"/>
  <c r="AD2407" i="10"/>
  <c r="AD2397" i="10"/>
  <c r="AD2389" i="10"/>
  <c r="AD2381" i="10"/>
  <c r="AD2373" i="10"/>
  <c r="AD2365" i="10"/>
  <c r="AD1402" i="10"/>
  <c r="AD1172" i="10"/>
  <c r="AD1076" i="10"/>
  <c r="AD996" i="10"/>
  <c r="AD1282" i="10"/>
  <c r="AD1094" i="10"/>
  <c r="AD910" i="10"/>
  <c r="AD854" i="10"/>
  <c r="AD838" i="10"/>
  <c r="AD1328" i="10"/>
  <c r="AD1296" i="10"/>
  <c r="AD1168" i="10"/>
  <c r="AD1056" i="10"/>
  <c r="AD1302" i="10"/>
  <c r="AD1074" i="10"/>
  <c r="AD1434" i="10"/>
  <c r="AD1299" i="10"/>
  <c r="AD1155" i="10"/>
  <c r="AD1011" i="10"/>
  <c r="AD915" i="10"/>
  <c r="AD835" i="10"/>
  <c r="AD1453" i="10"/>
  <c r="AD1341" i="10"/>
  <c r="AD2463" i="10"/>
  <c r="AD2457" i="10"/>
  <c r="AD2403" i="10"/>
  <c r="AD2393" i="10"/>
  <c r="AD2385" i="10"/>
  <c r="AD2377" i="10"/>
  <c r="AD2369" i="10"/>
  <c r="AD2363" i="10"/>
  <c r="AD1470" i="10"/>
  <c r="AD1156" i="10"/>
  <c r="AD1060" i="10"/>
  <c r="AD936" i="10"/>
  <c r="AD1222" i="10"/>
  <c r="AD998" i="10"/>
  <c r="AD862" i="10"/>
  <c r="AD830" i="10"/>
  <c r="AD1320" i="10"/>
  <c r="AD1288" i="10"/>
  <c r="AD1136" i="10"/>
  <c r="AD992" i="10"/>
  <c r="AD1142" i="10"/>
  <c r="AD1466" i="10"/>
  <c r="AD1315" i="10"/>
  <c r="AD1203" i="10"/>
  <c r="AD1091" i="10"/>
  <c r="AD995" i="10"/>
  <c r="AD899" i="10"/>
  <c r="AD1469" i="10"/>
  <c r="AD1437" i="10"/>
  <c r="AD1413" i="10"/>
  <c r="AD1325" i="10"/>
  <c r="AD1293" i="10"/>
  <c r="AD1229" i="10"/>
  <c r="AD1173" i="10"/>
  <c r="AD1141" i="10"/>
  <c r="AD1077" i="10"/>
  <c r="AD1013" i="10"/>
  <c r="AD989" i="10"/>
  <c r="AD925" i="10"/>
  <c r="AD869" i="10"/>
  <c r="AD845" i="10"/>
  <c r="AD829" i="10"/>
  <c r="AD813" i="10"/>
  <c r="AF813" i="10" s="1"/>
  <c r="AD3197" i="10"/>
  <c r="AD3193" i="10"/>
  <c r="AD3189" i="10"/>
  <c r="AD3183" i="10"/>
  <c r="AD3179" i="10"/>
  <c r="AD3175" i="10"/>
  <c r="AD3171" i="10"/>
  <c r="AD3167" i="10"/>
  <c r="AD3163" i="10"/>
  <c r="AD3159" i="10"/>
  <c r="AD3155" i="10"/>
  <c r="AD3151" i="10"/>
  <c r="AD3143" i="10"/>
  <c r="AD3131" i="10"/>
  <c r="AD3071" i="10"/>
  <c r="AD3067" i="10"/>
  <c r="AD3063" i="10"/>
  <c r="AD3059" i="10"/>
  <c r="AD3055" i="10"/>
  <c r="AD3051" i="10"/>
  <c r="AD3047" i="10"/>
  <c r="AD3043" i="10"/>
  <c r="AD3039" i="10"/>
  <c r="AD3035" i="10"/>
  <c r="AD3027" i="10"/>
  <c r="AD2967" i="10"/>
  <c r="AD2963" i="10"/>
  <c r="AD2959" i="10"/>
  <c r="AD2957" i="10"/>
  <c r="AD2953" i="10"/>
  <c r="AD2949" i="10"/>
  <c r="AD2945" i="10"/>
  <c r="AD2941" i="10"/>
  <c r="AD2917" i="10"/>
  <c r="AD2913" i="10"/>
  <c r="AD2909" i="10"/>
  <c r="AD2905" i="10"/>
  <c r="AD2901" i="10"/>
  <c r="AD2897" i="10"/>
  <c r="AD2893" i="10"/>
  <c r="AD2889" i="10"/>
  <c r="AD2885" i="10"/>
  <c r="AD2881" i="10"/>
  <c r="AD2847" i="10"/>
  <c r="AD2843" i="10"/>
  <c r="AD2837" i="10"/>
  <c r="AD2833" i="10"/>
  <c r="AD2829" i="10"/>
  <c r="AD2825" i="10"/>
  <c r="AD2821" i="10"/>
  <c r="AD2817" i="10"/>
  <c r="AD2813" i="10"/>
  <c r="AD2811" i="10"/>
  <c r="AD2807" i="10"/>
  <c r="AD2803" i="10"/>
  <c r="AD2753" i="10"/>
  <c r="AD2749" i="10"/>
  <c r="AD2743" i="10"/>
  <c r="AD2739" i="10"/>
  <c r="AD2735" i="10"/>
  <c r="AD2731" i="10"/>
  <c r="AD2727" i="10"/>
  <c r="AD2723" i="10"/>
  <c r="AD2719" i="10"/>
  <c r="AD2685" i="10"/>
  <c r="AD2681" i="10"/>
  <c r="AD2677" i="10"/>
  <c r="AD2673" i="10"/>
  <c r="AD2669" i="10"/>
  <c r="AD2665" i="10"/>
  <c r="AD2661" i="10"/>
  <c r="AD2657" i="10"/>
  <c r="AD2653" i="10"/>
  <c r="AD2649" i="10"/>
  <c r="AD2645" i="10"/>
  <c r="AD2643" i="10"/>
  <c r="AD2639" i="10"/>
  <c r="AD2589" i="10"/>
  <c r="AD2585" i="10"/>
  <c r="AD2581" i="10"/>
  <c r="AD2577" i="10"/>
  <c r="AD2573" i="10"/>
  <c r="AD2569" i="10"/>
  <c r="AD2565" i="10"/>
  <c r="AD2561" i="10"/>
  <c r="AD2559" i="10"/>
  <c r="AD2555" i="10"/>
  <c r="AD2551" i="10"/>
  <c r="AD2547" i="10"/>
  <c r="AD2495" i="10"/>
  <c r="AD2491" i="10"/>
  <c r="AD2487" i="10"/>
  <c r="AD2483" i="10"/>
  <c r="AD2479" i="10"/>
  <c r="AD2475" i="10"/>
  <c r="AD2311" i="10"/>
  <c r="AD2307" i="10"/>
  <c r="AD2303" i="10"/>
  <c r="AD2297" i="10"/>
  <c r="AD2293" i="10"/>
  <c r="AD2289" i="10"/>
  <c r="AD2285" i="10"/>
  <c r="AD2281" i="10"/>
  <c r="AD2277" i="10"/>
  <c r="AD2273" i="10"/>
  <c r="AD2269" i="10"/>
  <c r="AD2267" i="10"/>
  <c r="AD2263" i="10"/>
  <c r="AD2213" i="10"/>
  <c r="AD2209" i="10"/>
  <c r="AD2205" i="10"/>
  <c r="AD2199" i="10"/>
  <c r="AD2195" i="10"/>
  <c r="AD2193" i="10"/>
  <c r="AD2189" i="10"/>
  <c r="AD2185" i="10"/>
  <c r="AD2181" i="10"/>
  <c r="AD2177" i="10"/>
  <c r="AD2173" i="10"/>
  <c r="AD2169" i="10"/>
  <c r="AD2165" i="10"/>
  <c r="AD2159" i="10"/>
  <c r="AD2107" i="10"/>
  <c r="AD2103" i="10"/>
  <c r="AD2099" i="10"/>
  <c r="AD2095" i="10"/>
  <c r="AD2091" i="10"/>
  <c r="AD2087" i="10"/>
  <c r="AD2083" i="10"/>
  <c r="AD2079" i="10"/>
  <c r="AD2075" i="10"/>
  <c r="AD2071" i="10"/>
  <c r="AD2067" i="10"/>
  <c r="AD2061" i="10"/>
  <c r="AD2017" i="10"/>
  <c r="AD2013" i="10"/>
  <c r="AD2009" i="10"/>
  <c r="AD2005" i="10"/>
  <c r="AD2001" i="10"/>
  <c r="AD1997" i="10"/>
  <c r="AD1993" i="10"/>
  <c r="AD1989" i="10"/>
  <c r="AD1985" i="10"/>
  <c r="AD1981" i="10"/>
  <c r="AD1977" i="10"/>
  <c r="AD1971" i="10"/>
  <c r="AD1921" i="10"/>
  <c r="AD1917" i="10"/>
  <c r="AD1913" i="10"/>
  <c r="AD1909" i="10"/>
  <c r="AD1905" i="10"/>
  <c r="AD1901" i="10"/>
  <c r="AD1897" i="10"/>
  <c r="AD1893" i="10"/>
  <c r="AD1889" i="10"/>
  <c r="AD1885" i="10"/>
  <c r="AD1881" i="10"/>
  <c r="AD1877" i="10"/>
  <c r="AD1873" i="10"/>
  <c r="AD1869" i="10"/>
  <c r="AD1861" i="10"/>
  <c r="AD2459" i="10"/>
  <c r="AD2409" i="10"/>
  <c r="AD2401" i="10"/>
  <c r="AD2391" i="10"/>
  <c r="AD2383" i="10"/>
  <c r="AD2371" i="10"/>
  <c r="AD2359" i="10"/>
  <c r="AD1438" i="10"/>
  <c r="AD1204" i="10"/>
  <c r="AD1092" i="10"/>
  <c r="AD980" i="10"/>
  <c r="AD1314" i="10"/>
  <c r="AD1058" i="10"/>
  <c r="AD902" i="10"/>
  <c r="AD870" i="10"/>
  <c r="AD822" i="10"/>
  <c r="AD1336" i="10"/>
  <c r="AD1304" i="10"/>
  <c r="AD1152" i="10"/>
  <c r="AD1008" i="10"/>
  <c r="AD1334" i="10"/>
  <c r="AD1174" i="10"/>
  <c r="AD1406" i="10"/>
  <c r="AD1331" i="10"/>
  <c r="AD1219" i="10"/>
  <c r="AD1139" i="10"/>
  <c r="AD1059" i="10"/>
  <c r="AD931" i="10"/>
  <c r="AD851" i="10"/>
  <c r="AD1445" i="10"/>
  <c r="AD1421" i="10"/>
  <c r="AD1317" i="10"/>
  <c r="AD1301" i="10"/>
  <c r="AD1213" i="10"/>
  <c r="AD1157" i="10"/>
  <c r="AD1093" i="10"/>
  <c r="AD1069" i="10"/>
  <c r="AD1005" i="10"/>
  <c r="AD981" i="10"/>
  <c r="AD909" i="10"/>
  <c r="AD861" i="10"/>
  <c r="AD837" i="10"/>
  <c r="AD821" i="10"/>
  <c r="AD916" i="10"/>
  <c r="AD3199" i="10"/>
  <c r="AD3195" i="10"/>
  <c r="AD3191" i="10"/>
  <c r="AD3185" i="10"/>
  <c r="AD3181" i="10"/>
  <c r="AD3177" i="10"/>
  <c r="AD3173" i="10"/>
  <c r="AD3169" i="10"/>
  <c r="AD3165" i="10"/>
  <c r="AD3161" i="10"/>
  <c r="AD3157" i="10"/>
  <c r="AD3153" i="10"/>
  <c r="AD3149" i="10"/>
  <c r="AD3145" i="10"/>
  <c r="AD3141" i="10"/>
  <c r="AD3133" i="10"/>
  <c r="AD3069" i="10"/>
  <c r="AD3065" i="10"/>
  <c r="AD3061" i="10"/>
  <c r="AD3057" i="10"/>
  <c r="AD3053" i="10"/>
  <c r="AD3049" i="10"/>
  <c r="AD3045" i="10"/>
  <c r="AD3041" i="10"/>
  <c r="AD3037" i="10"/>
  <c r="AD3029" i="10"/>
  <c r="AD3025" i="10"/>
  <c r="AD3019" i="10"/>
  <c r="AD2969" i="10"/>
  <c r="AD2965" i="10"/>
  <c r="AD2961" i="10"/>
  <c r="AD2955" i="10"/>
  <c r="AD2951" i="10"/>
  <c r="AD2947" i="10"/>
  <c r="AD2943" i="10"/>
  <c r="AD2937" i="10"/>
  <c r="AD2915" i="10"/>
  <c r="AD2911" i="10"/>
  <c r="AD2907" i="10"/>
  <c r="AD2903" i="10"/>
  <c r="AD2899" i="10"/>
  <c r="AD2895" i="10"/>
  <c r="AD2891" i="10"/>
  <c r="AD2887" i="10"/>
  <c r="AD2883" i="10"/>
  <c r="AD2849" i="10"/>
  <c r="AD2845" i="10"/>
  <c r="AD2841" i="10"/>
  <c r="AD2835" i="10"/>
  <c r="AD2831" i="10"/>
  <c r="AD2827" i="10"/>
  <c r="AD2823" i="10"/>
  <c r="AD2819" i="10"/>
  <c r="AD2815" i="10"/>
  <c r="AD2809" i="10"/>
  <c r="AD2805" i="10"/>
  <c r="AD2799" i="10"/>
  <c r="AD2751" i="10"/>
  <c r="AD2745" i="10"/>
  <c r="AD2741" i="10"/>
  <c r="AD2737" i="10"/>
  <c r="AD2733" i="10"/>
  <c r="AD2729" i="10"/>
  <c r="AD2725" i="10"/>
  <c r="AD2721" i="10"/>
  <c r="AD2687" i="10"/>
  <c r="AD2683" i="10"/>
  <c r="AD2679" i="10"/>
  <c r="AD2675" i="10"/>
  <c r="AD2671" i="10"/>
  <c r="AD2667" i="10"/>
  <c r="AD2663" i="10"/>
  <c r="AD2659" i="10"/>
  <c r="AD2655" i="10"/>
  <c r="AD2651" i="10"/>
  <c r="AD2647" i="10"/>
  <c r="AD2641" i="10"/>
  <c r="AD2637" i="10"/>
  <c r="AD2587" i="10"/>
  <c r="AD2583" i="10"/>
  <c r="AD2579" i="10"/>
  <c r="AD2575" i="10"/>
  <c r="AD2571" i="10"/>
  <c r="AD2567" i="10"/>
  <c r="AD2563" i="10"/>
  <c r="AD2557" i="10"/>
  <c r="AD2553" i="10"/>
  <c r="AD2549" i="10"/>
  <c r="AD2543" i="10"/>
  <c r="AD2497" i="10"/>
  <c r="AD2493" i="10"/>
  <c r="AD2489" i="10"/>
  <c r="AD2485" i="10"/>
  <c r="AD2481" i="10"/>
  <c r="AD2477" i="10"/>
  <c r="AD2313" i="10"/>
  <c r="AD2309" i="10"/>
  <c r="AD2305" i="10"/>
  <c r="AD2299" i="10"/>
  <c r="AD2295" i="10"/>
  <c r="AD2291" i="10"/>
  <c r="AD2287" i="10"/>
  <c r="AD2283" i="10"/>
  <c r="AD2279" i="10"/>
  <c r="AD2275" i="10"/>
  <c r="AD2271" i="10"/>
  <c r="AD2265" i="10"/>
  <c r="AD2261" i="10"/>
  <c r="AD2211" i="10"/>
  <c r="AD2207" i="10"/>
  <c r="AD2203" i="10"/>
  <c r="AD2197" i="10"/>
  <c r="AD2191" i="10"/>
  <c r="AD2187" i="10"/>
  <c r="AD2183" i="10"/>
  <c r="AD2179" i="10"/>
  <c r="AD2175" i="10"/>
  <c r="AD2171" i="10"/>
  <c r="AD2167" i="10"/>
  <c r="AD2163" i="10"/>
  <c r="AD2105" i="10"/>
  <c r="AD2101" i="10"/>
  <c r="AD2097" i="10"/>
  <c r="AD2093" i="10"/>
  <c r="AD2089" i="10"/>
  <c r="AD2085" i="10"/>
  <c r="AD2081" i="10"/>
  <c r="AD2077" i="10"/>
  <c r="AD2073" i="10"/>
  <c r="AD2069" i="10"/>
  <c r="AD2065" i="10"/>
  <c r="AD2019" i="10"/>
  <c r="AD2015" i="10"/>
  <c r="AD2011" i="10"/>
  <c r="AD2007" i="10"/>
  <c r="AD2003" i="10"/>
  <c r="AD1999" i="10"/>
  <c r="AD1995" i="10"/>
  <c r="AD1991" i="10"/>
  <c r="AD1987" i="10"/>
  <c r="AD1983" i="10"/>
  <c r="AD1979" i="10"/>
  <c r="AD1975" i="10"/>
  <c r="AD1973" i="10"/>
  <c r="AD1923" i="10"/>
  <c r="AD1919" i="10"/>
  <c r="AD1915" i="10"/>
  <c r="AD1911" i="10"/>
  <c r="AD1907" i="10"/>
  <c r="AD1903" i="10"/>
  <c r="AD1899" i="10"/>
  <c r="AD1895" i="10"/>
  <c r="AD1891" i="10"/>
  <c r="AD1887" i="10"/>
  <c r="AD1883" i="10"/>
  <c r="AD1879" i="10"/>
  <c r="AD1875" i="10"/>
  <c r="AD1871" i="10"/>
  <c r="AD1863" i="10"/>
  <c r="AD2268" i="10"/>
  <c r="AD2266" i="10"/>
  <c r="AD2264" i="10"/>
  <c r="AD2260" i="10"/>
  <c r="AD2214" i="10"/>
  <c r="AD2212" i="10"/>
  <c r="AD2210" i="10"/>
  <c r="AD2208" i="10"/>
  <c r="AD2206" i="10"/>
  <c r="AD2204" i="10"/>
  <c r="AD2202" i="10"/>
  <c r="AD2200" i="10"/>
  <c r="AD2198" i="10"/>
  <c r="AD2196" i="10"/>
  <c r="AD2194" i="10"/>
  <c r="AD2192" i="10"/>
  <c r="AD2190" i="10"/>
  <c r="AD2188" i="10"/>
  <c r="AD2186" i="10"/>
  <c r="AD2184" i="10"/>
  <c r="AD2182" i="10"/>
  <c r="AD2180" i="10"/>
  <c r="AD2178" i="10"/>
  <c r="AD2176" i="10"/>
  <c r="AD2174" i="10"/>
  <c r="AD2172" i="10"/>
  <c r="AD2170" i="10"/>
  <c r="AD2168" i="10"/>
  <c r="AD2166" i="10"/>
  <c r="AD2164" i="10"/>
  <c r="AD2162" i="10"/>
  <c r="AD2160" i="10"/>
  <c r="AD2158" i="10"/>
  <c r="AD2108" i="10"/>
  <c r="AD2106" i="10"/>
  <c r="AD2104" i="10"/>
  <c r="AD2102" i="10"/>
  <c r="AD2100" i="10"/>
  <c r="AD2098" i="10"/>
  <c r="AD2096" i="10"/>
  <c r="AD2094" i="10"/>
  <c r="AD2092" i="10"/>
  <c r="AD2090" i="10"/>
  <c r="AD2088" i="10"/>
  <c r="AD2086" i="10"/>
  <c r="AD2084" i="10"/>
  <c r="AD2082" i="10"/>
  <c r="AD2080" i="10"/>
  <c r="AD2078" i="10"/>
  <c r="AD2076" i="10"/>
  <c r="AD2074" i="10"/>
  <c r="AD2072" i="10"/>
  <c r="AD2070" i="10"/>
  <c r="AD2068" i="10"/>
  <c r="AD2066" i="10"/>
  <c r="AD2062" i="10"/>
  <c r="AD2060" i="10"/>
  <c r="AD2020" i="10"/>
  <c r="AD2018" i="10"/>
  <c r="AD2016" i="10"/>
  <c r="AD2014" i="10"/>
  <c r="AD2012" i="10"/>
  <c r="AD2008" i="10"/>
  <c r="AD2006" i="10"/>
  <c r="AD2004" i="10"/>
  <c r="AD2002" i="10"/>
  <c r="AD2000" i="10"/>
  <c r="AD1998" i="10"/>
  <c r="AD1996" i="10"/>
  <c r="AD1994" i="10"/>
  <c r="AD1992" i="10"/>
  <c r="AD1990" i="10"/>
  <c r="AD1988" i="10"/>
  <c r="AD1986" i="10"/>
  <c r="AD1984" i="10"/>
  <c r="AD1982" i="10"/>
  <c r="AD1980" i="10"/>
  <c r="AD1978" i="10"/>
  <c r="AD1976" i="10"/>
  <c r="AD1974" i="10"/>
  <c r="AD1970" i="10"/>
  <c r="AD1924" i="10"/>
  <c r="AD1922" i="10"/>
  <c r="AD1920" i="10"/>
  <c r="AD1918" i="10"/>
  <c r="AD1916" i="10"/>
  <c r="AD1912" i="10"/>
  <c r="AD1910" i="10"/>
  <c r="AD1908" i="10"/>
  <c r="AD1906" i="10"/>
  <c r="AD1904" i="10"/>
  <c r="AD1902" i="10"/>
  <c r="AD1900" i="10"/>
  <c r="AD1898" i="10"/>
  <c r="AD1896" i="10"/>
  <c r="AD1894" i="10"/>
  <c r="AD1892" i="10"/>
  <c r="AD1890" i="10"/>
  <c r="AD1888" i="10"/>
  <c r="AD1886" i="10"/>
  <c r="AD1884" i="10"/>
  <c r="AD1882" i="10"/>
  <c r="AD1880" i="10"/>
  <c r="AD1878" i="10"/>
  <c r="AD1876" i="10"/>
  <c r="AD1874" i="10"/>
  <c r="AD1872" i="10"/>
  <c r="AD1870" i="10"/>
  <c r="AD1864" i="10"/>
  <c r="AD1862" i="10"/>
  <c r="AD1860" i="10"/>
  <c r="AD1788" i="10"/>
  <c r="AD1786" i="10"/>
  <c r="AD1784" i="10"/>
  <c r="AD1782" i="10"/>
  <c r="AD1780" i="10"/>
  <c r="AD1778" i="10"/>
  <c r="AD1776" i="10"/>
  <c r="AD1774" i="10"/>
  <c r="AD1772" i="10"/>
  <c r="AD1770" i="10"/>
  <c r="AD1768" i="10"/>
  <c r="AD1766" i="10"/>
  <c r="AD1764" i="10"/>
  <c r="AD1762" i="10"/>
  <c r="AD1760" i="10"/>
  <c r="AD1758" i="10"/>
  <c r="AD1756" i="10"/>
  <c r="AD1754" i="10"/>
  <c r="AD1752" i="10"/>
  <c r="AD1750" i="10"/>
  <c r="AD1748" i="10"/>
  <c r="AD1746" i="10"/>
  <c r="AD1744" i="10"/>
  <c r="AD1742" i="10"/>
  <c r="AD1740" i="10"/>
  <c r="AD1738" i="10"/>
  <c r="AD1736" i="10"/>
  <c r="AD1734" i="10"/>
  <c r="AD1732" i="10"/>
  <c r="AD1730" i="10"/>
  <c r="AD1728" i="10"/>
  <c r="AD1726" i="10"/>
  <c r="AD1724" i="10"/>
  <c r="AD1722" i="10"/>
  <c r="AD1720" i="10"/>
  <c r="AD1718" i="10"/>
  <c r="AD1712" i="10"/>
  <c r="AD1710" i="10"/>
  <c r="AD1708" i="10"/>
  <c r="AD1706" i="10"/>
  <c r="AD1704" i="10"/>
  <c r="AD1634" i="10"/>
  <c r="AD1632" i="10"/>
  <c r="AD1630" i="10"/>
  <c r="AD1628" i="10"/>
  <c r="AD1626" i="10"/>
  <c r="AD1624" i="10"/>
  <c r="AD1622" i="10"/>
  <c r="AD1620" i="10"/>
  <c r="AD1618" i="10"/>
  <c r="AD1616" i="10"/>
  <c r="AD1614" i="10"/>
  <c r="AD1612" i="10"/>
  <c r="AD1610" i="10"/>
  <c r="AD1608" i="10"/>
  <c r="AD1606" i="10"/>
  <c r="AD1604" i="10"/>
  <c r="AD1602" i="10"/>
  <c r="AD1600" i="10"/>
  <c r="AD1598" i="10"/>
  <c r="AD1596" i="10"/>
  <c r="AD1594" i="10"/>
  <c r="AD1592" i="10"/>
  <c r="AD1590" i="10"/>
  <c r="AD1588" i="10"/>
  <c r="AD1586" i="10"/>
  <c r="AD1584" i="10"/>
  <c r="AD1582" i="10"/>
  <c r="AD1580" i="10"/>
  <c r="AD1578" i="10"/>
  <c r="AD1576" i="10"/>
  <c r="AD1574" i="10"/>
  <c r="AD1572" i="10"/>
  <c r="AD1570" i="10"/>
  <c r="AD1568" i="10"/>
  <c r="AD1566" i="10"/>
  <c r="AD1560" i="10"/>
  <c r="AD1558" i="10"/>
  <c r="AD1556" i="10"/>
  <c r="AD1482" i="10"/>
  <c r="AD1480" i="10"/>
  <c r="AD1478" i="10"/>
  <c r="AD1476" i="10"/>
  <c r="AD1326" i="10"/>
  <c r="AD1290" i="10"/>
  <c r="AD1226" i="10"/>
  <c r="AD1162" i="10"/>
  <c r="AD1130" i="10"/>
  <c r="AD1066" i="10"/>
  <c r="AD1002" i="10"/>
  <c r="AD1463" i="10"/>
  <c r="AD1455" i="10"/>
  <c r="AD1447" i="10"/>
  <c r="AD1439" i="10"/>
  <c r="AD1431" i="10"/>
  <c r="AD1423" i="10"/>
  <c r="AD1415" i="10"/>
  <c r="AD1407" i="10"/>
  <c r="AD1442" i="10"/>
  <c r="AD908" i="10"/>
  <c r="AD900" i="10"/>
  <c r="AD868" i="10"/>
  <c r="AD860" i="10"/>
  <c r="AD852" i="10"/>
  <c r="AD844" i="10"/>
  <c r="AD836" i="10"/>
  <c r="AD828" i="10"/>
  <c r="AD1472" i="10"/>
  <c r="AD1464" i="10"/>
  <c r="AD1456" i="10"/>
  <c r="AD1448" i="10"/>
  <c r="AD1440" i="10"/>
  <c r="AD1432" i="10"/>
  <c r="AD1424" i="10"/>
  <c r="AD1416" i="10"/>
  <c r="AD1408" i="10"/>
  <c r="AD1458" i="10"/>
  <c r="AD1430" i="10"/>
  <c r="AD1322" i="10"/>
  <c r="AD1294" i="10"/>
  <c r="AD1230" i="10"/>
  <c r="AD1166" i="10"/>
  <c r="AD1070" i="10"/>
  <c r="AD1006" i="10"/>
  <c r="AD934" i="10"/>
  <c r="AD1327" i="10"/>
  <c r="AD1311" i="10"/>
  <c r="AD1295" i="10"/>
  <c r="AD1279" i="10"/>
  <c r="AD1231" i="10"/>
  <c r="AD1215" i="10"/>
  <c r="AD1167" i="10"/>
  <c r="AD1151" i="10"/>
  <c r="AD1135" i="10"/>
  <c r="AD1087" i="10"/>
  <c r="AD1071" i="10"/>
  <c r="AD1007" i="10"/>
  <c r="AD991" i="10"/>
  <c r="AD975" i="10"/>
  <c r="AD927" i="10"/>
  <c r="AD911" i="10"/>
  <c r="AD863" i="10"/>
  <c r="AD847" i="10"/>
  <c r="AD831" i="10"/>
  <c r="AD815" i="10"/>
  <c r="AD1789" i="10"/>
  <c r="AD1785" i="10"/>
  <c r="AD1781" i="10"/>
  <c r="AD1777" i="10"/>
  <c r="AD1773" i="10"/>
  <c r="AD1769" i="10"/>
  <c r="AD1765" i="10"/>
  <c r="AD1761" i="10"/>
  <c r="AD1757" i="10"/>
  <c r="AD1753" i="10"/>
  <c r="AD1749" i="10"/>
  <c r="AD1745" i="10"/>
  <c r="AD1741" i="10"/>
  <c r="AD1737" i="10"/>
  <c r="AD1733" i="10"/>
  <c r="AD1729" i="10"/>
  <c r="AD1725" i="10"/>
  <c r="AD1721" i="10"/>
  <c r="AD1717" i="10"/>
  <c r="AD1711" i="10"/>
  <c r="AD1707" i="10"/>
  <c r="AD1703" i="10"/>
  <c r="AD1631" i="10"/>
  <c r="AD1629" i="10"/>
  <c r="AD1625" i="10"/>
  <c r="AD1621" i="10"/>
  <c r="AD1617" i="10"/>
  <c r="AD1613" i="10"/>
  <c r="AD1609" i="10"/>
  <c r="AD1605" i="10"/>
  <c r="AD1601" i="10"/>
  <c r="AD1597" i="10"/>
  <c r="AD1593" i="10"/>
  <c r="AD1589" i="10"/>
  <c r="AD1585" i="10"/>
  <c r="AD1581" i="10"/>
  <c r="AD1577" i="10"/>
  <c r="AD1573" i="10"/>
  <c r="AD1569" i="10"/>
  <c r="AD1565" i="10"/>
  <c r="AD1559" i="10"/>
  <c r="AD1557" i="10"/>
  <c r="AD1481" i="10"/>
  <c r="AD1477" i="10"/>
  <c r="AD1338" i="10"/>
  <c r="AD1310" i="10"/>
  <c r="AD1210" i="10"/>
  <c r="AD1146" i="10"/>
  <c r="AD1082" i="10"/>
  <c r="AD1018" i="10"/>
  <c r="AD990" i="10"/>
  <c r="AD926" i="10"/>
  <c r="AD1475" i="10"/>
  <c r="AD1467" i="10"/>
  <c r="AD1459" i="10"/>
  <c r="AD1451" i="10"/>
  <c r="AD1443" i="10"/>
  <c r="AD1435" i="10"/>
  <c r="AD1427" i="10"/>
  <c r="AD1419" i="10"/>
  <c r="AD1403" i="10"/>
  <c r="AD1462" i="10"/>
  <c r="AD1426" i="10"/>
  <c r="AD912" i="10"/>
  <c r="AD904" i="10"/>
  <c r="AD864" i="10"/>
  <c r="AD856" i="10"/>
  <c r="AD848" i="10"/>
  <c r="AD840" i="10"/>
  <c r="AD832" i="10"/>
  <c r="AD824" i="10"/>
  <c r="AD816" i="10"/>
  <c r="K85" i="1"/>
  <c r="AD1468" i="10"/>
  <c r="AD1460" i="10"/>
  <c r="AD1452" i="10"/>
  <c r="AD1444" i="10"/>
  <c r="AD1436" i="10"/>
  <c r="AD1428" i="10"/>
  <c r="AD1420" i="10"/>
  <c r="AD1404" i="10"/>
  <c r="AD1474" i="10"/>
  <c r="AD1446" i="10"/>
  <c r="AD1414" i="10"/>
  <c r="AD1306" i="10"/>
  <c r="AD1214" i="10"/>
  <c r="AD1150" i="10"/>
  <c r="AD1086" i="10"/>
  <c r="AD986" i="10"/>
  <c r="AD918" i="10"/>
  <c r="AD1335" i="10"/>
  <c r="AD1319" i="10"/>
  <c r="AD1303" i="10"/>
  <c r="AD1287" i="10"/>
  <c r="AD1223" i="10"/>
  <c r="AD1207" i="10"/>
  <c r="AD1159" i="10"/>
  <c r="AD1143" i="10"/>
  <c r="AD1095" i="10"/>
  <c r="AD1079" i="10"/>
  <c r="AD1063" i="10"/>
  <c r="AD1015" i="10"/>
  <c r="AD999" i="10"/>
  <c r="AD983" i="10"/>
  <c r="AD935" i="10"/>
  <c r="AD919" i="10"/>
  <c r="AD903" i="10"/>
  <c r="AD855" i="10"/>
  <c r="AD839" i="10"/>
  <c r="AD823" i="10"/>
  <c r="AD1787" i="10"/>
  <c r="AD1783" i="10"/>
  <c r="AD1779" i="10"/>
  <c r="AD1775" i="10"/>
  <c r="AD1771" i="10"/>
  <c r="AD1767" i="10"/>
  <c r="AD1763" i="10"/>
  <c r="AD1759" i="10"/>
  <c r="AD1755" i="10"/>
  <c r="AD1751" i="10"/>
  <c r="AD1747" i="10"/>
  <c r="AD1743" i="10"/>
  <c r="AD1739" i="10"/>
  <c r="AD1735" i="10"/>
  <c r="AD1731" i="10"/>
  <c r="AD1727" i="10"/>
  <c r="AD1723" i="10"/>
  <c r="AD1719" i="10"/>
  <c r="AD1713" i="10"/>
  <c r="AD1709" i="10"/>
  <c r="AD1705" i="10"/>
  <c r="AD1633" i="10"/>
  <c r="AD1627" i="10"/>
  <c r="AD1623" i="10"/>
  <c r="AD1619" i="10"/>
  <c r="AD1615" i="10"/>
  <c r="AD1611" i="10"/>
  <c r="AD1607" i="10"/>
  <c r="AD1603" i="10"/>
  <c r="AD1599" i="10"/>
  <c r="AD1595" i="10"/>
  <c r="AD1591" i="10"/>
  <c r="AD1587" i="10"/>
  <c r="AD1583" i="10"/>
  <c r="AD1579" i="10"/>
  <c r="AD1575" i="10"/>
  <c r="AD1571" i="10"/>
  <c r="AD1567" i="10"/>
  <c r="AD1479" i="10"/>
  <c r="AD3198" i="10"/>
  <c r="AD3196" i="10"/>
  <c r="AD3194" i="10"/>
  <c r="AD3192" i="10"/>
  <c r="AD3190" i="10"/>
  <c r="AD3188" i="10"/>
  <c r="AD3186" i="10"/>
  <c r="AD3184" i="10"/>
  <c r="AD3182" i="10"/>
  <c r="AD3180" i="10"/>
  <c r="AD3178" i="10"/>
  <c r="AD3176" i="10"/>
  <c r="AD3174" i="10"/>
  <c r="AD3172" i="10"/>
  <c r="AD3170" i="10"/>
  <c r="AD3168" i="10"/>
  <c r="AD3166" i="10"/>
  <c r="AD3164" i="10"/>
  <c r="AD3162" i="10"/>
  <c r="AD3160" i="10"/>
  <c r="AD3158" i="10"/>
  <c r="AD3156" i="10"/>
  <c r="AD3154" i="10"/>
  <c r="AD3152" i="10"/>
  <c r="AD3150" i="10"/>
  <c r="AD3148" i="10"/>
  <c r="AD3146" i="10"/>
  <c r="AD3144" i="10"/>
  <c r="AD3142" i="10"/>
  <c r="AD3140" i="10"/>
  <c r="AD3134" i="10"/>
  <c r="AD3130" i="10"/>
  <c r="AD3072" i="10"/>
  <c r="AD3070" i="10"/>
  <c r="AD3068" i="10"/>
  <c r="AD3066" i="10"/>
  <c r="AD3064" i="10"/>
  <c r="AD3062" i="10"/>
  <c r="AD3060" i="10"/>
  <c r="AD3058" i="10"/>
  <c r="AD3056" i="10"/>
  <c r="AD3054" i="10"/>
  <c r="AD3052" i="10"/>
  <c r="AD3050" i="10"/>
  <c r="AD3048" i="10"/>
  <c r="AD3046" i="10"/>
  <c r="AD3044" i="10"/>
  <c r="AD3042" i="10"/>
  <c r="AD2474" i="10"/>
  <c r="AD2472" i="10"/>
  <c r="AD2470" i="10"/>
  <c r="AD2468" i="10"/>
  <c r="AD2466" i="10"/>
  <c r="AD2464" i="10"/>
  <c r="AD2462" i="10"/>
  <c r="AD2460" i="10"/>
  <c r="AD2458" i="10"/>
  <c r="AD2456" i="10"/>
  <c r="AD2452" i="10"/>
  <c r="AD2408" i="10"/>
  <c r="AD2406" i="10"/>
  <c r="AD2404" i="10"/>
  <c r="AD2402" i="10"/>
  <c r="AD2400" i="10"/>
  <c r="AD2398" i="10"/>
  <c r="AD2396" i="10"/>
  <c r="AD2394" i="10"/>
  <c r="AD2392" i="10"/>
  <c r="AD2390" i="10"/>
  <c r="AD2388" i="10"/>
  <c r="AD2386" i="10"/>
  <c r="AD2384" i="10"/>
  <c r="AD2382" i="10"/>
  <c r="AD2380" i="10"/>
  <c r="AD2378" i="10"/>
  <c r="AD2376" i="10"/>
  <c r="AD2374" i="10"/>
  <c r="AD2372" i="10"/>
  <c r="AD2370" i="10"/>
  <c r="AD2368" i="10"/>
  <c r="AD2366" i="10"/>
  <c r="AD2364" i="10"/>
  <c r="AD2362" i="10"/>
  <c r="AD2360" i="10"/>
  <c r="AD1454" i="10"/>
  <c r="AD1418" i="10"/>
  <c r="AD1280" i="10"/>
  <c r="AD1228" i="10"/>
  <c r="AD1212" i="10"/>
  <c r="AD1164" i="10"/>
  <c r="AD1148" i="10"/>
  <c r="AD1084" i="10"/>
  <c r="AD1068" i="10"/>
  <c r="AD1052" i="10"/>
  <c r="AD1004" i="10"/>
  <c r="AD988" i="10"/>
  <c r="AD940" i="10"/>
  <c r="AD928" i="10"/>
  <c r="AD1330" i="10"/>
  <c r="AD1298" i="10"/>
  <c r="AD1170" i="10"/>
  <c r="AD1138" i="10"/>
  <c r="AD1078" i="10"/>
  <c r="AD1014" i="10"/>
  <c r="AD982" i="10"/>
  <c r="AD914" i="10"/>
  <c r="AD906" i="10"/>
  <c r="AD866" i="10"/>
  <c r="AD858" i="10"/>
  <c r="AD850" i="10"/>
  <c r="AD842" i="10"/>
  <c r="AD834" i="10"/>
  <c r="AD826" i="10"/>
  <c r="AD1340" i="10"/>
  <c r="AD1332" i="10"/>
  <c r="AD1324" i="10"/>
  <c r="AD1316" i="10"/>
  <c r="AD1308" i="10"/>
  <c r="AD1300" i="10"/>
  <c r="AD1292" i="10"/>
  <c r="AD1284" i="10"/>
  <c r="AD1224" i="10"/>
  <c r="AD1208" i="10"/>
  <c r="AD1160" i="10"/>
  <c r="AD1144" i="10"/>
  <c r="AD1096" i="10"/>
  <c r="AD1080" i="10"/>
  <c r="AD1064" i="10"/>
  <c r="AD1016" i="10"/>
  <c r="AD1000" i="10"/>
  <c r="AD984" i="10"/>
  <c r="AD932" i="10"/>
  <c r="AD1318" i="10"/>
  <c r="AD1286" i="10"/>
  <c r="AD1218" i="10"/>
  <c r="AD1158" i="10"/>
  <c r="AD1090" i="10"/>
  <c r="AD1062" i="10"/>
  <c r="AD994" i="10"/>
  <c r="AD938" i="10"/>
  <c r="AD1450" i="10"/>
  <c r="AD1422" i="10"/>
  <c r="AD1339" i="10"/>
  <c r="AD1323" i="10"/>
  <c r="AD1307" i="10"/>
  <c r="AD1291" i="10"/>
  <c r="AD1227" i="10"/>
  <c r="AD1211" i="10"/>
  <c r="AD1163" i="10"/>
  <c r="AD1147" i="10"/>
  <c r="AD1131" i="10"/>
  <c r="AD1083" i="10"/>
  <c r="AD1067" i="10"/>
  <c r="AD1019" i="10"/>
  <c r="AD1003" i="10"/>
  <c r="AD987" i="10"/>
  <c r="AD939" i="10"/>
  <c r="AD923" i="10"/>
  <c r="AD907" i="10"/>
  <c r="AD859" i="10"/>
  <c r="AD843" i="10"/>
  <c r="AD827" i="10"/>
  <c r="AD1473" i="10"/>
  <c r="AD1465" i="10"/>
  <c r="AD1457" i="10"/>
  <c r="AD1449" i="10"/>
  <c r="AD1441" i="10"/>
  <c r="AD1433" i="10"/>
  <c r="AD1425" i="10"/>
  <c r="AD1417" i="10"/>
  <c r="AD1409" i="10"/>
  <c r="AD1337" i="10"/>
  <c r="AD1329" i="10"/>
  <c r="AD1321" i="10"/>
  <c r="AD1313" i="10"/>
  <c r="AD1305" i="10"/>
  <c r="AD1297" i="10"/>
  <c r="AD1289" i="10"/>
  <c r="AD1281" i="10"/>
  <c r="AD1225" i="10"/>
  <c r="AD1217" i="10"/>
  <c r="AD1209" i="10"/>
  <c r="AD1169" i="10"/>
  <c r="AD1161" i="10"/>
  <c r="AD1153" i="10"/>
  <c r="AD1145" i="10"/>
  <c r="AD1137" i="10"/>
  <c r="AD1097" i="10"/>
  <c r="AD1089" i="10"/>
  <c r="AD1081" i="10"/>
  <c r="AD1073" i="10"/>
  <c r="AD1065" i="10"/>
  <c r="AD1057" i="10"/>
  <c r="AD1017" i="10"/>
  <c r="AD1009" i="10"/>
  <c r="AD1001" i="10"/>
  <c r="AD993" i="10"/>
  <c r="AD985" i="10"/>
  <c r="AD937" i="10"/>
  <c r="AD929" i="10"/>
  <c r="AD921" i="10"/>
  <c r="AD913" i="10"/>
  <c r="AD905" i="10"/>
  <c r="AD865" i="10"/>
  <c r="AD857" i="10"/>
  <c r="AD849" i="10"/>
  <c r="AD841" i="10"/>
  <c r="AD833" i="10"/>
  <c r="AD825" i="10"/>
  <c r="AD817" i="10"/>
  <c r="AK7" i="1"/>
  <c r="AK8" i="1" s="1"/>
  <c r="M7" i="1"/>
  <c r="M8" i="1" s="1"/>
  <c r="AN7" i="1"/>
  <c r="AN8" i="1" s="1"/>
  <c r="L7" i="1"/>
  <c r="L8" i="1" s="1"/>
  <c r="AM7" i="1"/>
  <c r="AM8" i="1" s="1"/>
  <c r="K7" i="1"/>
  <c r="K8" i="1" s="1"/>
  <c r="AL7" i="1"/>
  <c r="AL8" i="1" s="1"/>
  <c r="F7" i="1"/>
  <c r="F8" i="1" s="1"/>
  <c r="V7" i="1"/>
  <c r="V8" i="1" s="1"/>
  <c r="AW7" i="1"/>
  <c r="AW8" i="1" s="1"/>
  <c r="I7" i="1"/>
  <c r="I8" i="1" s="1"/>
  <c r="AJ7" i="1"/>
  <c r="AJ8" i="1" s="1"/>
  <c r="H7" i="1"/>
  <c r="H8" i="1" s="1"/>
  <c r="AA7" i="1"/>
  <c r="AA8" i="1" s="1"/>
  <c r="G7" i="1"/>
  <c r="G8" i="1" s="1"/>
  <c r="W7" i="1"/>
  <c r="W8" i="1" s="1"/>
  <c r="AX7" i="1"/>
  <c r="AX8" i="1" s="1"/>
  <c r="R7" i="1"/>
  <c r="R8" i="1" s="1"/>
  <c r="AS7" i="1"/>
  <c r="AS8" i="1" s="1"/>
  <c r="E7" i="1"/>
  <c r="E8" i="1" s="1"/>
  <c r="U7" i="1"/>
  <c r="U8" i="1" s="1"/>
  <c r="AV7" i="1"/>
  <c r="AV8" i="1" s="1"/>
  <c r="T7" i="1"/>
  <c r="T8" i="1" s="1"/>
  <c r="AU7" i="1"/>
  <c r="AU8" i="1" s="1"/>
  <c r="S7" i="1"/>
  <c r="S8" i="1" s="1"/>
  <c r="AT7" i="1"/>
  <c r="AT8" i="1" s="1"/>
  <c r="N7" i="1"/>
  <c r="N8" i="1" s="1"/>
  <c r="AO7" i="1"/>
  <c r="AO8" i="1" s="1"/>
  <c r="Q7" i="1"/>
  <c r="Q8" i="1" s="1"/>
  <c r="AR7" i="1"/>
  <c r="AR8" i="1" s="1"/>
  <c r="P7" i="1"/>
  <c r="P8" i="1" s="1"/>
  <c r="AQ7" i="1"/>
  <c r="AQ8" i="1" s="1"/>
  <c r="O7" i="1"/>
  <c r="O8" i="1" s="1"/>
  <c r="J7" i="1"/>
  <c r="J8" i="1" s="1"/>
  <c r="E40" i="15"/>
  <c r="E38" i="15"/>
  <c r="E36" i="15"/>
  <c r="E34" i="15"/>
  <c r="E32" i="15"/>
  <c r="E26" i="15"/>
  <c r="L26" i="15" s="1"/>
  <c r="E22" i="15"/>
  <c r="L22" i="15" s="1"/>
  <c r="E18" i="15"/>
  <c r="L18" i="15" s="1"/>
  <c r="E14" i="15"/>
  <c r="L14" i="15" s="1"/>
  <c r="E10" i="15"/>
  <c r="L10" i="15" s="1"/>
  <c r="E6" i="15"/>
  <c r="L6" i="15" s="1"/>
  <c r="E27" i="15"/>
  <c r="L27" i="15" s="1"/>
  <c r="E23" i="15"/>
  <c r="L23" i="15" s="1"/>
  <c r="E19" i="15"/>
  <c r="L19" i="15" s="1"/>
  <c r="E15" i="15"/>
  <c r="L15" i="15" s="1"/>
  <c r="E11" i="15"/>
  <c r="L11" i="15" s="1"/>
  <c r="E7" i="15"/>
  <c r="L7" i="15" s="1"/>
  <c r="E41" i="15"/>
  <c r="E39" i="15"/>
  <c r="E37" i="15"/>
  <c r="E35" i="15"/>
  <c r="E33" i="15"/>
  <c r="E28" i="15"/>
  <c r="L28" i="15" s="1"/>
  <c r="E24" i="15"/>
  <c r="L24" i="15" s="1"/>
  <c r="E20" i="15"/>
  <c r="L20" i="15" s="1"/>
  <c r="E16" i="15"/>
  <c r="L16" i="15" s="1"/>
  <c r="E12" i="15"/>
  <c r="L12" i="15" s="1"/>
  <c r="E8" i="15"/>
  <c r="L8" i="15" s="1"/>
  <c r="E4" i="15"/>
  <c r="L4" i="15" s="1"/>
  <c r="E25" i="15"/>
  <c r="L25" i="15" s="1"/>
  <c r="E21" i="15"/>
  <c r="L21" i="15" s="1"/>
  <c r="E17" i="15"/>
  <c r="L17" i="15" s="1"/>
  <c r="E13" i="15"/>
  <c r="L13" i="15" s="1"/>
  <c r="E9" i="15"/>
  <c r="L9" i="15" s="1"/>
  <c r="E5" i="15"/>
  <c r="L5" i="15" s="1"/>
  <c r="F25" i="15"/>
  <c r="N25" i="15" s="1"/>
  <c r="F21" i="15"/>
  <c r="N21" i="15" s="1"/>
  <c r="F17" i="15"/>
  <c r="N17" i="15" s="1"/>
  <c r="F13" i="15"/>
  <c r="N13" i="15" s="1"/>
  <c r="F9" i="15"/>
  <c r="N9" i="15" s="1"/>
  <c r="F5" i="15"/>
  <c r="N5" i="15" s="1"/>
  <c r="F40" i="15"/>
  <c r="F38" i="15"/>
  <c r="F36" i="15"/>
  <c r="F34" i="15"/>
  <c r="F32" i="15"/>
  <c r="F26" i="15"/>
  <c r="N26" i="15" s="1"/>
  <c r="F22" i="15"/>
  <c r="N22" i="15" s="1"/>
  <c r="F18" i="15"/>
  <c r="N18" i="15" s="1"/>
  <c r="F14" i="15"/>
  <c r="N14" i="15" s="1"/>
  <c r="F10" i="15"/>
  <c r="N10" i="15" s="1"/>
  <c r="F6" i="15"/>
  <c r="N6" i="15" s="1"/>
  <c r="F27" i="15"/>
  <c r="N27" i="15" s="1"/>
  <c r="F23" i="15"/>
  <c r="N23" i="15" s="1"/>
  <c r="F19" i="15"/>
  <c r="N19" i="15" s="1"/>
  <c r="F15" i="15"/>
  <c r="N15" i="15" s="1"/>
  <c r="F11" i="15"/>
  <c r="N11" i="15" s="1"/>
  <c r="F7" i="15"/>
  <c r="N7" i="15" s="1"/>
  <c r="F41" i="15"/>
  <c r="F39" i="15"/>
  <c r="F37" i="15"/>
  <c r="F35" i="15"/>
  <c r="F33" i="15"/>
  <c r="F28" i="15"/>
  <c r="N28" i="15" s="1"/>
  <c r="F24" i="15"/>
  <c r="N24" i="15" s="1"/>
  <c r="F20" i="15"/>
  <c r="N20" i="15" s="1"/>
  <c r="F16" i="15"/>
  <c r="N16" i="15" s="1"/>
  <c r="F12" i="15"/>
  <c r="N12" i="15" s="1"/>
  <c r="F8" i="15"/>
  <c r="N8" i="15" s="1"/>
  <c r="F4" i="15"/>
  <c r="N4" i="15" s="1"/>
  <c r="AU89" i="1"/>
  <c r="AQ89" i="1"/>
  <c r="AI89" i="1"/>
  <c r="AE89" i="1"/>
  <c r="AA89" i="1"/>
  <c r="S89" i="1"/>
  <c r="O89" i="1"/>
  <c r="K89" i="1"/>
  <c r="G89" i="1"/>
  <c r="AW87" i="1"/>
  <c r="AS87" i="1"/>
  <c r="AO87" i="1"/>
  <c r="AG87" i="1"/>
  <c r="AC87" i="1"/>
  <c r="Y87" i="1"/>
  <c r="Q87" i="1"/>
  <c r="M87" i="1"/>
  <c r="I87" i="1"/>
  <c r="E87" i="1"/>
  <c r="AU85" i="1"/>
  <c r="AQ85" i="1"/>
  <c r="AI85" i="1"/>
  <c r="AE85" i="1"/>
  <c r="AA85" i="1"/>
  <c r="S85" i="1"/>
  <c r="O85" i="1"/>
  <c r="G85" i="1"/>
  <c r="AW84" i="1"/>
  <c r="AS84" i="1"/>
  <c r="AO84" i="1"/>
  <c r="AG84" i="1"/>
  <c r="AC84" i="1"/>
  <c r="Y84" i="1"/>
  <c r="Q84" i="1"/>
  <c r="M84" i="1"/>
  <c r="I84" i="1"/>
  <c r="E84" i="1"/>
  <c r="AU83" i="1"/>
  <c r="AQ83" i="1"/>
  <c r="AI83" i="1"/>
  <c r="AE83" i="1"/>
  <c r="AA83" i="1"/>
  <c r="S83" i="1"/>
  <c r="O83" i="1"/>
  <c r="K83" i="1"/>
  <c r="G83" i="1"/>
  <c r="Y89" i="1"/>
  <c r="Q89" i="1"/>
  <c r="I89" i="1"/>
  <c r="AU87" i="1"/>
  <c r="AE87" i="1"/>
  <c r="O87" i="1"/>
  <c r="G87" i="1"/>
  <c r="AS85" i="1"/>
  <c r="AC85" i="1"/>
  <c r="M85" i="1"/>
  <c r="E85" i="1"/>
  <c r="AQ84" i="1"/>
  <c r="AI84" i="1"/>
  <c r="AA84" i="1"/>
  <c r="S84" i="1"/>
  <c r="K84" i="1"/>
  <c r="AW83" i="1"/>
  <c r="AO83" i="1"/>
  <c r="AG83" i="1"/>
  <c r="Y83" i="1"/>
  <c r="Q83" i="1"/>
  <c r="I83" i="1"/>
  <c r="AV89" i="1"/>
  <c r="AR89" i="1"/>
  <c r="AF89" i="1"/>
  <c r="AB89" i="1"/>
  <c r="X89" i="1"/>
  <c r="P89" i="1"/>
  <c r="L89" i="1"/>
  <c r="H89" i="1"/>
  <c r="AX87" i="1"/>
  <c r="AT87" i="1"/>
  <c r="AH87" i="1"/>
  <c r="AD87" i="1"/>
  <c r="Z87" i="1"/>
  <c r="R87" i="1"/>
  <c r="N87" i="1"/>
  <c r="J87" i="1"/>
  <c r="F87" i="1"/>
  <c r="AV85" i="1"/>
  <c r="AR85" i="1"/>
  <c r="AF85" i="1"/>
  <c r="AB85" i="1"/>
  <c r="X85" i="1"/>
  <c r="P85" i="1"/>
  <c r="L85" i="1"/>
  <c r="H85" i="1"/>
  <c r="AX84" i="1"/>
  <c r="AT84" i="1"/>
  <c r="AH84" i="1"/>
  <c r="AD84" i="1"/>
  <c r="Z84" i="1"/>
  <c r="R84" i="1"/>
  <c r="N84" i="1"/>
  <c r="J84" i="1"/>
  <c r="F84" i="1"/>
  <c r="AV83" i="1"/>
  <c r="AR83" i="1"/>
  <c r="AF83" i="1"/>
  <c r="AB83" i="1"/>
  <c r="X83" i="1"/>
  <c r="P83" i="1"/>
  <c r="L83" i="1"/>
  <c r="H83" i="1"/>
  <c r="AO89" i="1"/>
  <c r="AG89" i="1"/>
  <c r="AC89" i="1"/>
  <c r="M89" i="1"/>
  <c r="E89" i="1"/>
  <c r="AQ87" i="1"/>
  <c r="AI87" i="1"/>
  <c r="AA87" i="1"/>
  <c r="S87" i="1"/>
  <c r="K87" i="1"/>
  <c r="AW85" i="1"/>
  <c r="AO85" i="1"/>
  <c r="AG85" i="1"/>
  <c r="Y85" i="1"/>
  <c r="Q85" i="1"/>
  <c r="I85" i="1"/>
  <c r="AU84" i="1"/>
  <c r="AE84" i="1"/>
  <c r="O84" i="1"/>
  <c r="G84" i="1"/>
  <c r="AS83" i="1"/>
  <c r="AC83" i="1"/>
  <c r="M83" i="1"/>
  <c r="E83" i="1"/>
  <c r="AW89" i="1"/>
  <c r="AS89" i="1"/>
  <c r="AX89" i="1"/>
  <c r="AT89" i="1"/>
  <c r="AH89" i="1"/>
  <c r="AD89" i="1"/>
  <c r="Z89" i="1"/>
  <c r="R89" i="1"/>
  <c r="N89" i="1"/>
  <c r="J89" i="1"/>
  <c r="F89" i="1"/>
  <c r="AV87" i="1"/>
  <c r="AR87" i="1"/>
  <c r="AF87" i="1"/>
  <c r="AB87" i="1"/>
  <c r="X87" i="1"/>
  <c r="P87" i="1"/>
  <c r="L87" i="1"/>
  <c r="H87" i="1"/>
  <c r="AX85" i="1"/>
  <c r="AT85" i="1"/>
  <c r="AH85" i="1"/>
  <c r="AD85" i="1"/>
  <c r="Z85" i="1"/>
  <c r="R85" i="1"/>
  <c r="N85" i="1"/>
  <c r="J85" i="1"/>
  <c r="F85" i="1"/>
  <c r="AV84" i="1"/>
  <c r="AR84" i="1"/>
  <c r="AF84" i="1"/>
  <c r="AB84" i="1"/>
  <c r="X84" i="1"/>
  <c r="P84" i="1"/>
  <c r="L84" i="1"/>
  <c r="H84" i="1"/>
  <c r="AX83" i="1"/>
  <c r="AT83" i="1"/>
  <c r="AH83" i="1"/>
  <c r="AD83" i="1"/>
  <c r="Z83" i="1"/>
  <c r="R83" i="1"/>
  <c r="N83" i="1"/>
  <c r="J83" i="1"/>
  <c r="F83" i="1"/>
  <c r="AX95" i="1"/>
  <c r="AT95" i="1"/>
  <c r="AH95" i="1"/>
  <c r="AD95" i="1"/>
  <c r="Z95" i="1"/>
  <c r="R95" i="1"/>
  <c r="N95" i="1"/>
  <c r="J95" i="1"/>
  <c r="F95" i="1"/>
  <c r="AV94" i="1"/>
  <c r="AR94" i="1"/>
  <c r="AF94" i="1"/>
  <c r="AB94" i="1"/>
  <c r="X94" i="1"/>
  <c r="P94" i="1"/>
  <c r="L94" i="1"/>
  <c r="H94" i="1"/>
  <c r="AQ95" i="1"/>
  <c r="AI95" i="1"/>
  <c r="AA95" i="1"/>
  <c r="S95" i="1"/>
  <c r="K95" i="1"/>
  <c r="AW94" i="1"/>
  <c r="AO94" i="1"/>
  <c r="AG94" i="1"/>
  <c r="Y94" i="1"/>
  <c r="Q94" i="1"/>
  <c r="I94" i="1"/>
  <c r="AW95" i="1"/>
  <c r="AS95" i="1"/>
  <c r="AO95" i="1"/>
  <c r="AG95" i="1"/>
  <c r="AC95" i="1"/>
  <c r="Y95" i="1"/>
  <c r="Q95" i="1"/>
  <c r="M95" i="1"/>
  <c r="I95" i="1"/>
  <c r="E95" i="1"/>
  <c r="AU94" i="1"/>
  <c r="AQ94" i="1"/>
  <c r="AI94" i="1"/>
  <c r="AE94" i="1"/>
  <c r="AA94" i="1"/>
  <c r="S94" i="1"/>
  <c r="O94" i="1"/>
  <c r="K94" i="1"/>
  <c r="G94" i="1"/>
  <c r="AU95" i="1"/>
  <c r="AE95" i="1"/>
  <c r="O95" i="1"/>
  <c r="G95" i="1"/>
  <c r="AS94" i="1"/>
  <c r="AC94" i="1"/>
  <c r="M94" i="1"/>
  <c r="E94" i="1"/>
  <c r="AV95" i="1"/>
  <c r="AR95" i="1"/>
  <c r="AF95" i="1"/>
  <c r="AB95" i="1"/>
  <c r="X95" i="1"/>
  <c r="P95" i="1"/>
  <c r="L95" i="1"/>
  <c r="H95" i="1"/>
  <c r="AX94" i="1"/>
  <c r="AT94" i="1"/>
  <c r="AH94" i="1"/>
  <c r="AD94" i="1"/>
  <c r="Z94" i="1"/>
  <c r="R94" i="1"/>
  <c r="N94" i="1"/>
  <c r="J94" i="1"/>
  <c r="F94" i="1"/>
  <c r="AV96" i="1"/>
  <c r="AR96" i="1"/>
  <c r="AF96" i="1"/>
  <c r="AB96" i="1"/>
  <c r="X96" i="1"/>
  <c r="P96" i="1"/>
  <c r="L96" i="1"/>
  <c r="H96" i="1"/>
  <c r="AW96" i="1"/>
  <c r="AC96" i="1"/>
  <c r="Y96" i="1"/>
  <c r="Q96" i="1"/>
  <c r="E96" i="1"/>
  <c r="AT96" i="1"/>
  <c r="AU96" i="1"/>
  <c r="AQ96" i="1"/>
  <c r="AI96" i="1"/>
  <c r="AE96" i="1"/>
  <c r="AA96" i="1"/>
  <c r="S96" i="1"/>
  <c r="O96" i="1"/>
  <c r="K96" i="1"/>
  <c r="G96" i="1"/>
  <c r="AS96" i="1"/>
  <c r="AO96" i="1"/>
  <c r="AG96" i="1"/>
  <c r="M96" i="1"/>
  <c r="I96" i="1"/>
  <c r="AX96" i="1"/>
  <c r="AH96" i="1"/>
  <c r="AD96" i="1"/>
  <c r="Z96" i="1"/>
  <c r="R96" i="1"/>
  <c r="N96" i="1"/>
  <c r="J96" i="1"/>
  <c r="F96" i="1"/>
  <c r="AE7" i="1"/>
  <c r="AE8" i="1" s="1"/>
  <c r="Z7" i="1"/>
  <c r="Z8" i="1" s="1"/>
  <c r="Y7" i="1"/>
  <c r="Y8" i="1" s="1"/>
  <c r="AF7" i="1"/>
  <c r="AF8" i="1" s="1"/>
  <c r="AH7" i="1"/>
  <c r="AH8" i="1" s="1"/>
  <c r="AG7" i="1"/>
  <c r="AG8" i="1" s="1"/>
  <c r="X7" i="1"/>
  <c r="X8" i="1" s="1"/>
  <c r="AP8" i="1"/>
  <c r="AI7" i="1"/>
  <c r="AI8" i="1" s="1"/>
  <c r="AB7" i="1"/>
  <c r="AB8" i="1" s="1"/>
  <c r="AD7" i="1"/>
  <c r="AD8" i="1" s="1"/>
  <c r="AC7" i="1"/>
  <c r="AC8" i="1" s="1"/>
  <c r="AM91" i="1" l="1"/>
  <c r="AJ91" i="1"/>
  <c r="S4" i="15"/>
  <c r="E97" i="1" s="1"/>
  <c r="S27" i="15"/>
  <c r="AW97" i="1" s="1"/>
  <c r="U8" i="15"/>
  <c r="I98" i="1" s="1"/>
  <c r="U11" i="15"/>
  <c r="L98" i="1" s="1"/>
  <c r="U27" i="15"/>
  <c r="AW98" i="1" s="1"/>
  <c r="U18" i="15"/>
  <c r="S98" i="1" s="1"/>
  <c r="U5" i="15"/>
  <c r="F98" i="1" s="1"/>
  <c r="U21" i="15"/>
  <c r="AQ98" i="1" s="1"/>
  <c r="S13" i="15"/>
  <c r="N97" i="1" s="1"/>
  <c r="S7" i="15"/>
  <c r="H97" i="1" s="1"/>
  <c r="S23" i="15"/>
  <c r="AS97" i="1" s="1"/>
  <c r="S14" i="15"/>
  <c r="O97" i="1" s="1"/>
  <c r="AL91" i="1"/>
  <c r="S20" i="15"/>
  <c r="AO97" i="1" s="1"/>
  <c r="U28" i="15"/>
  <c r="AX98" i="1" s="1"/>
  <c r="U4" i="15"/>
  <c r="E98" i="1" s="1"/>
  <c r="U20" i="15"/>
  <c r="AO98" i="1" s="1"/>
  <c r="U7" i="15"/>
  <c r="H98" i="1" s="1"/>
  <c r="U23" i="15"/>
  <c r="AS98" i="1" s="1"/>
  <c r="U14" i="15"/>
  <c r="O98" i="1" s="1"/>
  <c r="U17" i="15"/>
  <c r="R98" i="1" s="1"/>
  <c r="S9" i="15"/>
  <c r="J97" i="1" s="1"/>
  <c r="S25" i="15"/>
  <c r="AU97" i="1" s="1"/>
  <c r="S16" i="15"/>
  <c r="Q97" i="1" s="1"/>
  <c r="S19" i="15"/>
  <c r="AA97" i="1" s="1"/>
  <c r="S10" i="15"/>
  <c r="K97" i="1" s="1"/>
  <c r="S26" i="15"/>
  <c r="AV97" i="1" s="1"/>
  <c r="AN91" i="1"/>
  <c r="S11" i="15"/>
  <c r="L97" i="1" s="1"/>
  <c r="U24" i="15"/>
  <c r="AT98" i="1" s="1"/>
  <c r="U16" i="15"/>
  <c r="Q98" i="1" s="1"/>
  <c r="U19" i="15"/>
  <c r="AA98" i="1" s="1"/>
  <c r="U10" i="15"/>
  <c r="K98" i="1" s="1"/>
  <c r="U26" i="15"/>
  <c r="AV98" i="1" s="1"/>
  <c r="U13" i="15"/>
  <c r="N98" i="1" s="1"/>
  <c r="S5" i="15"/>
  <c r="F97" i="1" s="1"/>
  <c r="S21" i="15"/>
  <c r="AQ97" i="1" s="1"/>
  <c r="S12" i="15"/>
  <c r="M97" i="1" s="1"/>
  <c r="S28" i="15"/>
  <c r="AX97" i="1" s="1"/>
  <c r="S15" i="15"/>
  <c r="P97" i="1" s="1"/>
  <c r="S6" i="15"/>
  <c r="G97" i="1" s="1"/>
  <c r="S22" i="15"/>
  <c r="AR97" i="1" s="1"/>
  <c r="AK91" i="1"/>
  <c r="AP91" i="1"/>
  <c r="S24" i="15"/>
  <c r="AT97" i="1" s="1"/>
  <c r="U22" i="15"/>
  <c r="AR98" i="1" s="1"/>
  <c r="U12" i="15"/>
  <c r="M98" i="1" s="1"/>
  <c r="U15" i="15"/>
  <c r="P98" i="1" s="1"/>
  <c r="U6" i="15"/>
  <c r="G98" i="1" s="1"/>
  <c r="U9" i="15"/>
  <c r="J98" i="1" s="1"/>
  <c r="U25" i="15"/>
  <c r="AU98" i="1" s="1"/>
  <c r="S17" i="15"/>
  <c r="R97" i="1" s="1"/>
  <c r="S8" i="15"/>
  <c r="I97" i="1" s="1"/>
  <c r="S18" i="15"/>
  <c r="S97" i="1" s="1"/>
  <c r="T91" i="1"/>
  <c r="N37" i="15"/>
  <c r="U37" i="15" s="1"/>
  <c r="AK98" i="1" s="1"/>
  <c r="N34" i="15"/>
  <c r="U34" i="15" s="1"/>
  <c r="V98" i="1" s="1"/>
  <c r="L35" i="15"/>
  <c r="S35" i="15" s="1"/>
  <c r="W97" i="1" s="1"/>
  <c r="L32" i="15"/>
  <c r="S32" i="15" s="1"/>
  <c r="L40" i="15"/>
  <c r="S40" i="15" s="1"/>
  <c r="AN97" i="1" s="1"/>
  <c r="N35" i="15"/>
  <c r="U35" i="15" s="1"/>
  <c r="W98" i="1" s="1"/>
  <c r="N32" i="15"/>
  <c r="U32" i="15" s="1"/>
  <c r="T98" i="1" s="1"/>
  <c r="N40" i="15"/>
  <c r="U40" i="15" s="1"/>
  <c r="AN98" i="1" s="1"/>
  <c r="L33" i="15"/>
  <c r="S33" i="15" s="1"/>
  <c r="U97" i="1" s="1"/>
  <c r="L41" i="15"/>
  <c r="S41" i="15" s="1"/>
  <c r="AP97" i="1" s="1"/>
  <c r="L38" i="15"/>
  <c r="S38" i="15" s="1"/>
  <c r="AL97" i="1" s="1"/>
  <c r="N33" i="15"/>
  <c r="U33" i="15" s="1"/>
  <c r="U98" i="1" s="1"/>
  <c r="N41" i="15"/>
  <c r="U41" i="15" s="1"/>
  <c r="AP98" i="1" s="1"/>
  <c r="N38" i="15"/>
  <c r="U38" i="15" s="1"/>
  <c r="AL98" i="1" s="1"/>
  <c r="L39" i="15"/>
  <c r="S39" i="15" s="1"/>
  <c r="AM97" i="1" s="1"/>
  <c r="L36" i="15"/>
  <c r="S36" i="15" s="1"/>
  <c r="AJ97" i="1" s="1"/>
  <c r="N39" i="15"/>
  <c r="U39" i="15" s="1"/>
  <c r="AM98" i="1" s="1"/>
  <c r="N36" i="15"/>
  <c r="U36" i="15" s="1"/>
  <c r="AJ98" i="1" s="1"/>
  <c r="L37" i="15"/>
  <c r="S37" i="15" s="1"/>
  <c r="AK97" i="1" s="1"/>
  <c r="L34" i="15"/>
  <c r="S34" i="15" s="1"/>
  <c r="V97" i="1" s="1"/>
  <c r="V91" i="1"/>
  <c r="W91" i="1"/>
  <c r="U91" i="1"/>
  <c r="F91" i="1"/>
  <c r="I91" i="1"/>
  <c r="R91" i="1"/>
  <c r="AH91" i="1"/>
  <c r="AX91" i="1"/>
  <c r="AG91" i="1"/>
  <c r="L91" i="1"/>
  <c r="AB91" i="1"/>
  <c r="AR91" i="1"/>
  <c r="Z91" i="1"/>
  <c r="K91" i="1"/>
  <c r="J91" i="1"/>
  <c r="G91" i="1"/>
  <c r="H91" i="1"/>
  <c r="N91" i="1"/>
  <c r="AD91" i="1"/>
  <c r="AT91" i="1"/>
  <c r="Y91" i="1"/>
  <c r="X91" i="1"/>
  <c r="M91" i="1"/>
  <c r="AS91" i="1"/>
  <c r="S91" i="1"/>
  <c r="AI91" i="1"/>
  <c r="Q91" i="1"/>
  <c r="AW91" i="1"/>
  <c r="O91" i="1"/>
  <c r="AE91" i="1"/>
  <c r="AU91" i="1"/>
  <c r="AO91" i="1"/>
  <c r="P91" i="1"/>
  <c r="AF91" i="1"/>
  <c r="AV91" i="1"/>
  <c r="AC91" i="1"/>
  <c r="AA91" i="1"/>
  <c r="AQ91" i="1"/>
  <c r="E91" i="1"/>
</calcChain>
</file>

<file path=xl/sharedStrings.xml><?xml version="1.0" encoding="utf-8"?>
<sst xmlns="http://schemas.openxmlformats.org/spreadsheetml/2006/main" count="26132" uniqueCount="1951">
  <si>
    <t>LIC MUTUAL FUND</t>
  </si>
  <si>
    <t>Half-yearly Unaudited Financial Results for the period ended  September 30, 2017</t>
  </si>
  <si>
    <t>(Persuant to regulation 59 of SEBI) Mutual Funds Regulations 1996)</t>
  </si>
  <si>
    <t>LIC02</t>
  </si>
  <si>
    <t>LIC08</t>
  </si>
  <si>
    <t>LIC17</t>
  </si>
  <si>
    <t>LIC19</t>
  </si>
  <si>
    <t>LIC28</t>
  </si>
  <si>
    <t>LIC31</t>
  </si>
  <si>
    <t>LIC33</t>
  </si>
  <si>
    <t>LIC34</t>
  </si>
  <si>
    <t>LIC35</t>
  </si>
  <si>
    <t>LIC36</t>
  </si>
  <si>
    <t>LIC37</t>
  </si>
  <si>
    <t>LIC38</t>
  </si>
  <si>
    <t>LIC40</t>
  </si>
  <si>
    <t>LIC72</t>
  </si>
  <si>
    <t>LIC86</t>
  </si>
  <si>
    <t>LIC94</t>
  </si>
  <si>
    <t>LIC95</t>
  </si>
  <si>
    <t>LIC96</t>
  </si>
  <si>
    <t>LIC103</t>
  </si>
  <si>
    <t>LIC127</t>
  </si>
  <si>
    <t>LIC137</t>
  </si>
  <si>
    <t>LIC140</t>
  </si>
  <si>
    <t>LIC142</t>
  </si>
  <si>
    <t>LIC146</t>
  </si>
  <si>
    <t>LIC152</t>
  </si>
  <si>
    <t>LIC153</t>
  </si>
  <si>
    <t>LIC154</t>
  </si>
  <si>
    <t>LIC156</t>
  </si>
  <si>
    <t>LIC157</t>
  </si>
  <si>
    <t>LIC158</t>
  </si>
  <si>
    <t>LIC160</t>
  </si>
  <si>
    <t>LIC162</t>
  </si>
  <si>
    <t>LIC163</t>
  </si>
  <si>
    <t>LIC164</t>
  </si>
  <si>
    <t>LIC165</t>
  </si>
  <si>
    <t>LIC167</t>
  </si>
  <si>
    <t>LIC168</t>
  </si>
  <si>
    <t>LIC169</t>
  </si>
  <si>
    <t>LIC170</t>
  </si>
  <si>
    <t>LIC171</t>
  </si>
  <si>
    <t>LIC172</t>
  </si>
  <si>
    <t>LIC173</t>
  </si>
  <si>
    <t>LIC174</t>
  </si>
  <si>
    <t>LIC175</t>
  </si>
  <si>
    <t>LIC176</t>
  </si>
  <si>
    <t>LIC177</t>
  </si>
  <si>
    <t xml:space="preserve">Sr No </t>
  </si>
  <si>
    <t xml:space="preserve">Particulars </t>
  </si>
  <si>
    <t>LIC MF Unit Linked Ins scheme</t>
  </si>
  <si>
    <t xml:space="preserve">     LIC MF Balanced Fund</t>
  </si>
  <si>
    <t xml:space="preserve">       LIC MF Equity Fund</t>
  </si>
  <si>
    <t xml:space="preserve">      LIC MF Growth Fund</t>
  </si>
  <si>
    <t>LIC MF Tax Plan</t>
  </si>
  <si>
    <t>LIC MF Monthly Income Plan</t>
  </si>
  <si>
    <t>LIC MF Bond Fund</t>
  </si>
  <si>
    <t>LIC MF GOVT SECURITIES FUND</t>
  </si>
  <si>
    <t>LIC MF Childrens Fund</t>
  </si>
  <si>
    <t>LIC MF Liquid Fund</t>
  </si>
  <si>
    <t>LIC MF-Index Sensex Plan</t>
  </si>
  <si>
    <t>LIC MF-Index Nifty Plan</t>
  </si>
  <si>
    <t>LIC MF Savings Plus Fund</t>
  </si>
  <si>
    <t>LIC MF INCOME PLUS FUND</t>
  </si>
  <si>
    <t>LIC MF INFRASTRUCTURE FUND</t>
  </si>
  <si>
    <t>LIC MF INTERVAL FUND QUARTERLY - 1</t>
  </si>
  <si>
    <t>LIC MF INTERVAL FUND  MONTHLY - 1</t>
  </si>
  <si>
    <t>LIC MF INTERVAL FUND  YEARLY - 1</t>
  </si>
  <si>
    <t>LIC MF INTERVAL FUND QUARTERLY -2</t>
  </si>
  <si>
    <t>LIC MF FIXED MATURITY PLAN  SERIES 64 @@</t>
  </si>
  <si>
    <t>LIC MF CAPITAL PROTECTION ORIENTED FUND SERIES 1 @@</t>
  </si>
  <si>
    <t>LIC MF FIXED MATURITY PLAN  SERIES 72 @@</t>
  </si>
  <si>
    <t>LIC MF CAPITAL PROTECTION ORIENTED FUND SERIES 2</t>
  </si>
  <si>
    <t>LIC MF RGESS FUND SERIES 2 @@</t>
  </si>
  <si>
    <t>LIC MF CAPITAL PROTECTION ORIENTED FUND SERIES 3 @@</t>
  </si>
  <si>
    <t>LIC MF FIXED MATURITY PLAN SERIES 82 @@</t>
  </si>
  <si>
    <t>LIC MF FIXED MATURITY PLAN SERIES 83 @@</t>
  </si>
  <si>
    <t>LIC MF FIXED MATURITY PLAN SERIES 85 @@</t>
  </si>
  <si>
    <t xml:space="preserve">LIC MF FIXED MATURITY PLAN SERIES 86@@ </t>
  </si>
  <si>
    <t>LIC MF CAPITAL PROTECTION ORIENTED FUND SERIES 4@@</t>
  </si>
  <si>
    <t>LIC MF DIVERSIFIED EQUITY FUND SERIES-1 @@</t>
  </si>
  <si>
    <t>LIC MF CAPITAL PROTECTION ORIENTED FUND SERIES 5</t>
  </si>
  <si>
    <t>LIC MF FIXED MATURITY  PLAN – SERIES 89</t>
  </si>
  <si>
    <t>LIC MF FIXED MATURITY PLAN – SERIES 90</t>
  </si>
  <si>
    <t>LIC MF DIVERSIFIED EQUITY FUND SERIES-2(1100 DAYS)</t>
  </si>
  <si>
    <t>LIC MF FIXED MATURITY PLAN SERIES 92(1100 DAYS)</t>
  </si>
  <si>
    <t>LIC MF G-SEC LONG TERM EXCHANGE TRADED FUND</t>
  </si>
  <si>
    <t>LIC MF RGESS FUND SERIES 3</t>
  </si>
  <si>
    <t>LIC MF MIDCAP FUND</t>
  </si>
  <si>
    <t>LIC MF BANKING AND FINANCIAL SERVICES FUND</t>
  </si>
  <si>
    <t>LIC MF DUAL ADVANTAGE FIXED TERM PLAN-SERIES-1</t>
  </si>
  <si>
    <t>LIC MF DUAL ADVANTAGE FIXED TERM PLAN- SERIES 2</t>
  </si>
  <si>
    <t>LIC MF DUAL ADVANTAGE FIXED TERM PLAN- SERIES 3</t>
  </si>
  <si>
    <t>LIC MF ETF - Nifty 50</t>
  </si>
  <si>
    <t>LIC MF ETF - Sensex</t>
  </si>
  <si>
    <t>LIC MF EXCHANGE TRADED FUND – NIFTY 100</t>
  </si>
  <si>
    <t>Unit Capital At The Beginning Of The Half-Year Period (Rs. In Crores)</t>
  </si>
  <si>
    <t>Unit Capital At The End Of The  Period (Rs. In Crores)</t>
  </si>
  <si>
    <t>Reserves &amp; surplus (Rs. In Crores)</t>
  </si>
  <si>
    <t>Total Net Assets At The Beginning Of The Half-Year Period (Rs. In Crores)</t>
  </si>
  <si>
    <t>Total Net Assets At The End Of The Period (Rs. In Crores)</t>
  </si>
  <si>
    <t xml:space="preserve">NAV At The Beginning Of The Half-Year Period         </t>
  </si>
  <si>
    <t>RD</t>
  </si>
  <si>
    <t>Dividend</t>
  </si>
  <si>
    <t>RG</t>
  </si>
  <si>
    <t>Growth</t>
  </si>
  <si>
    <t>ZD</t>
  </si>
  <si>
    <t>Direct Dividend</t>
  </si>
  <si>
    <t>ZG</t>
  </si>
  <si>
    <t>Direct Growth</t>
  </si>
  <si>
    <t>RM</t>
  </si>
  <si>
    <t>Monthly Dividend</t>
  </si>
  <si>
    <t>RQ</t>
  </si>
  <si>
    <t xml:space="preserve">Quarterly Dividend </t>
  </si>
  <si>
    <t>RY</t>
  </si>
  <si>
    <t>Yearly Dividend</t>
  </si>
  <si>
    <t>ZM</t>
  </si>
  <si>
    <t>Direct Monthly Dividend</t>
  </si>
  <si>
    <t>ZQ</t>
  </si>
  <si>
    <t xml:space="preserve">Direct Quarterly Dividend </t>
  </si>
  <si>
    <t>ZY</t>
  </si>
  <si>
    <t>Direct Yearly Dividend</t>
  </si>
  <si>
    <t>PD</t>
  </si>
  <si>
    <t>PF Dividend</t>
  </si>
  <si>
    <t>PG</t>
  </si>
  <si>
    <t>PF Growth</t>
  </si>
  <si>
    <t>RW</t>
  </si>
  <si>
    <t>Weekly Dividend</t>
  </si>
  <si>
    <t>ZW</t>
  </si>
  <si>
    <t>Direct weekly Dividend</t>
  </si>
  <si>
    <t xml:space="preserve">NAV At The End Of The Period                                 </t>
  </si>
  <si>
    <t xml:space="preserve">Dividend Paid Per Unit During The Half-Year              </t>
  </si>
  <si>
    <t>Daily Dividend</t>
  </si>
  <si>
    <t>i) Individual</t>
  </si>
  <si>
    <t>ii) Non-Individual</t>
  </si>
  <si>
    <t>Quarterly Dividend</t>
  </si>
  <si>
    <t>Direct Daily Dividend</t>
  </si>
  <si>
    <t>Direct Weekly Dividend</t>
  </si>
  <si>
    <t>Direct Quarterly Dividend</t>
  </si>
  <si>
    <t>INCOME</t>
  </si>
  <si>
    <t>Dividend                     (Rs. In crores)</t>
  </si>
  <si>
    <t>-</t>
  </si>
  <si>
    <t>Interest                      (Rs. In crores)</t>
  </si>
  <si>
    <t xml:space="preserve">Profit/(loss) on sale/redemption of investments(other than inter scheme  </t>
  </si>
  <si>
    <t>transfer/sale) including MTM gain/loss              (Rs. In crores)</t>
  </si>
  <si>
    <t xml:space="preserve">Profit/(loss) on inter-scheme transfer/sale of investment    (Rs. In crores) </t>
  </si>
  <si>
    <t>Other Income (indicating nature)    (Rs. In Crores)</t>
  </si>
  <si>
    <t>Total Income (5.1 to 5.5)     (Rs. In Crores)</t>
  </si>
  <si>
    <t>EXPENSES</t>
  </si>
  <si>
    <t>Management Fees  (incl of Service Tax)    (Rs. In Crores)</t>
  </si>
  <si>
    <t>Trusteeship Fees             (Rs. In Crores)</t>
  </si>
  <si>
    <t>Total Recurring Expenses (including 6.1 and 6.2)   (Rs. In Crores)</t>
  </si>
  <si>
    <t>Percentage of Management Fees to daily average net assets(Incl of Service Tax) (annualised)</t>
  </si>
  <si>
    <t>Total Recurring Expenses as a percentage of daily average net assets (annualised)</t>
  </si>
  <si>
    <t>Returns during the half-year (%)</t>
  </si>
  <si>
    <t>6 Months</t>
  </si>
  <si>
    <t>NA</t>
  </si>
  <si>
    <t>Compounded Annualised Yield in case of schemes in existence for more than 1 Year.</t>
  </si>
  <si>
    <t>(i)      Last 1 year    %</t>
  </si>
  <si>
    <t>1 Year</t>
  </si>
  <si>
    <t>(ii)     Last 3 years   %</t>
  </si>
  <si>
    <t>3 Years</t>
  </si>
  <si>
    <t>(iii)    Last 5 years   %</t>
  </si>
  <si>
    <t>5 Years</t>
  </si>
  <si>
    <t>(iv)    Since launch of the scheme    %</t>
  </si>
  <si>
    <t>Since inception  (CAGR %)</t>
  </si>
  <si>
    <t>Date of allotment of scheme</t>
  </si>
  <si>
    <t xml:space="preserve"> Bench mark Indices for the schemes </t>
  </si>
  <si>
    <t>CRISIL Balanced Fund – Aggressive Index</t>
  </si>
  <si>
    <t>S&amp;P BSE Sensex</t>
  </si>
  <si>
    <t>CRISIL MIP Blended Fund Index</t>
  </si>
  <si>
    <t>CRISIL Composite Bond Fund Index</t>
  </si>
  <si>
    <t>I-SEC Composite index</t>
  </si>
  <si>
    <t>Crisil Liquid Fund Index</t>
  </si>
  <si>
    <t>NIFTY 50</t>
  </si>
  <si>
    <t>S&amp;P BSE 100</t>
  </si>
  <si>
    <t>Crisil Liquid fund Index</t>
  </si>
  <si>
    <t>Crisil short term bond fund index</t>
  </si>
  <si>
    <t>Crisil Short Term Bond Fund Index</t>
  </si>
  <si>
    <t>S&amp;P BSE 200</t>
  </si>
  <si>
    <t xml:space="preserve">Nifty 8-13 yr G-Sec </t>
  </si>
  <si>
    <t>NIFTY Free Float MIDCAP 100</t>
  </si>
  <si>
    <t>S&amp;P BSE Bankex Index</t>
  </si>
  <si>
    <t>NIFTY 100</t>
  </si>
  <si>
    <t>S &amp; P BSE Sensex</t>
  </si>
  <si>
    <t>Nifty 8-13yr G-sec</t>
  </si>
  <si>
    <t>NIFTY free Float MIDCAP 100</t>
  </si>
  <si>
    <t>NIFTY 100 Index</t>
  </si>
  <si>
    <t>Performance of Benchmark indices</t>
  </si>
  <si>
    <t xml:space="preserve">   (i)   Last  6 months %</t>
  </si>
  <si>
    <t xml:space="preserve">   (ii)  Last  1 year    %</t>
  </si>
  <si>
    <t xml:space="preserve">   (iii) Last  3 years   %</t>
  </si>
  <si>
    <t xml:space="preserve">   (iv) Last  5 years    %</t>
  </si>
  <si>
    <t xml:space="preserve">   (v)  Since launch of the scheme %</t>
  </si>
  <si>
    <t>Provision for Doubtful income/Debts             (Rs. In crores)</t>
  </si>
  <si>
    <t>Payments to associate companies (Rs. In crores)</t>
  </si>
  <si>
    <t>Investments made in associate/group companies  (Rs. In crores)</t>
  </si>
  <si>
    <t>@</t>
  </si>
  <si>
    <t>Indicates less than 0.005 Crores</t>
  </si>
  <si>
    <t>@@</t>
  </si>
  <si>
    <t>Scheme matured during the half year ended September 30, 2017</t>
  </si>
  <si>
    <t>NAV for Liquid Fund is as on 30.09.2017. For all other funds NAV is as on 29.09.2017</t>
  </si>
  <si>
    <t>AVG AUM</t>
  </si>
  <si>
    <t>In Cr.</t>
  </si>
  <si>
    <t>Start Date</t>
  </si>
  <si>
    <t>End Date</t>
  </si>
  <si>
    <t>No of Days</t>
  </si>
  <si>
    <t>No of days</t>
  </si>
  <si>
    <t>Notes to accounts</t>
  </si>
  <si>
    <t>Effect of changes in accounting policies -</t>
  </si>
  <si>
    <t>Valuation of securities has been done on the basis of the valuation principles laid down by SEBI (Mutual Funds) Regulations, 1996 amended upto date</t>
  </si>
  <si>
    <t>Details of transactions with associates in terms of regulation 25(8)</t>
  </si>
  <si>
    <t>(a)</t>
  </si>
  <si>
    <t xml:space="preserve"> ( b)</t>
  </si>
  <si>
    <t xml:space="preserve">Brokerage paid to associate/related parties/group companies of Sponsor/AMC : </t>
  </si>
  <si>
    <t>Name of associate/related parties/group companies of Sponsor/AMC</t>
  </si>
  <si>
    <t>Nature of Association/Nature of relation</t>
  </si>
  <si>
    <t>Scheme Name</t>
  </si>
  <si>
    <t>Period covered</t>
  </si>
  <si>
    <t>April 01, 2017 to September 30, 2017</t>
  </si>
  <si>
    <t>NIL</t>
  </si>
  <si>
    <t xml:space="preserve"> ( c)</t>
  </si>
  <si>
    <t xml:space="preserve">Charges paid to associate/related parties/group companies of Sponsor/AMC : </t>
  </si>
  <si>
    <t xml:space="preserve">ICICI BANK LIMITED </t>
  </si>
  <si>
    <t>Group company Associate</t>
  </si>
  <si>
    <t>LIC MF Equity Fund</t>
  </si>
  <si>
    <t>LIC MF Growth Fund</t>
  </si>
  <si>
    <t>LIC MF Balanced Fund</t>
  </si>
  <si>
    <t>LICMF LIQUID FUND</t>
  </si>
  <si>
    <t>LICMF MIDCAP FUND</t>
  </si>
  <si>
    <t>Details of investments made in companies which have invested more then 5% of the NAV of a scheme in terms of Regulation 25(11) - ANNEXURE 2</t>
  </si>
  <si>
    <t>Details of large holdings (over 25% of the NAV of the Scheme) :</t>
  </si>
  <si>
    <t>Name of the scheme</t>
  </si>
  <si>
    <t>Investor Name</t>
  </si>
  <si>
    <t>%</t>
  </si>
  <si>
    <t>Details of deferred revenve expenditure (Rs. in Crores) outstanding - NIL</t>
  </si>
  <si>
    <t>Other Income includes Load income &amp; Miscelleanous Income</t>
  </si>
  <si>
    <t>.</t>
  </si>
  <si>
    <t>Liquid scheme returns is calculated on annualised basis</t>
  </si>
  <si>
    <t>The Bench mark indices in respect of Debt/Balance/Gilt/Liquid Funds has come into effect since 31.03.2002</t>
  </si>
  <si>
    <t>For LIC Mutual Fund Asset Management Limited</t>
  </si>
  <si>
    <t>Investment Managers to LIC Mutual Fund</t>
  </si>
  <si>
    <t>Chief Executive Officer</t>
  </si>
  <si>
    <t>Notes to Accounts</t>
  </si>
  <si>
    <t>Details of transactions with associates in terms of Regulation 25(8):</t>
  </si>
  <si>
    <t>(a) Commission paid to associates/related parties/group companies of sponsor/AMC :</t>
  </si>
  <si>
    <t>Amt in Rs</t>
  </si>
  <si>
    <t xml:space="preserve">Amt in Rs </t>
  </si>
  <si>
    <t>April 1, 2017 to September 30, 2017</t>
  </si>
  <si>
    <t xml:space="preserve">ICICI BANK (ARN-0020)  </t>
  </si>
  <si>
    <t xml:space="preserve">Associate </t>
  </si>
  <si>
    <t>LICMF BOND FUND</t>
  </si>
  <si>
    <t>LICMF EQUITY FUND</t>
  </si>
  <si>
    <t>LICMF GROWTH FUND</t>
  </si>
  <si>
    <t>LICMF INDEX-NIFTY PLAN</t>
  </si>
  <si>
    <t>LICMF INFRASTRUCTURE FUND</t>
  </si>
  <si>
    <t>LICMF UNIT LINKED INSURANCE SCHEME</t>
  </si>
  <si>
    <t>CORPORATION BANK (ARN-2101)</t>
  </si>
  <si>
    <t xml:space="preserve">LICMF BANKING &amp; FINANCIAL SERVICES  FUND </t>
  </si>
  <si>
    <t>LICMF BALANCED FUND</t>
  </si>
  <si>
    <t>LICMF INDEX-SENSEX PLAN</t>
  </si>
  <si>
    <t>LICMF SAVINGS PLUS FUND</t>
  </si>
  <si>
    <t>LICMF TAX PLAN</t>
  </si>
  <si>
    <t>LICHFL FINANCIAL SERVICES LTD ( ARN-69252 )</t>
  </si>
  <si>
    <t>LICMF DUAL ADVANTAGE FIXED TERM PLAN-SERIES 1</t>
  </si>
  <si>
    <t>LICMF CAPITAL PROTECTION ORIENTED FUND - Series 2</t>
  </si>
  <si>
    <t xml:space="preserve">LICMF CAPITAL PROTECTION ORIENTED FUND - Series 5 </t>
  </si>
  <si>
    <t xml:space="preserve">LICMF DIVERSIFIED EQUITY FUND - Series 1 </t>
  </si>
  <si>
    <t>LICMF GOVT SECURITIES FUND</t>
  </si>
  <si>
    <t>LICMF INTERVAL FUND-QUARTERLY PLAN-SERIES 1</t>
  </si>
  <si>
    <t>LICMF INTERVAL FUND-QUARTERLY PLAN-SERIES 2</t>
  </si>
  <si>
    <t>LICMF INCOME PLUS FUND</t>
  </si>
  <si>
    <t>LICMF MONTHLY INCOME PLAN</t>
  </si>
  <si>
    <t xml:space="preserve">LICMF DUAL ADVANTAGE FIXED TERM PLAN-SERIES 2 (43 Months) </t>
  </si>
  <si>
    <t>LICMF DUAL ADVANTAGE FIXED TERM PLAN-SERIES 3 (42 Months)</t>
  </si>
  <si>
    <t>LICMF RGESS FUND-SERIES 3</t>
  </si>
  <si>
    <t>LICMF EXCHANGE TRADED FUND  Nifty 100</t>
  </si>
  <si>
    <t>Disclosure under Regulation 25 (11) of SEBI (Mutual Fund) Regulations, 1996</t>
  </si>
  <si>
    <t>Investments made by the schemes of LIC Mutual Fund in Companies or their subsidiaries that have invested</t>
  </si>
  <si>
    <t>more than 5% of the net assets of any scheme</t>
  </si>
  <si>
    <t>Name of the Company</t>
  </si>
  <si>
    <t>Scheme Invested by the Company</t>
  </si>
  <si>
    <t>Investments made by the Schemes of LIC Mutual Fund in the Company or its subsidiary</t>
  </si>
  <si>
    <t>LIC MF DIVERSIFIED EQUITY FUND SERIES-2</t>
  </si>
  <si>
    <t>LIC MF CPOF- 1</t>
  </si>
  <si>
    <t>LIC MF CPOF- 3</t>
  </si>
  <si>
    <t>LIC MF CPOF SERIES 5</t>
  </si>
  <si>
    <t>Half-yearly Unaudited Financial Results for the period ended  March 31, 2018</t>
  </si>
  <si>
    <t>Matured during the period April Sep 2017</t>
  </si>
  <si>
    <t>Plan Code as per financials</t>
  </si>
  <si>
    <t>Scheme Code as per financials</t>
  </si>
  <si>
    <t>Scheme Code</t>
  </si>
  <si>
    <t>Net Asset Value</t>
  </si>
  <si>
    <t>Repurchase Price</t>
  </si>
  <si>
    <t>Sale Price</t>
  </si>
  <si>
    <t>Date</t>
  </si>
  <si>
    <t>LIC MF Bond Fund-Direct Plan-Dividend</t>
  </si>
  <si>
    <t>LIC MF Bond Fund-Direct Plan-Growth</t>
  </si>
  <si>
    <t>LIC MF Bond Fund-Regular Plan-Dividend</t>
  </si>
  <si>
    <t>LIC MF Bond Fund-Regular Plan-Growth</t>
  </si>
  <si>
    <t>LIC MF Income Plus Fund-Direct Plan-Daily Dividend</t>
  </si>
  <si>
    <t>LIC MF Income Plus Fund-Direct Plan-Growth</t>
  </si>
  <si>
    <t>LIC MF Income Plus Fund-Direct Plan-Monthly Dividend</t>
  </si>
  <si>
    <t>LIC MF Income Plus Fund-Direct Plan-Weekly Dividend</t>
  </si>
  <si>
    <t>LIC MF Income Plus Fund-Regular Plan-Daily Dividend</t>
  </si>
  <si>
    <t>LIC MF Income Plus Fund-Regular Plan-Growth</t>
  </si>
  <si>
    <t>LIC MF Income Plus Fund-Regular Plan-Monthly Dividend</t>
  </si>
  <si>
    <t>LIC MF Income Plus Fund-Regular Plan-Weekly Dividend</t>
  </si>
  <si>
    <t>LIC MF Monthly Income Plan-Direct Plan-Growth</t>
  </si>
  <si>
    <t>LIC MF Monthly Income Plan-Direct Plan-Monthly Dividend</t>
  </si>
  <si>
    <t>LIC MF Monthly Income Plan-Direct Plan-Quarterly Dividend</t>
  </si>
  <si>
    <t>LIC MF Monthly Income Plan-Direct Plan-Yearly Dividend</t>
  </si>
  <si>
    <t>LICMF Monthly Income Plan-Regular Plan-Growth</t>
  </si>
  <si>
    <t>LICMF Monthly Income Plan-Regular Plan-Monthly Dividend</t>
  </si>
  <si>
    <t>LICMF Monthly Income Plan-Regular Plan-Quarterly Dividend</t>
  </si>
  <si>
    <t>LICMF Monthly Income Plan-Regular Plan-Yearly Dividend</t>
  </si>
  <si>
    <t>LIC MF Savings Plus Fund-Direct Plan-Daily Dividend</t>
  </si>
  <si>
    <t>LIC MF Savings Plus Fund-Direct Plan-Growth</t>
  </si>
  <si>
    <t>LIC MF Savings Plus Fund-Direct Plan-Monthly Dividend</t>
  </si>
  <si>
    <t>LIC MF Savings Plus Fund-Direct Plan-Weekly Dividend</t>
  </si>
  <si>
    <t>LIC MF Savings Plus Fund-Regular Plan-Daily Dividend</t>
  </si>
  <si>
    <t>LIC MF Savings Plus Fund-Regular Plan-Growth</t>
  </si>
  <si>
    <t>LIC MF Savings Plus Fund-Regular Plan-Monthly Dividend</t>
  </si>
  <si>
    <t>LIC MF Savings Plus Fund-Regular Plan-Weekly Dividend</t>
  </si>
  <si>
    <t>LIC MF Banking and Financial Services Fund-Direct Plan-Dividend</t>
  </si>
  <si>
    <t>LIC MF Banking and Financial Services Fund-Direct Plan-Growth</t>
  </si>
  <si>
    <t>LIC MF Banking and Financial Services Fund-Regular Plan-Dividend</t>
  </si>
  <si>
    <t>LIC MF Banking and Financial Services Fund-Regular Plan-Growth</t>
  </si>
  <si>
    <t>LIC MF Children's Gift Fund-Direct Plan-Growth</t>
  </si>
  <si>
    <t>LIC MF Children's Gift Fund-Regular Plan-Growth</t>
  </si>
  <si>
    <t>LIC MF Equity Fund-Direct Plan-Dividend</t>
  </si>
  <si>
    <t>LIC MF Equity Fund-Direct Plan-Growth</t>
  </si>
  <si>
    <t>LIC MF Equity Fund-Regular Plan-Dividend</t>
  </si>
  <si>
    <t>LIC MF Equity Fund-Regular Plan-Growth</t>
  </si>
  <si>
    <t>LIC MF Growth Fund-Direct Plan-Dividend</t>
  </si>
  <si>
    <t>LIC MF Growth Fund-Direct Plan-Growth</t>
  </si>
  <si>
    <t>LIC MF Growth Fund-Regular Plan-Dividend</t>
  </si>
  <si>
    <t>LIC MF Growth Fund-Regular Plan-Growth</t>
  </si>
  <si>
    <t>LIC MF Index Fund-Nifty Plan-Direct Plan-Dividend</t>
  </si>
  <si>
    <t>LIC MF Index Fund-Nifty Plan-Direct Plan-Growth</t>
  </si>
  <si>
    <t>LIC MF Index Fund-Nifty Plan-Regular Plan-Dividend</t>
  </si>
  <si>
    <t>LIC MF Index Fund-Nifty Plan-Regular Plan-Growth</t>
  </si>
  <si>
    <t>LIC MF Index Fund-Sensex Plan-Direct Plan-Dividend</t>
  </si>
  <si>
    <t>LIC MF Index Fund-Sensex Plan-Direct Plan-Growth</t>
  </si>
  <si>
    <t>LIC MF Index Fund-Sensex Plan-Regular Plan-Dividend</t>
  </si>
  <si>
    <t>LIC MF Index Fund-Sensex Plan-Regular Plan-Growth</t>
  </si>
  <si>
    <t>LIC MF Infrastructure Fund-Direct Plan-Dividend</t>
  </si>
  <si>
    <t>LIC MF Infrastructure Fund-Direct Plan-Growth</t>
  </si>
  <si>
    <t>LIC MF Infrastructure Fund-Regular Plan-Dividend</t>
  </si>
  <si>
    <t>LIC MF Infrastructure Fund-Regular Plan-Growth</t>
  </si>
  <si>
    <t>LIC MF Midcap Fund-Direct Plan-Dividend</t>
  </si>
  <si>
    <t>LIC MF Midcap Fund-Direct Plan-Growth</t>
  </si>
  <si>
    <t>LIC MF Midcap Fund-Regular Plan-Dividend</t>
  </si>
  <si>
    <t>LIC MF Midcap Fund-Regular Plan-Growth</t>
  </si>
  <si>
    <t>LIC MF Balanced Fund-Direct Plan-Dividend</t>
  </si>
  <si>
    <t>LIC MF Balanced Fund-Direct Plan-Growth</t>
  </si>
  <si>
    <t>LIC MF Balanced Fund-Regular Plan-Dividend</t>
  </si>
  <si>
    <t>LIC MF Balanced Fund-Regular Plan-Growth</t>
  </si>
  <si>
    <t>LIC MF Liquid Fund-Direct Plan-Dividend</t>
  </si>
  <si>
    <t>LIC MF Liquid Fund-Direct Plan-Growth</t>
  </si>
  <si>
    <t>LIC MF Liquid Fund-Regular Plan-Dividend</t>
  </si>
  <si>
    <t>LIC MF Liquid Fund-Regular Plan-Growth</t>
  </si>
  <si>
    <t>LIC MF Govt. Securities Fund-Direct Plan-Dividend</t>
  </si>
  <si>
    <t>LIC MF Govt. Securities Fund-Direct Plan-Growth</t>
  </si>
  <si>
    <t>LIC MF Govt. Securities Fund-PF Plan-Dividend</t>
  </si>
  <si>
    <t>LIC MF Govt. Securities Fund-PF Plan-Growth</t>
  </si>
  <si>
    <t>LIC MF Govt. Securities Fund-Regular Plan-Dividend</t>
  </si>
  <si>
    <t>LIC MF Govt. Securities Fund-Regular Plan-Growth</t>
  </si>
  <si>
    <t>LIC MF Tax Plan-Direct Plan-Dividend</t>
  </si>
  <si>
    <t>LIC MF Tax Plan-Direct Plan-Growth</t>
  </si>
  <si>
    <t>LIC MF Tax Plan-Regular Plan-Dividend</t>
  </si>
  <si>
    <t>LIC MF Tax Plan-Regular Plan-Growth</t>
  </si>
  <si>
    <t>LIC MF ULIS (10 Yrs. Regular Premium Reducing Cover Half-Yearly)-Direct Plan-Dividend Reinvestment</t>
  </si>
  <si>
    <t>LIC MF ULIS (10 Yrs. Regular Premium Reducing Cover Half-Yearly)-Regular Plan-Dividend Reinvestment</t>
  </si>
  <si>
    <t>Ignore</t>
  </si>
  <si>
    <t>LIC MF ULIS (10 Yrs. Regular Premium Reducing Cover Monthly)-Direct Plan-Dividend Reinvestment</t>
  </si>
  <si>
    <t>LIC MF ULIS (10 Yrs. Regular Premium Reducing Cover Monthly)-Regular Plan-Dividend Reinvestment</t>
  </si>
  <si>
    <t>LIC MF ULIS (10 Yrs. Regular Premium Reducing Cover Quarterly)-Direct Plan-Dividend Reinvestment</t>
  </si>
  <si>
    <t>LIC MF ULIS (10 Yrs. Regular Premium Reducing Cover Quarterly)-Regular Plan-Dividend Reinvestment</t>
  </si>
  <si>
    <t>LIC MF ULIS (10 Yrs. Regular Premium Reducing Cover Yearly)-Direct Plan-Dividend Reinvestment</t>
  </si>
  <si>
    <t>LIC MF ULIS (10 Yrs. Regular Premium Reducing Cover Yearly)-Regular Plan-Dividend Reinvestment</t>
  </si>
  <si>
    <t>LIC MF ULIS (10 Yrs. Regular Premium Uniform Cover Half-Yearly)-Direct Plan-Dividend Reinvestment</t>
  </si>
  <si>
    <t>LIC MF ULIS (10 Yrs. Regular Premium Uniform Cover Half-Yearly)-Regular Plan-Dividend Reinvestment</t>
  </si>
  <si>
    <t>LIC MF ULIS (10 Yrs. Regular Premium Uniform Cover Monthly)-Direct Plan-Dividend Reinvestment</t>
  </si>
  <si>
    <t>LIC MF ULIS (10 Yrs. Regular Premium Uniform Cover Monthly)-Regular Plan-Dividend Reinvestment</t>
  </si>
  <si>
    <t>LIC MF ULIS (10 Yrs. Regular Premium Uniform Cover Quarterly)-Direct Plan-Dividend Reinvestment</t>
  </si>
  <si>
    <t>LIC MF ULIS (10 Yrs. Regular Premium Uniform Cover Quarterly)-Regular Plan-Dividend Reinvestment</t>
  </si>
  <si>
    <t>LIC MF ULIS (10 Yrs. Regular Premium Uniform Cover Yearly)-Direct Plan-Dividend Reinvestment</t>
  </si>
  <si>
    <t>LIC MF ULIS (10 Yrs. Regular Premium Uniform Cover Yearly)-Regular Plan-Dividend Reinvestment</t>
  </si>
  <si>
    <t>LIC MF ULIS (10 Yrs. Single Premium)-Direct Plan-Dividend Reinvestment</t>
  </si>
  <si>
    <t>LIC MF ULIS (10 Yrs. Single Premium)-Regular Plan-Dividend Reinvestment</t>
  </si>
  <si>
    <t>LIC MF ULIS (15 Yrs. Regular Premium Reducing Cover Half-Yearly)-Direct Plan-Dividend Reinvestment</t>
  </si>
  <si>
    <t>LIC MF ULIS (15 Yrs. Regular Premium Reducing Cover Half-Yearly)-Regular Plan-Dividend Reinvestment</t>
  </si>
  <si>
    <t>LIC MF ULIS (15 Yrs. Regular Premium Reducing Cover Monthly)-Direct Plan-Dividend Reinvestment</t>
  </si>
  <si>
    <t>LIC MF ULIS (15 Yrs. Regular Premium Reducing Cover Monthly)-Regular Plan-Dividend Reinvestment</t>
  </si>
  <si>
    <t>LIC MF ULIS (15 Yrs. Regular Premium Reducing Cover Quarterly)-Direct Plan-Dividend Reinvestment</t>
  </si>
  <si>
    <t>LIC MF ULIS (15 Yrs. Regular Premium Reducing Cover Quarterly)-Regular Plan-Dividend Reinvestment</t>
  </si>
  <si>
    <t>LIC MF ULIS (15 Yrs. Regular Premium Reducing Cover Yearly)-Direct Plan-Dividend Reinvestment</t>
  </si>
  <si>
    <t>LIC MF ULIS (15 Yrs. Regular Premium Reducing Cover Yearly)-Regular Plan-Dividend Reinvestment</t>
  </si>
  <si>
    <t>LIC MF ULIS (15 Yrs. Regular Premium Uniform Cover Half-Yearly)-Direct Plan-Dividend Reinvestment</t>
  </si>
  <si>
    <t>LIC MF ULIS (15 Yrs. Regular Premium Uniform Cover Half-Yearly)-Regular Plan-Dividend Reinvestment</t>
  </si>
  <si>
    <t>LIC MF ULIS (15 Yrs. Regular Premium Uniform Cover Monthly)-Direct Plan-Dividend Reinvestment</t>
  </si>
  <si>
    <t>LIC MF ULIS (15 Yrs. Regular Premium Uniform Cover Monthly)-Regular Plan-Dividend Reinvestment</t>
  </si>
  <si>
    <t>LIC MF ULIS (15 Yrs. Regular Premium Uniform Cover Quarterly)-Direct Plan-Dividend Reinvestment</t>
  </si>
  <si>
    <t>LIC MF ULIS (15 Yrs. Regular Premium Uniform Cover Quarterly)-Regular Plan-Dividend Reinvestment</t>
  </si>
  <si>
    <t>LIC MF ULIS (15 Yrs. Regular Premium Uniform Cover Yearly)-Direct Plan-Dividend Reinvestment</t>
  </si>
  <si>
    <t>LIC MF ULIS (15Yrs. Regular Premium Uniform Cover Yearly)-Regular Plan-Dividend Reinvestment</t>
  </si>
  <si>
    <t>LIC MF ULIS (5 Yrs. Single Premium)-Direct Plan-Dividend Reinvestment</t>
  </si>
  <si>
    <t>LIC MF ULIS (5 Yrs. Single Premium)-Regular Plan-Dividend Reinvestment</t>
  </si>
  <si>
    <t>LIC MF Exchange Traded Fund-Nifty 100</t>
  </si>
  <si>
    <t>LIC MF Exchange Traded Fund-Nifty 50</t>
  </si>
  <si>
    <t>LIC MF Exchange Traded Fund-Sensex</t>
  </si>
  <si>
    <t>LIC MF G-Sec Long Term Exchange Traded Fund</t>
  </si>
  <si>
    <t>LIC MF Capital Protection Oriented Fund-Series 2-Direct Plan-Growth</t>
  </si>
  <si>
    <t>LIC MF Capital Protection Oriented Fund-Series 2-Regular Plan-Dividend Payout</t>
  </si>
  <si>
    <t>LIC MF Capital Protection Oriented Fund-Series 2-Regular Plan-Growth</t>
  </si>
  <si>
    <t>LIC MF Dual Advantage Fixed Term Plan-Series 1-Direct Plan-Dividend Payout</t>
  </si>
  <si>
    <t>LIC MF Dual Advantage Fixed Term Plan-Series 1-Direct Plan-Growth</t>
  </si>
  <si>
    <t>LIC MF Dual Advantage Fixed Term Plan-Series 1-Regular Plan-Dividend Payout</t>
  </si>
  <si>
    <t>LIC MF Dual Advantage Fixed Term Plan-Series 1-Regular Plan-Growth</t>
  </si>
  <si>
    <t>LIC MF Dual Advantage Fixed Term Plan-Series 2-Direct Plan-Dividend Payout</t>
  </si>
  <si>
    <t>LIC MF Dual Advantage Fixed Term Plan-Series 2-Direct Plan-Growth</t>
  </si>
  <si>
    <t>LIC MF Dual Advantage Fixed Term Plan-Series 2-Regular Plan-Dividend Payout</t>
  </si>
  <si>
    <t>LIC MF Dual Advantage Fixed Term Plan-Series 2-Regular Plan-Growth</t>
  </si>
  <si>
    <t>LIC MF Dual Advantage Fixed Term Plan-Series 3-Direct Plan-Dividend Payout</t>
  </si>
  <si>
    <t>LIC MF Dual Advantage Fixed Term Plan-Series 3-Direct Plan-Growth</t>
  </si>
  <si>
    <t>LIC MF Dual Advantage Fixed Term Plan-Series 3-Regular Plan-Dividend Payout</t>
  </si>
  <si>
    <t>LIC MF Dual Advantage Fixed Term Plan-Series 3-Regular Plan-Growth</t>
  </si>
  <si>
    <t>Conkey(scheme code and plan code)</t>
  </si>
  <si>
    <t>Opening Date in</t>
  </si>
  <si>
    <t>Closing Date in</t>
  </si>
  <si>
    <t>NAV_GRP</t>
  </si>
  <si>
    <t>FUND_ID</t>
  </si>
  <si>
    <t>FUND_DESC</t>
  </si>
  <si>
    <t>ACC_GRP</t>
  </si>
  <si>
    <t>ACC_GRP_DESC</t>
  </si>
  <si>
    <t>ACC_NO</t>
  </si>
  <si>
    <t>ACC_SUFFIX</t>
  </si>
  <si>
    <t>ACC_DESC</t>
  </si>
  <si>
    <t>ACC_CURRENCY</t>
  </si>
  <si>
    <t>OP_BAL_DB</t>
  </si>
  <si>
    <t>OP_BAL_CR</t>
  </si>
  <si>
    <t>MOVEMENT_DB</t>
  </si>
  <si>
    <t>MOVEMENT_CR</t>
  </si>
  <si>
    <t>CLO_BAL_DB</t>
  </si>
  <si>
    <t>CLO_BAL_CR</t>
  </si>
  <si>
    <t>OP_BAL_DB_FUND_CURR</t>
  </si>
  <si>
    <t>OP_BAL_CR_FUND_CURR</t>
  </si>
  <si>
    <t>MOVEMENT_DB_FUND_CURR</t>
  </si>
  <si>
    <t>MOVEMENT_CR_FUND_CURR</t>
  </si>
  <si>
    <t>CLO_BAL_DB_FUND_CURR</t>
  </si>
  <si>
    <t>CLO_BAL_CR_FUND_CURR</t>
  </si>
  <si>
    <t>LIC</t>
  </si>
  <si>
    <t>LDBOND</t>
  </si>
  <si>
    <t>COST BONDS</t>
  </si>
  <si>
    <t>Investment - Corp Bond/Debent.</t>
  </si>
  <si>
    <t>INR</t>
  </si>
  <si>
    <t>Investment - Government Bonds</t>
  </si>
  <si>
    <t>Investment - SDLs</t>
  </si>
  <si>
    <t>COST FUNDS</t>
  </si>
  <si>
    <t>Investment Mutual Fund</t>
  </si>
  <si>
    <t>DEPOSIT</t>
  </si>
  <si>
    <t>Investment - CBLO</t>
  </si>
  <si>
    <t>Margin Money Deposits</t>
  </si>
  <si>
    <t>Margin Deposit For CCIL</t>
  </si>
  <si>
    <t>RECEIVABLES</t>
  </si>
  <si>
    <t>Sub. Rec. Control Account</t>
  </si>
  <si>
    <t>Switch in Receivable Ct</t>
  </si>
  <si>
    <t>Due From Broker - Bonds</t>
  </si>
  <si>
    <t>Coupon Receivable</t>
  </si>
  <si>
    <t>Receivable from AMC</t>
  </si>
  <si>
    <t>BANK &amp; OTHER DEPOSITS</t>
  </si>
  <si>
    <t>CCIL Settlement A/C</t>
  </si>
  <si>
    <t>Cash in Bank</t>
  </si>
  <si>
    <t>HDFC Current Account</t>
  </si>
  <si>
    <t>HDFC Bank Ltd</t>
  </si>
  <si>
    <t>Standard Chartered Bank- India</t>
  </si>
  <si>
    <t>ACCRUED INCOME</t>
  </si>
  <si>
    <t>Int Accrual - Corporate Bonds</t>
  </si>
  <si>
    <t>Int Accrual - Government Bonds</t>
  </si>
  <si>
    <t>Int. Accrual - State Dev Loans</t>
  </si>
  <si>
    <t>Amort Receivable - CBLO</t>
  </si>
  <si>
    <t>UNREALISED GAIN/LOSS</t>
  </si>
  <si>
    <t>Prov Unr P/L - CorpBond/Debent</t>
  </si>
  <si>
    <t>Prov Unr P/L - Government Bond</t>
  </si>
  <si>
    <t>Prov Unr P/L - SDLs</t>
  </si>
  <si>
    <t>OTHER PAYABLES</t>
  </si>
  <si>
    <t>Payable - Withhold Brokerage</t>
  </si>
  <si>
    <t>Dividend Payable</t>
  </si>
  <si>
    <t>CGST Payable</t>
  </si>
  <si>
    <t>SGST Payable</t>
  </si>
  <si>
    <t>IGST Payable</t>
  </si>
  <si>
    <t>Redemption Payable Ct</t>
  </si>
  <si>
    <t>Switch Out Payable Ct</t>
  </si>
  <si>
    <t>Due to Broker - Bonds</t>
  </si>
  <si>
    <t>Audit Fee-Payable</t>
  </si>
  <si>
    <t>Other Exp- Payable</t>
  </si>
  <si>
    <t>Expense Allocation-Liab'ity Ac</t>
  </si>
  <si>
    <t>NRI TDS Payable</t>
  </si>
  <si>
    <t>Investor Education Payable</t>
  </si>
  <si>
    <t>Transaction Charges Payable</t>
  </si>
  <si>
    <t>CCIL Charges Payable</t>
  </si>
  <si>
    <t>Brokerage &amp; Dist Exp Payable</t>
  </si>
  <si>
    <t>Upfront Brk &amp; Trail Paid-Liab</t>
  </si>
  <si>
    <t>Payable CGST on Mfees</t>
  </si>
  <si>
    <t>Payable SGST on Mfees</t>
  </si>
  <si>
    <t>Payable -Inv Educ Fund-AMFI</t>
  </si>
  <si>
    <t>EXPENSE ACCRUALS</t>
  </si>
  <si>
    <t>Management Fee Payable</t>
  </si>
  <si>
    <t>PROVISIONS</t>
  </si>
  <si>
    <t>Other Adjustment A/c.</t>
  </si>
  <si>
    <t>Prov For Withholding Brokerage</t>
  </si>
  <si>
    <t>Prov  Withholding Brok 2016-17</t>
  </si>
  <si>
    <t>ISSUE CAPITAL</t>
  </si>
  <si>
    <t>Unit Capital</t>
  </si>
  <si>
    <t>RESERVE CAPITAL</t>
  </si>
  <si>
    <t>Unit Premium Reserve- RG</t>
  </si>
  <si>
    <t>Unit Premium Reserve- RD</t>
  </si>
  <si>
    <t>Unit Premium Reserve-GDP</t>
  </si>
  <si>
    <t>Unit Premium Reserve-DDP</t>
  </si>
  <si>
    <t>Net Earnings</t>
  </si>
  <si>
    <t>REALIZED GAIN DUE TO PRICE</t>
  </si>
  <si>
    <t>R/L G/P - Corp Bonds/Debenture</t>
  </si>
  <si>
    <t>R/L G/P - Government Bonds</t>
  </si>
  <si>
    <t>R/L G/P - SDLs</t>
  </si>
  <si>
    <t>Profit on Sale-Mutual Fd Units</t>
  </si>
  <si>
    <t>R/L Gain - Inter Sch Govt Bond</t>
  </si>
  <si>
    <t>UNREALIZED GL DUE TO PRICE</t>
  </si>
  <si>
    <t>UR/L G/P - Corp Bond/Debenture</t>
  </si>
  <si>
    <t>UR/L G/P - Government Bonds</t>
  </si>
  <si>
    <t>UR/L G/P-SDLs</t>
  </si>
  <si>
    <t>DIVIDEND AND INTEREST INCOME</t>
  </si>
  <si>
    <t>Interest Income - CCIL Margin</t>
  </si>
  <si>
    <t>Int Income - Corporate Bonds</t>
  </si>
  <si>
    <t>Int Income - Government Bonds</t>
  </si>
  <si>
    <t>Int Income - State Dev Loans</t>
  </si>
  <si>
    <t>Amort. Income - CBLO</t>
  </si>
  <si>
    <t>Int Income - Repo Deposits</t>
  </si>
  <si>
    <t>OTHER INCOME</t>
  </si>
  <si>
    <t>Load Income</t>
  </si>
  <si>
    <t>Other Income</t>
  </si>
  <si>
    <t>Interplan Adjustment- RG</t>
  </si>
  <si>
    <t>Interplan Adjustment- RD</t>
  </si>
  <si>
    <t>Interplan Adjustment- GDP</t>
  </si>
  <si>
    <t>Interplan Adjustment- DDP</t>
  </si>
  <si>
    <t>REALIZED LOSS DUE TO PRICE</t>
  </si>
  <si>
    <t>R/L L/P - Corp Bond/Debenture</t>
  </si>
  <si>
    <t>R/L L/P - Government Bonds</t>
  </si>
  <si>
    <t>R/L Loss - Inter Sch Govt Bond</t>
  </si>
  <si>
    <t>FEES</t>
  </si>
  <si>
    <t>SEBI Fees</t>
  </si>
  <si>
    <t>Audit Fee</t>
  </si>
  <si>
    <t>Custody Fee</t>
  </si>
  <si>
    <t>Expense Allocation Account</t>
  </si>
  <si>
    <t>Trustee Fee</t>
  </si>
  <si>
    <t>Bank Charges</t>
  </si>
  <si>
    <t>Investor Education Fund Exps</t>
  </si>
  <si>
    <t>Service Tax on Management Fees</t>
  </si>
  <si>
    <t>CCIL Expenses</t>
  </si>
  <si>
    <t>Out of Pocket Expenses - R&amp;T</t>
  </si>
  <si>
    <t>Other Expenses</t>
  </si>
  <si>
    <t>Other Expenses-RG</t>
  </si>
  <si>
    <t>Other Expenses-RD</t>
  </si>
  <si>
    <t>Other Exp - Brok - Indirect</t>
  </si>
  <si>
    <t>Brokerage/Dist Exps</t>
  </si>
  <si>
    <t>Internal Audit Fee</t>
  </si>
  <si>
    <t>Other Expenses-GDP</t>
  </si>
  <si>
    <t>Other Expenses-DDP</t>
  </si>
  <si>
    <t>Inv Educ Fund Expense - Amfi</t>
  </si>
  <si>
    <t>Transaction Processing Charges</t>
  </si>
  <si>
    <t>Client Servicing Expenes</t>
  </si>
  <si>
    <t>CGST on Reclassify of Exp</t>
  </si>
  <si>
    <t>SGST on Reclassify of Exp</t>
  </si>
  <si>
    <t>CGST on Mfees</t>
  </si>
  <si>
    <t>SGST on Mfees</t>
  </si>
  <si>
    <t>CGST on Mfees -GDP</t>
  </si>
  <si>
    <t>SGST on Mfees -GDP</t>
  </si>
  <si>
    <t>Operating Expenses</t>
  </si>
  <si>
    <t>MANAGEMENT FEE</t>
  </si>
  <si>
    <t>Management Fee</t>
  </si>
  <si>
    <t>Management Fees-RG</t>
  </si>
  <si>
    <t>Management Fees-RD</t>
  </si>
  <si>
    <t>Management Fee-Reclassfication</t>
  </si>
  <si>
    <t>Management Fees-GDP</t>
  </si>
  <si>
    <t>Management Fees-DDP</t>
  </si>
  <si>
    <t>DIVIDEND DISTRIBUTION</t>
  </si>
  <si>
    <t>Dividend Distribution - RD</t>
  </si>
  <si>
    <t>DDT Expense-RD</t>
  </si>
  <si>
    <t>LDCPO2</t>
  </si>
  <si>
    <t>LIC MF Cap Protection Oriented Fund-Sr 2</t>
  </si>
  <si>
    <t>COST EQUITIES</t>
  </si>
  <si>
    <t>Investment - Equities</t>
  </si>
  <si>
    <t>Dividend Receivable</t>
  </si>
  <si>
    <t>Due From Broker - Equities</t>
  </si>
  <si>
    <t>Prov Unr P/L - Equities</t>
  </si>
  <si>
    <t>R/L G/P - Equities</t>
  </si>
  <si>
    <t>UR/L G/P - Equities</t>
  </si>
  <si>
    <t>Dividend Income - Equities</t>
  </si>
  <si>
    <t>R/L L/P - Equities</t>
  </si>
  <si>
    <t>Brokerage_Indirect_Reclassify</t>
  </si>
  <si>
    <t>LDCPO4</t>
  </si>
  <si>
    <t>LIC MF Cap Protection Oriented Fund-Sr 4</t>
  </si>
  <si>
    <t>LDCPO5</t>
  </si>
  <si>
    <t>LIC MF Cap Protection Oriented Fund-Sr 5</t>
  </si>
  <si>
    <t>Dividend Distribution-DDP</t>
  </si>
  <si>
    <t>DDT Expense-DDP</t>
  </si>
  <si>
    <t>LDDAF1</t>
  </si>
  <si>
    <t>LIC MF Dual Advantage Fixed Term Pl-Sr 1</t>
  </si>
  <si>
    <t>Investment - Zero Coupon Bond</t>
  </si>
  <si>
    <t>Amort Receivable-ZCB</t>
  </si>
  <si>
    <t>Prov Unr P/L -ZCB</t>
  </si>
  <si>
    <t>UR/L G/P-ZCB</t>
  </si>
  <si>
    <t>Amort. Income - ZCB</t>
  </si>
  <si>
    <t>LDDAF2</t>
  </si>
  <si>
    <t>LIC MF Dual Advantage Fixed Term Pl-Sr 2</t>
  </si>
  <si>
    <t>LDDAF3</t>
  </si>
  <si>
    <t>LIC MF Dual Advantage Fixed Term Pl-Sr 3</t>
  </si>
  <si>
    <t>LDGETF</t>
  </si>
  <si>
    <t>LIC MF G-Sec Long Term ETF</t>
  </si>
  <si>
    <t>Unit Premium Reserve- G</t>
  </si>
  <si>
    <t>Other Expenses - G</t>
  </si>
  <si>
    <t>Management Fees-G</t>
  </si>
  <si>
    <t>LDGSEC</t>
  </si>
  <si>
    <t>LIC MF Govt. Securities Fund</t>
  </si>
  <si>
    <t>Due From Broker</t>
  </si>
  <si>
    <t>Due to Broker</t>
  </si>
  <si>
    <t>Exp- Additional TER Payable</t>
  </si>
  <si>
    <t>Unit Premium Reserve-PFD</t>
  </si>
  <si>
    <t>Unit Premium Reserve-PFG</t>
  </si>
  <si>
    <t>R/L G/P - Treasury Bills</t>
  </si>
  <si>
    <t>R/L Gain - Inter SchemeT Bills</t>
  </si>
  <si>
    <t>Amort Income -Treasury Bills</t>
  </si>
  <si>
    <t>Interplan Adjustment</t>
  </si>
  <si>
    <t>Interplan Adjustment-PFD</t>
  </si>
  <si>
    <t>Interplan Adjustment-PFG</t>
  </si>
  <si>
    <t>Other Exp-PF Plan-Dividend</t>
  </si>
  <si>
    <t>Other Exp-PF Plan-Growth</t>
  </si>
  <si>
    <t>Exp-Additional TER</t>
  </si>
  <si>
    <t>Mgt Fees-PF Plan-Dividend</t>
  </si>
  <si>
    <t>Mgt Fees-PF Plan-Growth</t>
  </si>
  <si>
    <t>LDINPF</t>
  </si>
  <si>
    <t>LIC MF Income Plus Fund</t>
  </si>
  <si>
    <t>Investment - Treasury Bills</t>
  </si>
  <si>
    <t>Investment - Commercial Paper</t>
  </si>
  <si>
    <t>Due from Counterparty</t>
  </si>
  <si>
    <t>Amort Receivable-CP</t>
  </si>
  <si>
    <t>Amortisation/Accretion-Bills</t>
  </si>
  <si>
    <t>Prov Unr P/L - Treasury Bills</t>
  </si>
  <si>
    <t>Prov Unr P/L -Commercial Paper</t>
  </si>
  <si>
    <t>Payable - Dividend Dist Tax</t>
  </si>
  <si>
    <t>Unit Premium Reserve-RDD</t>
  </si>
  <si>
    <t>Unit Premium Reserve-RWD</t>
  </si>
  <si>
    <t>Unit Premium Reserve-RMD</t>
  </si>
  <si>
    <t>Unit Premium Reserve-MDP</t>
  </si>
  <si>
    <t>Unit Premium Reserve-DPD</t>
  </si>
  <si>
    <t>Unit Premium Reserve-WDP</t>
  </si>
  <si>
    <t>R/L G/P - Cert. of Deposits</t>
  </si>
  <si>
    <t>R/L G/P - CBLO</t>
  </si>
  <si>
    <t>R/L Gain - Inter Sch Bond/Deb</t>
  </si>
  <si>
    <t>R/L Gain - Inter Scheme CP</t>
  </si>
  <si>
    <t>UR/L G/P - Treasury Bills</t>
  </si>
  <si>
    <t>UR/L G/P - Commercial Paper</t>
  </si>
  <si>
    <t>Amort. Income - CP</t>
  </si>
  <si>
    <t>Amort. Income - CD</t>
  </si>
  <si>
    <t>Interplan Adjustment- RDD</t>
  </si>
  <si>
    <t>Interplan Adjustment- RWD</t>
  </si>
  <si>
    <t>Interplan Adjustment- RMD</t>
  </si>
  <si>
    <t>Interplan Adjustment- MDP</t>
  </si>
  <si>
    <t>Interplan Adjustment- DPD</t>
  </si>
  <si>
    <t>Interplan Adjustment- WDP</t>
  </si>
  <si>
    <t>R/L L/P - Treasury Bills</t>
  </si>
  <si>
    <t>R/L Loss - Inter Sch Bond/Deb</t>
  </si>
  <si>
    <t>R/L Loss - Inter Scheme CP</t>
  </si>
  <si>
    <t>R/L Loss - Inter SchemeT Bills</t>
  </si>
  <si>
    <t>Misc Expenses</t>
  </si>
  <si>
    <t>Other Expenses - RDD</t>
  </si>
  <si>
    <t>Other Expenses - RWD</t>
  </si>
  <si>
    <t>Other Expenses - RMD</t>
  </si>
  <si>
    <t>Other Expenses-MDP</t>
  </si>
  <si>
    <t>Other Expenses-DPD</t>
  </si>
  <si>
    <t>Other Expenses-WDP</t>
  </si>
  <si>
    <t>Management Fees - RDD</t>
  </si>
  <si>
    <t>Management Fees - RWD</t>
  </si>
  <si>
    <t>Management Fees - RMD</t>
  </si>
  <si>
    <t>Management Fees-MDP</t>
  </si>
  <si>
    <t>Management Fees-DPD</t>
  </si>
  <si>
    <t>Management Fees-WDP</t>
  </si>
  <si>
    <t>Dividend Dist - RWD</t>
  </si>
  <si>
    <t>Dividend Dist - RDD</t>
  </si>
  <si>
    <t>Dividend Dist - RMD</t>
  </si>
  <si>
    <t>Dividend Distribution-MDP</t>
  </si>
  <si>
    <t>Dividend Distribution-DPD</t>
  </si>
  <si>
    <t>Dividend Distribution-WDP</t>
  </si>
  <si>
    <t>DDT Expense-RWD</t>
  </si>
  <si>
    <t>DDT Expense-RDD</t>
  </si>
  <si>
    <t>DDT Expense-RMD</t>
  </si>
  <si>
    <t>DDT Expense-MDP</t>
  </si>
  <si>
    <t>DDT Expense-DPD</t>
  </si>
  <si>
    <t>DDT Expense-WDP</t>
  </si>
  <si>
    <t>LDMIPF</t>
  </si>
  <si>
    <t>Unit Premium Reserve-RQD</t>
  </si>
  <si>
    <t>Unit Premium Reserve-QDP</t>
  </si>
  <si>
    <t>Unit Premium Reserve-YDP</t>
  </si>
  <si>
    <t>Unit Premium Reserve-RAD</t>
  </si>
  <si>
    <t>R/L G/P - Rights</t>
  </si>
  <si>
    <t>Misc Income</t>
  </si>
  <si>
    <t>Interplan Adjustment- RQD</t>
  </si>
  <si>
    <t>Interplan Adjustment- QDP</t>
  </si>
  <si>
    <t>Interplan Adjustment- YDP</t>
  </si>
  <si>
    <t>Interplan Adjustment-RAD</t>
  </si>
  <si>
    <t>R/L L/P - SDLs</t>
  </si>
  <si>
    <t>Marketing Fees</t>
  </si>
  <si>
    <t>Other Expenses - RQD</t>
  </si>
  <si>
    <t>Other Expenses-QDP</t>
  </si>
  <si>
    <t>Other Expenses-YDP</t>
  </si>
  <si>
    <t>Other Fees-Regular Annual Div</t>
  </si>
  <si>
    <t>Management Fees - RQD</t>
  </si>
  <si>
    <t>Management Fees-Reg Annual Div</t>
  </si>
  <si>
    <t>Management Fees-QDP</t>
  </si>
  <si>
    <t>Management Fees-YDP</t>
  </si>
  <si>
    <t>Dividend Dist - RQD</t>
  </si>
  <si>
    <t>Dividend Distribution-QDP</t>
  </si>
  <si>
    <t>Dividend Distribution-YDP</t>
  </si>
  <si>
    <t>Dividend Distribution-RAD</t>
  </si>
  <si>
    <t>DDT Expense-RQD</t>
  </si>
  <si>
    <t>DDT Expense-QDP</t>
  </si>
  <si>
    <t>DDT Expense-YDP</t>
  </si>
  <si>
    <t>DDT Expense-RAD</t>
  </si>
  <si>
    <t>LDSAPF</t>
  </si>
  <si>
    <t>Investment - Cert of Deposits</t>
  </si>
  <si>
    <t>Amort Receivable-CD</t>
  </si>
  <si>
    <t>Prov Unr P/L - Cert of Deposit</t>
  </si>
  <si>
    <t>CBLO Borrowing A/c</t>
  </si>
  <si>
    <t>Interest Expense Payable</t>
  </si>
  <si>
    <t>R/L G/P - Commercial Paper</t>
  </si>
  <si>
    <t>Gain on Redemption - Debenture</t>
  </si>
  <si>
    <t>R/L Gain - Inter Scheme CD</t>
  </si>
  <si>
    <t>UR/L G/P - Cert. of Deposits</t>
  </si>
  <si>
    <t>Interest Expense</t>
  </si>
  <si>
    <t>R/L L/P - CBLO</t>
  </si>
  <si>
    <t>R/L Loss - Inter Scheme CD</t>
  </si>
  <si>
    <t>Int On Borrowing From Bank</t>
  </si>
  <si>
    <t>CGST on Mfees -Regular</t>
  </si>
  <si>
    <t>SGST on Mfees -Regular</t>
  </si>
  <si>
    <t>Management Fees-Regular</t>
  </si>
  <si>
    <t>LEBALF</t>
  </si>
  <si>
    <t>Due to Broker - Equity</t>
  </si>
  <si>
    <t>STT Payable</t>
  </si>
  <si>
    <t>Load Payable</t>
  </si>
  <si>
    <t>LEBFSF</t>
  </si>
  <si>
    <t>LIC MF Banking and Financial Ser Fund</t>
  </si>
  <si>
    <t>LECHID</t>
  </si>
  <si>
    <t>LIC MF Children’s Gift Fund</t>
  </si>
  <si>
    <t>Prov Unr P/L - Fund of Funds</t>
  </si>
  <si>
    <t>UR/L G/P - Fund of Funds</t>
  </si>
  <si>
    <t>REALIZED GL DUE TO FX</t>
  </si>
  <si>
    <t>Loss On Sale  Mutual Fund Unit</t>
  </si>
  <si>
    <t>LEDEF1</t>
  </si>
  <si>
    <t>LIC MF Diversified Equity Fund-Series 1</t>
  </si>
  <si>
    <t>LEDEF2</t>
  </si>
  <si>
    <t>LIC MF Diversified Equity Fund-Series 2</t>
  </si>
  <si>
    <t>LEEQTF</t>
  </si>
  <si>
    <t>LEGROW</t>
  </si>
  <si>
    <t>LEINFA</t>
  </si>
  <si>
    <t>LIC MF Infrastructure Fund</t>
  </si>
  <si>
    <t>LEINNF</t>
  </si>
  <si>
    <t>LIC MF Index Fund-Nifty Plan</t>
  </si>
  <si>
    <t>Load Payable upto 31-07-2009</t>
  </si>
  <si>
    <t>LEINSX</t>
  </si>
  <si>
    <t>LIC MF Index Fund-Sensex Plan</t>
  </si>
  <si>
    <t>Payable-Tds on Works Contract</t>
  </si>
  <si>
    <t>TDS Payable - Expenses</t>
  </si>
  <si>
    <t>LEMIDF</t>
  </si>
  <si>
    <t>LIC MF Midcap Fund</t>
  </si>
  <si>
    <t>Int Income - Fixed Deposit</t>
  </si>
  <si>
    <t>LERGS3</t>
  </si>
  <si>
    <t>LIC MF RGESS-Series 3</t>
  </si>
  <si>
    <t>LET100</t>
  </si>
  <si>
    <t>LIC MF ETF-Nifty 100</t>
  </si>
  <si>
    <t>Listing Expenses</t>
  </si>
  <si>
    <t>CGST on Mfees -G</t>
  </si>
  <si>
    <t>SGST on Mfees -G</t>
  </si>
  <si>
    <t>LETAXP</t>
  </si>
  <si>
    <t>LETF50</t>
  </si>
  <si>
    <t>LIC MF ETF-Nifty 50</t>
  </si>
  <si>
    <t>LETFSX</t>
  </si>
  <si>
    <t>LIC MF ETF-Sensex</t>
  </si>
  <si>
    <t>LEULIS</t>
  </si>
  <si>
    <t>LIC MF Unit Linked Insurance Sch(ULIS)</t>
  </si>
  <si>
    <t>Claims Pd Recoverable From LIC</t>
  </si>
  <si>
    <t>Dhanaraksha89 -Maturity Bonus</t>
  </si>
  <si>
    <t>LIC - Due to Insurance Premium</t>
  </si>
  <si>
    <t>Outstanding Death Claims</t>
  </si>
  <si>
    <t>CGST on Mfees -DDP</t>
  </si>
  <si>
    <t>SGST on Mfees -DDP</t>
  </si>
  <si>
    <t>LFIFA1</t>
  </si>
  <si>
    <t>LIC MF Interval Fund Annual Plan-Sr 1</t>
  </si>
  <si>
    <t>LFIFM1</t>
  </si>
  <si>
    <t>LIC MF Interval Fund Monthly Pl-Sr 1</t>
  </si>
  <si>
    <t>LFIFQ1</t>
  </si>
  <si>
    <t>LIC MF Interval Fund Quarterly Pl-Sr 1</t>
  </si>
  <si>
    <t>LFIFQ2</t>
  </si>
  <si>
    <t>LIC MF Interval Fund Quarterly Plan-Sr 2</t>
  </si>
  <si>
    <t>LFMP89</t>
  </si>
  <si>
    <t>LIC MF Fixed Maturity Plan-Series 89</t>
  </si>
  <si>
    <t>LFMP90</t>
  </si>
  <si>
    <t>LIC MF Fixed Maturity Plan-Series 90</t>
  </si>
  <si>
    <t>LFMP92</t>
  </si>
  <si>
    <t>LIC MF Fixed Maturity Plan-Series 92</t>
  </si>
  <si>
    <t>LLIQDF</t>
  </si>
  <si>
    <t>Investment - Fixed Deposit</t>
  </si>
  <si>
    <t>Other Receivable</t>
  </si>
  <si>
    <t>Int. Accrual -Fixed Deposit</t>
  </si>
  <si>
    <t>Equalisation Reserve-RG</t>
  </si>
  <si>
    <t>Equalisation Reserve-RDD</t>
  </si>
  <si>
    <t>Equalisation Reserve-GDP</t>
  </si>
  <si>
    <t>Equalisation Reserve-DDP</t>
  </si>
  <si>
    <t>R/L L/P - Commercial Paper</t>
  </si>
  <si>
    <t>R/L L/P - Cert. of Deposits</t>
  </si>
  <si>
    <t>LSPLUS</t>
  </si>
  <si>
    <t>LIC MF Special Unit Scheme</t>
  </si>
  <si>
    <t>LUNCLF</t>
  </si>
  <si>
    <t>LIC MF Unclaimed Redemption &amp; Div Fund</t>
  </si>
  <si>
    <t>Scheme codes as per TB</t>
  </si>
  <si>
    <t>Scheme codes as per Financials</t>
  </si>
  <si>
    <t>Scheme names</t>
  </si>
  <si>
    <t>Schem code as per Financials</t>
  </si>
  <si>
    <t>Mapping code</t>
  </si>
  <si>
    <t>Mapping code Mgmt fees and trustee fees</t>
  </si>
  <si>
    <t>TB mapping(other than Mgmt fees and trustee fees)</t>
  </si>
  <si>
    <t>TB mapping(Mgmt fees and trustee fees)</t>
  </si>
  <si>
    <t>Adjusted total</t>
  </si>
  <si>
    <t>conkey mgmt fees and trustee fees</t>
  </si>
  <si>
    <t>conkey other than mgmt fees and trustee fees</t>
  </si>
  <si>
    <t>ignore</t>
  </si>
  <si>
    <t xml:space="preserve">STANDARD CHARTERED BANK
REGIONAL FUND ADMINISTRATION SERVICE                                                       </t>
  </si>
  <si>
    <t>Fund ID/ Share Type</t>
  </si>
  <si>
    <t>Fund ID</t>
  </si>
  <si>
    <t>Share Type</t>
  </si>
  <si>
    <t>Outstanding Units</t>
  </si>
  <si>
    <t>Plan level Net Assets</t>
  </si>
  <si>
    <t>Unrounded NAV</t>
  </si>
  <si>
    <t>Total Net Assets</t>
  </si>
  <si>
    <t>Net Asset per unit</t>
  </si>
  <si>
    <t>Nav Date</t>
  </si>
  <si>
    <t>AMFI Code</t>
  </si>
  <si>
    <t>RnT Code</t>
  </si>
  <si>
    <t>Rnt Scheme Code</t>
  </si>
  <si>
    <t>Press Code</t>
  </si>
  <si>
    <t>BENCHMARK INDEX</t>
  </si>
  <si>
    <t>FUND TYPE</t>
  </si>
  <si>
    <t>SUB PRICE</t>
  </si>
  <si>
    <t>RED PRICE</t>
  </si>
  <si>
    <t>sec_id</t>
  </si>
  <si>
    <t>Fund Desc</t>
  </si>
  <si>
    <t>Share Class DESC</t>
  </si>
  <si>
    <t>Previous NAV Date</t>
  </si>
  <si>
    <t>Net Asset per unit-Previous rounded</t>
  </si>
  <si>
    <t>Net Asset per unit-Previous Unrounded</t>
  </si>
  <si>
    <t>Movement-Rounded NAV</t>
  </si>
  <si>
    <t>% movement-rounded</t>
  </si>
  <si>
    <t>Annualised Return-rounded</t>
  </si>
  <si>
    <t>Movement-Unrounded NAV</t>
  </si>
  <si>
    <t>% movement-Unrounded</t>
  </si>
  <si>
    <t>Annualised Return-Unrounded</t>
  </si>
  <si>
    <t>IN_FA_FF10</t>
  </si>
  <si>
    <t>IN_FA_FF11</t>
  </si>
  <si>
    <t>IN_FA_FF12</t>
  </si>
  <si>
    <t>IN_FA_FF01</t>
  </si>
  <si>
    <t>IN_FA_FF02</t>
  </si>
  <si>
    <t>IN_FA_FF03</t>
  </si>
  <si>
    <t>IN_FA_FF09</t>
  </si>
  <si>
    <t>LDBONDDDP</t>
  </si>
  <si>
    <t>DDP</t>
  </si>
  <si>
    <t>120278</t>
  </si>
  <si>
    <t>33D1</t>
  </si>
  <si>
    <t>33</t>
  </si>
  <si>
    <t>LI172</t>
  </si>
  <si>
    <t>10</t>
  </si>
  <si>
    <t>DEBT</t>
  </si>
  <si>
    <t>Direct Plan  Dividend Option</t>
  </si>
  <si>
    <t>Direct</t>
  </si>
  <si>
    <t>INF767K01EV2/INF767K01EX8</t>
  </si>
  <si>
    <t>LDBONDGDP</t>
  </si>
  <si>
    <t>GDP</t>
  </si>
  <si>
    <t>120279</t>
  </si>
  <si>
    <t>33G1</t>
  </si>
  <si>
    <t>LI173</t>
  </si>
  <si>
    <t>Direct Plan  Growth Option</t>
  </si>
  <si>
    <t>INF767K01EW0</t>
  </si>
  <si>
    <t>LDBONDRD</t>
  </si>
  <si>
    <t>100314</t>
  </si>
  <si>
    <t>33DP</t>
  </si>
  <si>
    <t>LI001</t>
  </si>
  <si>
    <t>Regular Plan  Dividend Option</t>
  </si>
  <si>
    <t>Regular</t>
  </si>
  <si>
    <t>INF767K01907/INF767K01915</t>
  </si>
  <si>
    <t>LDBONDRG</t>
  </si>
  <si>
    <t>100315</t>
  </si>
  <si>
    <t>33GP</t>
  </si>
  <si>
    <t>LI002</t>
  </si>
  <si>
    <t>Regular Plan  Growth Option</t>
  </si>
  <si>
    <t>INF767K01923</t>
  </si>
  <si>
    <t>LDCPO2DDP</t>
  </si>
  <si>
    <t>126239</t>
  </si>
  <si>
    <t>142D1</t>
  </si>
  <si>
    <t>142</t>
  </si>
  <si>
    <t>L1317</t>
  </si>
  <si>
    <t>LIC MF Capital Protection Oriented Fund-Series 2</t>
  </si>
  <si>
    <t>INF767K01PJ3</t>
  </si>
  <si>
    <t>LDCPO2GDP</t>
  </si>
  <si>
    <t>126380</t>
  </si>
  <si>
    <t>142G1</t>
  </si>
  <si>
    <t>LI318</t>
  </si>
  <si>
    <t>INF767K01PK1</t>
  </si>
  <si>
    <t>LICMFCR2G1</t>
  </si>
  <si>
    <t>LDCPO2RD</t>
  </si>
  <si>
    <t>126382</t>
  </si>
  <si>
    <t>142DP</t>
  </si>
  <si>
    <t>LI315</t>
  </si>
  <si>
    <t>INF767K01PH7</t>
  </si>
  <si>
    <t>LICMFCR2D</t>
  </si>
  <si>
    <t>LDCPO2RG</t>
  </si>
  <si>
    <t>126381</t>
  </si>
  <si>
    <t>142GP</t>
  </si>
  <si>
    <t>LI316</t>
  </si>
  <si>
    <t>INF767K01PI5</t>
  </si>
  <si>
    <t>LICMFCR2G</t>
  </si>
  <si>
    <t>LDDAF1DDP</t>
  </si>
  <si>
    <t>134727</t>
  </si>
  <si>
    <t>172D1</t>
  </si>
  <si>
    <t>172</t>
  </si>
  <si>
    <t>LI426</t>
  </si>
  <si>
    <t>LIC MF Dual Advantage Fixed Term Plan-Series 1</t>
  </si>
  <si>
    <t>INF767K01OE7</t>
  </si>
  <si>
    <t>LICNFA1D1</t>
  </si>
  <si>
    <t>LDDAF1GDP</t>
  </si>
  <si>
    <t>134726</t>
  </si>
  <si>
    <t>172G1</t>
  </si>
  <si>
    <t>LI427</t>
  </si>
  <si>
    <t>INF767K01OF4</t>
  </si>
  <si>
    <t>LICNFA1G1</t>
  </si>
  <si>
    <t>LDDAF1RD</t>
  </si>
  <si>
    <t>134729</t>
  </si>
  <si>
    <t>172DP</t>
  </si>
  <si>
    <t>LI424</t>
  </si>
  <si>
    <t>INF767K01OC1</t>
  </si>
  <si>
    <t>LICNFA1DP</t>
  </si>
  <si>
    <t>LDDAF1RG</t>
  </si>
  <si>
    <t>134728</t>
  </si>
  <si>
    <t>172GP</t>
  </si>
  <si>
    <t>LI425</t>
  </si>
  <si>
    <t>INF767K01OD9</t>
  </si>
  <si>
    <t>LICNFA1GP</t>
  </si>
  <si>
    <t>LDDAF2DDP</t>
  </si>
  <si>
    <t>135345</t>
  </si>
  <si>
    <t>173D1</t>
  </si>
  <si>
    <t>173</t>
  </si>
  <si>
    <t>LI430</t>
  </si>
  <si>
    <t>LIC MF Dual Advantage Fixed Term Plan-Series 2</t>
  </si>
  <si>
    <t>INF767K01OM0</t>
  </si>
  <si>
    <t>LICNFA2D1</t>
  </si>
  <si>
    <t>LDDAF2GDP</t>
  </si>
  <si>
    <t>135346</t>
  </si>
  <si>
    <t>173G1</t>
  </si>
  <si>
    <t>LI431</t>
  </si>
  <si>
    <t>INF767K01ON8</t>
  </si>
  <si>
    <t>LICNFA2G1</t>
  </si>
  <si>
    <t>LDDAF2RD</t>
  </si>
  <si>
    <t>135347</t>
  </si>
  <si>
    <t>173DP</t>
  </si>
  <si>
    <t>LI428</t>
  </si>
  <si>
    <t>INF767K01OK4</t>
  </si>
  <si>
    <t>LICNFA2DP</t>
  </si>
  <si>
    <t>LDDAF2RG</t>
  </si>
  <si>
    <t>135348</t>
  </si>
  <si>
    <t>173GP</t>
  </si>
  <si>
    <t>LI429</t>
  </si>
  <si>
    <t>INF767K01OL2</t>
  </si>
  <si>
    <t>LICNFA2GP</t>
  </si>
  <si>
    <t>LDDAF3DDP</t>
  </si>
  <si>
    <t>135588</t>
  </si>
  <si>
    <t>174D1</t>
  </si>
  <si>
    <t>174</t>
  </si>
  <si>
    <t>LI434</t>
  </si>
  <si>
    <t>LIC MF Dual Advantage Fixed Term Plan-Series 3</t>
  </si>
  <si>
    <t>INF767K01OQ1</t>
  </si>
  <si>
    <t>LICNFA3D1</t>
  </si>
  <si>
    <t>LDDAF3GDP</t>
  </si>
  <si>
    <t>135589</t>
  </si>
  <si>
    <t>174G1</t>
  </si>
  <si>
    <t>LI435</t>
  </si>
  <si>
    <t>INF767K01OR9</t>
  </si>
  <si>
    <t>LICNFA3G1</t>
  </si>
  <si>
    <t>LDDAF3RD</t>
  </si>
  <si>
    <t>135590</t>
  </si>
  <si>
    <t>174DP</t>
  </si>
  <si>
    <t>LI432</t>
  </si>
  <si>
    <t>INF767K01OO6</t>
  </si>
  <si>
    <t>LICNFA3DP</t>
  </si>
  <si>
    <t>LDDAF3RG</t>
  </si>
  <si>
    <t>135591</t>
  </si>
  <si>
    <t>174GP</t>
  </si>
  <si>
    <t>LI433</t>
  </si>
  <si>
    <t>INF767K01OP3</t>
  </si>
  <si>
    <t>LICNFA3GP</t>
  </si>
  <si>
    <t>LDGETFG</t>
  </si>
  <si>
    <t>G</t>
  </si>
  <si>
    <t>133307</t>
  </si>
  <si>
    <t>168GP</t>
  </si>
  <si>
    <t>168</t>
  </si>
  <si>
    <t>LI411</t>
  </si>
  <si>
    <t>Growth Option</t>
  </si>
  <si>
    <t>INF767K01MV5</t>
  </si>
  <si>
    <t>LICNETFGSC</t>
  </si>
  <si>
    <t>LDGSECDDP</t>
  </si>
  <si>
    <t>120283</t>
  </si>
  <si>
    <t>34D1</t>
  </si>
  <si>
    <t>34</t>
  </si>
  <si>
    <t>LI178</t>
  </si>
  <si>
    <t>INF767K01EY6/INF767K01FA3</t>
  </si>
  <si>
    <t>LDGSECGDP</t>
  </si>
  <si>
    <t>120282</t>
  </si>
  <si>
    <t>34G1</t>
  </si>
  <si>
    <t>LI179</t>
  </si>
  <si>
    <t>INF767K01EZ3</t>
  </si>
  <si>
    <t>LDGSECPFD</t>
  </si>
  <si>
    <t>PFD</t>
  </si>
  <si>
    <t>100318</t>
  </si>
  <si>
    <t>34PD</t>
  </si>
  <si>
    <t>LI024</t>
  </si>
  <si>
    <t>PF Plan-Dividend</t>
  </si>
  <si>
    <t>PF</t>
  </si>
  <si>
    <t>INF767K01717/INF767K01725</t>
  </si>
  <si>
    <t>LDGSECPFG</t>
  </si>
  <si>
    <t>PFG</t>
  </si>
  <si>
    <t>100319</t>
  </si>
  <si>
    <t>34PG</t>
  </si>
  <si>
    <t>LI025</t>
  </si>
  <si>
    <t>PF Plan-Growth</t>
  </si>
  <si>
    <t>INF767K01733</t>
  </si>
  <si>
    <t>LDGSECRD</t>
  </si>
  <si>
    <t>100316</t>
  </si>
  <si>
    <t>34DP</t>
  </si>
  <si>
    <t>LI005</t>
  </si>
  <si>
    <t>INF767K01683/INF767K01691</t>
  </si>
  <si>
    <t>LDGSECRG</t>
  </si>
  <si>
    <t>100317</t>
  </si>
  <si>
    <t>34GP</t>
  </si>
  <si>
    <t>LI006</t>
  </si>
  <si>
    <t>INF767K01709</t>
  </si>
  <si>
    <t>LDINPFDPD</t>
  </si>
  <si>
    <t>DPD</t>
  </si>
  <si>
    <t>120337</t>
  </si>
  <si>
    <t>72D1</t>
  </si>
  <si>
    <t>72</t>
  </si>
  <si>
    <t>LI213</t>
  </si>
  <si>
    <t>Direct Plan  Daily Dividend Option</t>
  </si>
  <si>
    <t>INF767K01GJ2/INF767K01GM6</t>
  </si>
  <si>
    <t>LDINPFGDP</t>
  </si>
  <si>
    <t>120338</t>
  </si>
  <si>
    <t>72G1</t>
  </si>
  <si>
    <t>LI214</t>
  </si>
  <si>
    <t>INF767K01GI4</t>
  </si>
  <si>
    <t>LDINPFMDP</t>
  </si>
  <si>
    <t>MDP</t>
  </si>
  <si>
    <t>120339</t>
  </si>
  <si>
    <t>72M1</t>
  </si>
  <si>
    <t>LI215</t>
  </si>
  <si>
    <t>Direct Plan  Monthly Dividend Option</t>
  </si>
  <si>
    <t>INF767K01GK0/INF767K01GN4</t>
  </si>
  <si>
    <t>LDINPFRDD</t>
  </si>
  <si>
    <t>RDD</t>
  </si>
  <si>
    <t>105822</t>
  </si>
  <si>
    <t>72DD</t>
  </si>
  <si>
    <t>LI095</t>
  </si>
  <si>
    <t>Regular Daily Dividend Option</t>
  </si>
  <si>
    <t>INF767K01519/INF767K01527</t>
  </si>
  <si>
    <t>LDINPFRG</t>
  </si>
  <si>
    <t>105823</t>
  </si>
  <si>
    <t>72GP</t>
  </si>
  <si>
    <t>LI096</t>
  </si>
  <si>
    <t>INF767K01535</t>
  </si>
  <si>
    <t>LDINPFRMD</t>
  </si>
  <si>
    <t>RMD</t>
  </si>
  <si>
    <t>105856</t>
  </si>
  <si>
    <t>72MD</t>
  </si>
  <si>
    <t>LI097</t>
  </si>
  <si>
    <t>Regular Plan  Monthly Dividend Option</t>
  </si>
  <si>
    <t>INF767K01543/INF767K01550</t>
  </si>
  <si>
    <t>LDINPFRWD</t>
  </si>
  <si>
    <t>RWD</t>
  </si>
  <si>
    <t>105857</t>
  </si>
  <si>
    <t>72WD</t>
  </si>
  <si>
    <t>LI098</t>
  </si>
  <si>
    <t>Regular Plan  Weekly Dividend Option</t>
  </si>
  <si>
    <t>INF767K01568/INF767K01576</t>
  </si>
  <si>
    <t>LDINPFWDP</t>
  </si>
  <si>
    <t>WDP</t>
  </si>
  <si>
    <t>120336</t>
  </si>
  <si>
    <t>72W1</t>
  </si>
  <si>
    <t>LI216</t>
  </si>
  <si>
    <t>Direct Plan  Weekly Dividend Option</t>
  </si>
  <si>
    <t>INF767K01GL8/INF767K01GO2</t>
  </si>
  <si>
    <t>LDMIPFGDP</t>
  </si>
  <si>
    <t>120276</t>
  </si>
  <si>
    <t>31G1</t>
  </si>
  <si>
    <t>31</t>
  </si>
  <si>
    <t>LI196</t>
  </si>
  <si>
    <t>INF767K01EO7</t>
  </si>
  <si>
    <t>LDMIPFMDP</t>
  </si>
  <si>
    <t>120277</t>
  </si>
  <si>
    <t>31M1</t>
  </si>
  <si>
    <t>LI194</t>
  </si>
  <si>
    <t>INF767K01EP4/INF767K01ES8</t>
  </si>
  <si>
    <t>LDMIPFQDP</t>
  </si>
  <si>
    <t>QDP</t>
  </si>
  <si>
    <t>120274</t>
  </si>
  <si>
    <t>31Q1</t>
  </si>
  <si>
    <t>LI197</t>
  </si>
  <si>
    <t>Direct Plan Quarterly Dividend Option</t>
  </si>
  <si>
    <t>INF767K01EQ2/INF767K01ET6</t>
  </si>
  <si>
    <t>LDMIPFRAD</t>
  </si>
  <si>
    <t>RAD</t>
  </si>
  <si>
    <t>101868</t>
  </si>
  <si>
    <t>31YD</t>
  </si>
  <si>
    <t>LI019</t>
  </si>
  <si>
    <t>Regular Annual Dividend Option</t>
  </si>
  <si>
    <t>INF767K01857/INF767K01865</t>
  </si>
  <si>
    <t>LDMIPFRG</t>
  </si>
  <si>
    <t>101869</t>
  </si>
  <si>
    <t>31GP</t>
  </si>
  <si>
    <t>LI020</t>
  </si>
  <si>
    <t>INF767K01808</t>
  </si>
  <si>
    <t>LDMIPFRMD</t>
  </si>
  <si>
    <t>101866</t>
  </si>
  <si>
    <t>31MD</t>
  </si>
  <si>
    <t>LI018</t>
  </si>
  <si>
    <t>INF767K01816/INF767K01824</t>
  </si>
  <si>
    <t>LDMIPFRQD</t>
  </si>
  <si>
    <t>RQD</t>
  </si>
  <si>
    <t>101867</t>
  </si>
  <si>
    <t>31QD</t>
  </si>
  <si>
    <t>LI029</t>
  </si>
  <si>
    <t>Regular Quarterly Dividend Option</t>
  </si>
  <si>
    <t>INF767K01832/INF767K01840</t>
  </si>
  <si>
    <t>LDMIPFYDP</t>
  </si>
  <si>
    <t>YDP</t>
  </si>
  <si>
    <t>120275</t>
  </si>
  <si>
    <t>31Y1</t>
  </si>
  <si>
    <t>LI195</t>
  </si>
  <si>
    <t>Direct Plan  Annual Dividend Option</t>
  </si>
  <si>
    <t>INF767K01ER0/INF767K01EU4</t>
  </si>
  <si>
    <t>LDSAPFDPD</t>
  </si>
  <si>
    <t>120316</t>
  </si>
  <si>
    <t>40D1</t>
  </si>
  <si>
    <t>40</t>
  </si>
  <si>
    <t>LI200</t>
  </si>
  <si>
    <t>INF767K01FL0/INF767K01FN6</t>
  </si>
  <si>
    <t>LDSAPFGDP</t>
  </si>
  <si>
    <t>120315</t>
  </si>
  <si>
    <t>40G1</t>
  </si>
  <si>
    <t>LI199</t>
  </si>
  <si>
    <t>INF767K01FM8</t>
  </si>
  <si>
    <t>LDSAPFMDP</t>
  </si>
  <si>
    <t>120317</t>
  </si>
  <si>
    <t>40M1</t>
  </si>
  <si>
    <t>LI198</t>
  </si>
  <si>
    <t>INF767K01FP1/INF767K01FO4</t>
  </si>
  <si>
    <t>LDSAPFRDD</t>
  </si>
  <si>
    <t>111676</t>
  </si>
  <si>
    <t>40DD</t>
  </si>
  <si>
    <t>LI152</t>
  </si>
  <si>
    <t>INF767K01AK3/INF767K01AL1</t>
  </si>
  <si>
    <t>LDSAPFRG</t>
  </si>
  <si>
    <t>101830</t>
  </si>
  <si>
    <t>40GP</t>
  </si>
  <si>
    <t>LI022</t>
  </si>
  <si>
    <t>INF767K01AO5</t>
  </si>
  <si>
    <t>LDSAPFRMD</t>
  </si>
  <si>
    <t>101829</t>
  </si>
  <si>
    <t>40DP</t>
  </si>
  <si>
    <t>LI021</t>
  </si>
  <si>
    <t>INF767K01AM9/INF767K01AN7</t>
  </si>
  <si>
    <t>LDSAPFRWD</t>
  </si>
  <si>
    <t>111675</t>
  </si>
  <si>
    <t>40WD</t>
  </si>
  <si>
    <t>LI153</t>
  </si>
  <si>
    <t>INF767K01AP2/INF767K01AQ0</t>
  </si>
  <si>
    <t>LDSAPFWDP</t>
  </si>
  <si>
    <t>120318</t>
  </si>
  <si>
    <t>40W1</t>
  </si>
  <si>
    <t>LI201</t>
  </si>
  <si>
    <t>INF767K01JJ6/INF767K01JK4</t>
  </si>
  <si>
    <t>LEBALFDDP</t>
  </si>
  <si>
    <t>120260</t>
  </si>
  <si>
    <t>08D1</t>
  </si>
  <si>
    <t>08</t>
  </si>
  <si>
    <t>LI183</t>
  </si>
  <si>
    <t>EQTY</t>
  </si>
  <si>
    <t>INF767K01EC2/INF767K01EE8</t>
  </si>
  <si>
    <t>LEBALFGDP</t>
  </si>
  <si>
    <t>120261</t>
  </si>
  <si>
    <t>08G1</t>
  </si>
  <si>
    <t>LI184</t>
  </si>
  <si>
    <t>INF767K01ED0</t>
  </si>
  <si>
    <t>LEBALFRD</t>
  </si>
  <si>
    <t>100321</t>
  </si>
  <si>
    <t>08DP</t>
  </si>
  <si>
    <t>LI023</t>
  </si>
  <si>
    <t>INF767K01022/INF767K01014</t>
  </si>
  <si>
    <t>LEBALFRG</t>
  </si>
  <si>
    <t>100323</t>
  </si>
  <si>
    <t>08GP</t>
  </si>
  <si>
    <t>LI011</t>
  </si>
  <si>
    <t>INF767K01030</t>
  </si>
  <si>
    <t>LEBFSFDDP</t>
  </si>
  <si>
    <t>133908</t>
  </si>
  <si>
    <t>171D1</t>
  </si>
  <si>
    <t>171</t>
  </si>
  <si>
    <t>LI422</t>
  </si>
  <si>
    <t>LIC MF Banking and Financial Services Fund</t>
  </si>
  <si>
    <t>INF767K01NJ8/INF767K01NL4</t>
  </si>
  <si>
    <t>LEBFSFGDP</t>
  </si>
  <si>
    <t>134017</t>
  </si>
  <si>
    <t>171G1</t>
  </si>
  <si>
    <t>LI423</t>
  </si>
  <si>
    <t>INF767K01NK6</t>
  </si>
  <si>
    <t>LEBFSFRD</t>
  </si>
  <si>
    <t>134015</t>
  </si>
  <si>
    <t>171DP</t>
  </si>
  <si>
    <t>LI420</t>
  </si>
  <si>
    <t>INF767K01NG4/INF767K01NI0</t>
  </si>
  <si>
    <t>LEBFSFRG</t>
  </si>
  <si>
    <t>134016</t>
  </si>
  <si>
    <t>171GP</t>
  </si>
  <si>
    <t>LI421</t>
  </si>
  <si>
    <t>INF767K01NH2</t>
  </si>
  <si>
    <t>LECHIDGDP</t>
  </si>
  <si>
    <t>120285</t>
  </si>
  <si>
    <t>35G1</t>
  </si>
  <si>
    <t>35</t>
  </si>
  <si>
    <t>LI185</t>
  </si>
  <si>
    <t>INF767K01FB1</t>
  </si>
  <si>
    <t>LECHIDRG</t>
  </si>
  <si>
    <t>101271</t>
  </si>
  <si>
    <t>35GP</t>
  </si>
  <si>
    <t>LI012</t>
  </si>
  <si>
    <t>INF767K01048</t>
  </si>
  <si>
    <t>LEEQTFDDP</t>
  </si>
  <si>
    <t>120263</t>
  </si>
  <si>
    <t>17D1</t>
  </si>
  <si>
    <t>17</t>
  </si>
  <si>
    <t>LI176</t>
  </si>
  <si>
    <t>INF767K01EF5/INF767K01EH1</t>
  </si>
  <si>
    <t>LEEQTFGDP</t>
  </si>
  <si>
    <t>120264</t>
  </si>
  <si>
    <t>17G1</t>
  </si>
  <si>
    <t>LI177</t>
  </si>
  <si>
    <t>INF767K01EG3</t>
  </si>
  <si>
    <t>LEEQTFRD</t>
  </si>
  <si>
    <t>100312</t>
  </si>
  <si>
    <t>17DP</t>
  </si>
  <si>
    <t>LI030</t>
  </si>
  <si>
    <t>INF767K01063/INF767K01055</t>
  </si>
  <si>
    <t>LEEQTFRG</t>
  </si>
  <si>
    <t>100313</t>
  </si>
  <si>
    <t>17GP</t>
  </si>
  <si>
    <t>LI004</t>
  </si>
  <si>
    <t>INF767K01071</t>
  </si>
  <si>
    <t>LEGROWDDP</t>
  </si>
  <si>
    <t>120268</t>
  </si>
  <si>
    <t>19D1</t>
  </si>
  <si>
    <t>19</t>
  </si>
  <si>
    <t>LI174</t>
  </si>
  <si>
    <t>INF767K01EI9/INF767K01EK5</t>
  </si>
  <si>
    <t>LEGROWGDP</t>
  </si>
  <si>
    <t>120267</t>
  </si>
  <si>
    <t>19G1</t>
  </si>
  <si>
    <t>LI175</t>
  </si>
  <si>
    <t>INF767K01EJ7</t>
  </si>
  <si>
    <t>LEGROWRD</t>
  </si>
  <si>
    <t>100332</t>
  </si>
  <si>
    <t>19DP</t>
  </si>
  <si>
    <t>LI003</t>
  </si>
  <si>
    <t>INF767K01097/INF767K01089</t>
  </si>
  <si>
    <t>LEGROWRG</t>
  </si>
  <si>
    <t>106871</t>
  </si>
  <si>
    <t>19GP</t>
  </si>
  <si>
    <t>LI115</t>
  </si>
  <si>
    <t>INF767K01105</t>
  </si>
  <si>
    <t>LEINFADDP</t>
  </si>
  <si>
    <t>120350</t>
  </si>
  <si>
    <t>86D1</t>
  </si>
  <si>
    <t>86</t>
  </si>
  <si>
    <t>LI221</t>
  </si>
  <si>
    <t>INF767K01GV7/INF767K01GX3</t>
  </si>
  <si>
    <t>LEINFAGDP</t>
  </si>
  <si>
    <t>120351</t>
  </si>
  <si>
    <t>86G1</t>
  </si>
  <si>
    <t>LI222</t>
  </si>
  <si>
    <t>INF767K01GW5</t>
  </si>
  <si>
    <t>LEINFARD</t>
  </si>
  <si>
    <t>107764</t>
  </si>
  <si>
    <t>86DP</t>
  </si>
  <si>
    <t>LI124</t>
  </si>
  <si>
    <t>INF767K01485/INF767K01493</t>
  </si>
  <si>
    <t>LEINFARG</t>
  </si>
  <si>
    <t>107763</t>
  </si>
  <si>
    <t>86GP</t>
  </si>
  <si>
    <t>LI125</t>
  </si>
  <si>
    <t>INF767K01501</t>
  </si>
  <si>
    <t>LEINNFDDP</t>
  </si>
  <si>
    <t>120309</t>
  </si>
  <si>
    <t>38D1</t>
  </si>
  <si>
    <t>38</t>
  </si>
  <si>
    <t>LI190</t>
  </si>
  <si>
    <t>INF767K01FG0/INF767K01FH8</t>
  </si>
  <si>
    <t>LEINNFGDP</t>
  </si>
  <si>
    <t>120307</t>
  </si>
  <si>
    <t>38G1</t>
  </si>
  <si>
    <t>LI191</t>
  </si>
  <si>
    <t>INF767K01FF2</t>
  </si>
  <si>
    <t>LEINNFRD</t>
  </si>
  <si>
    <t>101200</t>
  </si>
  <si>
    <t>38ND</t>
  </si>
  <si>
    <t>LI027</t>
  </si>
  <si>
    <t>INF767K01154/INF767K01147</t>
  </si>
  <si>
    <t>LEINNFRG</t>
  </si>
  <si>
    <t>101201</t>
  </si>
  <si>
    <t>38NG</t>
  </si>
  <si>
    <t>LI016</t>
  </si>
  <si>
    <t>INF767K01162</t>
  </si>
  <si>
    <t>LEINSXDDP</t>
  </si>
  <si>
    <t>120312</t>
  </si>
  <si>
    <t>37D1</t>
  </si>
  <si>
    <t>37</t>
  </si>
  <si>
    <t>LI188</t>
  </si>
  <si>
    <t>INF767K01FI6/INF767K01FK2</t>
  </si>
  <si>
    <t>LEINSXGDP</t>
  </si>
  <si>
    <t>120308</t>
  </si>
  <si>
    <t>37G1</t>
  </si>
  <si>
    <t>LI189</t>
  </si>
  <si>
    <t>INF767K01FJ4</t>
  </si>
  <si>
    <t>LEINSXRD</t>
  </si>
  <si>
    <t>101198</t>
  </si>
  <si>
    <t>37DP</t>
  </si>
  <si>
    <t>LI026</t>
  </si>
  <si>
    <t>INF767K01121/INF767K01113</t>
  </si>
  <si>
    <t>LEINSXRG</t>
  </si>
  <si>
    <t>101199</t>
  </si>
  <si>
    <t>37GP</t>
  </si>
  <si>
    <t>LI015</t>
  </si>
  <si>
    <t>INF767K01139</t>
  </si>
  <si>
    <t>LEMIDFDDP</t>
  </si>
  <si>
    <t>133709</t>
  </si>
  <si>
    <t>170D1</t>
  </si>
  <si>
    <t>170</t>
  </si>
  <si>
    <t>LI418</t>
  </si>
  <si>
    <t>INF767K01ND1/INF767K01NF6</t>
  </si>
  <si>
    <t>LEMIDFGDP</t>
  </si>
  <si>
    <t>133710</t>
  </si>
  <si>
    <t>170G1</t>
  </si>
  <si>
    <t>LI419</t>
  </si>
  <si>
    <t>INF767K01NE9</t>
  </si>
  <si>
    <t>LEMIDFRD</t>
  </si>
  <si>
    <t>133712</t>
  </si>
  <si>
    <t>170DP</t>
  </si>
  <si>
    <t>LI416</t>
  </si>
  <si>
    <t>INF767K01NA7/INF767K01NC3</t>
  </si>
  <si>
    <t>LEMIDFRG</t>
  </si>
  <si>
    <t>133711</t>
  </si>
  <si>
    <t>170GP</t>
  </si>
  <si>
    <t>LI417</t>
  </si>
  <si>
    <t>INF767K01NB5</t>
  </si>
  <si>
    <t>LERGS3DDP</t>
  </si>
  <si>
    <t>133550</t>
  </si>
  <si>
    <t>169D1</t>
  </si>
  <si>
    <t>169</t>
  </si>
  <si>
    <t>LI414</t>
  </si>
  <si>
    <t>LIC MF Rajiv Gandhi Equity Savings Scheme-Series 3</t>
  </si>
  <si>
    <t>INF767K01MY9</t>
  </si>
  <si>
    <t>538960</t>
  </si>
  <si>
    <t>LICNFR3D1</t>
  </si>
  <si>
    <t>LERGS3GDP</t>
  </si>
  <si>
    <t>133581</t>
  </si>
  <si>
    <t>169G1</t>
  </si>
  <si>
    <t>LI415</t>
  </si>
  <si>
    <t>INF767K01MZ6</t>
  </si>
  <si>
    <t>538959</t>
  </si>
  <si>
    <t>LICNFR3G1</t>
  </si>
  <si>
    <t>LERGS3RD</t>
  </si>
  <si>
    <t>133582</t>
  </si>
  <si>
    <t>169DP</t>
  </si>
  <si>
    <t>LI412</t>
  </si>
  <si>
    <t>INF767K01MW3</t>
  </si>
  <si>
    <t>538958</t>
  </si>
  <si>
    <t>LICNFR3D</t>
  </si>
  <si>
    <t>LERGS3RG</t>
  </si>
  <si>
    <t>133583</t>
  </si>
  <si>
    <t>169GP</t>
  </si>
  <si>
    <t>LI413</t>
  </si>
  <si>
    <t>INF767K01MX1</t>
  </si>
  <si>
    <t>538957</t>
  </si>
  <si>
    <t>LICNFR3G</t>
  </si>
  <si>
    <t>LET100G</t>
  </si>
  <si>
    <t>136473</t>
  </si>
  <si>
    <t>177GP</t>
  </si>
  <si>
    <t>177</t>
  </si>
  <si>
    <t>LI438</t>
  </si>
  <si>
    <t>INF767K01PC8</t>
  </si>
  <si>
    <t>539784</t>
  </si>
  <si>
    <t>LICNFNHGP</t>
  </si>
  <si>
    <t>LETAXPDDP</t>
  </si>
  <si>
    <t>120269</t>
  </si>
  <si>
    <t>28D1</t>
  </si>
  <si>
    <t>28</t>
  </si>
  <si>
    <t>LI180</t>
  </si>
  <si>
    <t>INF767K01EL3/INF767K01EN9</t>
  </si>
  <si>
    <t>LETAXPGDP</t>
  </si>
  <si>
    <t>120270</t>
  </si>
  <si>
    <t>28G1</t>
  </si>
  <si>
    <t>LI181</t>
  </si>
  <si>
    <t>INF767K01EM1</t>
  </si>
  <si>
    <t>LETAXPRD</t>
  </si>
  <si>
    <t>100864</t>
  </si>
  <si>
    <t>28DP</t>
  </si>
  <si>
    <t>LI031</t>
  </si>
  <si>
    <t>INF767K01931/INF767K01949</t>
  </si>
  <si>
    <t>LETAXPRG</t>
  </si>
  <si>
    <t>100865</t>
  </si>
  <si>
    <t>28GP</t>
  </si>
  <si>
    <t>LI007</t>
  </si>
  <si>
    <t>INF767K01956</t>
  </si>
  <si>
    <t>LETF50G</t>
  </si>
  <si>
    <t>135607</t>
  </si>
  <si>
    <t>175GP</t>
  </si>
  <si>
    <t>175</t>
  </si>
  <si>
    <t>LI436</t>
  </si>
  <si>
    <t>INF767K01OS7</t>
  </si>
  <si>
    <t>539480</t>
  </si>
  <si>
    <t>LICNETFN50</t>
  </si>
  <si>
    <t>LETFSXG</t>
  </si>
  <si>
    <t>135672</t>
  </si>
  <si>
    <t>176GP</t>
  </si>
  <si>
    <t>176</t>
  </si>
  <si>
    <t>LI437</t>
  </si>
  <si>
    <t>INF767K01OT5</t>
  </si>
  <si>
    <t>539487</t>
  </si>
  <si>
    <t>LICNETFSEN</t>
  </si>
  <si>
    <t>LEULISDDP</t>
  </si>
  <si>
    <t>120259</t>
  </si>
  <si>
    <t>02V4</t>
  </si>
  <si>
    <t>02</t>
  </si>
  <si>
    <t>LI182</t>
  </si>
  <si>
    <t>LIC MF Unit Linked Insurance Scheme(ULIS)</t>
  </si>
  <si>
    <t>INF767K01DO9</t>
  </si>
  <si>
    <t>LEULISRD</t>
  </si>
  <si>
    <t>100325</t>
  </si>
  <si>
    <t>02VS</t>
  </si>
  <si>
    <t>LI008</t>
  </si>
  <si>
    <t>INF767K01964</t>
  </si>
  <si>
    <t>LLIQDFDDP</t>
  </si>
  <si>
    <t>120248</t>
  </si>
  <si>
    <t>36D1</t>
  </si>
  <si>
    <t>36</t>
  </si>
  <si>
    <t>LI186</t>
  </si>
  <si>
    <t>1000</t>
  </si>
  <si>
    <t>LIQD</t>
  </si>
  <si>
    <t>INF767K01DL5/INF767K01DM3</t>
  </si>
  <si>
    <t>LLIQDFGDP</t>
  </si>
  <si>
    <t>120249</t>
  </si>
  <si>
    <t>36G1</t>
  </si>
  <si>
    <t>LI187</t>
  </si>
  <si>
    <t>INF767K01DN1</t>
  </si>
  <si>
    <t>LLIQDFRDD</t>
  </si>
  <si>
    <t>101184</t>
  </si>
  <si>
    <t>36DP</t>
  </si>
  <si>
    <t>LI013</t>
  </si>
  <si>
    <t>INF767K01IQ3/INF767K01IR1</t>
  </si>
  <si>
    <t>LLIQDFRG</t>
  </si>
  <si>
    <t>101185</t>
  </si>
  <si>
    <t>36GP</t>
  </si>
  <si>
    <t>LI014</t>
  </si>
  <si>
    <t>INF767K01IS9</t>
  </si>
  <si>
    <t>LSPLUSG</t>
  </si>
  <si>
    <t>0</t>
  </si>
  <si>
    <t>89</t>
  </si>
  <si>
    <t>LIC Special Unit Scheme</t>
  </si>
  <si>
    <t>LIC89</t>
  </si>
  <si>
    <t>LUNCLFUDL</t>
  </si>
  <si>
    <t>UDL</t>
  </si>
  <si>
    <t>139LD</t>
  </si>
  <si>
    <t>139</t>
  </si>
  <si>
    <t>Unclaimed Dividend less than 3 yrs</t>
  </si>
  <si>
    <t>LIC MF Unclaimed Redemption &amp; Dividend Fund</t>
  </si>
  <si>
    <t>LIC139</t>
  </si>
  <si>
    <t>Unclaimed</t>
  </si>
  <si>
    <t>LUNCLFUDM</t>
  </si>
  <si>
    <t>UDM</t>
  </si>
  <si>
    <t>139GD</t>
  </si>
  <si>
    <t>Unclaimed Dividend more than 3 yrs</t>
  </si>
  <si>
    <t>LUNCLFURL</t>
  </si>
  <si>
    <t>URL</t>
  </si>
  <si>
    <t>139LR</t>
  </si>
  <si>
    <t>Unclaimed Redemption less than 3 yrs</t>
  </si>
  <si>
    <t>LUNCLFURM</t>
  </si>
  <si>
    <t>URM</t>
  </si>
  <si>
    <t>139GR</t>
  </si>
  <si>
    <t>Unclaimed Redemption more than 3 yrs</t>
  </si>
  <si>
    <t>Page -1 of 1</t>
  </si>
  <si>
    <t>scheme code</t>
  </si>
  <si>
    <t>TNA in crores</t>
  </si>
  <si>
    <t>Scheme name as per AMFI NAV feb 2018</t>
  </si>
  <si>
    <t>Final remarks</t>
  </si>
  <si>
    <t xml:space="preserve">Scheme name as per Sep 17 HY financials </t>
  </si>
  <si>
    <t>consideration in Annual March 18</t>
  </si>
  <si>
    <t>consideration in Haly yearly march 18</t>
  </si>
  <si>
    <t>YES</t>
  </si>
  <si>
    <t>Matured during the period Oct March 2018</t>
  </si>
  <si>
    <t>Matured during the period prior to april sep 2017</t>
  </si>
  <si>
    <t>NO</t>
  </si>
  <si>
    <t>vlookup</t>
  </si>
  <si>
    <t>Conkey scheme code and ac des</t>
  </si>
  <si>
    <t>PLAN LEVEL NAV REPORT FROM 31/03/2018 TO 31/03/2018</t>
  </si>
  <si>
    <t>LIC MF Interval Fund Annual Plan-Series 1-Direct Plan-Dividend</t>
  </si>
  <si>
    <t>LIC MF Interval Fund Annual Plan-Series 1-Direct Plan-Growth</t>
  </si>
  <si>
    <t>LIC MF Interval Fund Annual Plan-Series 1-Regular Plan-Dividend</t>
  </si>
  <si>
    <t>LIC MF Interval Fund Annual Plan-Series 1-Regular Plan-Growth</t>
  </si>
  <si>
    <t>LIC MF Interval Fund Monthly Plan-Series 1-Direct Plan-Dividend</t>
  </si>
  <si>
    <t>LIC MF Interval Fund Monthly Plan-Series 1-Direct Plan-Growth</t>
  </si>
  <si>
    <t>LIC MF Interval Fund Monthly Plan-Series 1-Regular Plan-Dividend</t>
  </si>
  <si>
    <t>LIC MF Interval Fund Monthly Plan-Series 1-Regular Plan-Growth</t>
  </si>
  <si>
    <t>LIC MF Interval Fund Quarterly Plan-Series 1-Direct Plan-Dividend</t>
  </si>
  <si>
    <t>LIC MF Interval Fund Quarterly Plan-Series 1-Direct Plan-Growth</t>
  </si>
  <si>
    <t>LIC MF Interval Fund Quarterly Plan-Series 1-Regular Plan-Dividend</t>
  </si>
  <si>
    <t>LIC MF Interval Fund Quarterly Plan-Series 1-Regular Plan-Growth</t>
  </si>
  <si>
    <t>LIC MF Interval Fund Quarterly Plan-Series 2-Direct Plan-Dividend</t>
  </si>
  <si>
    <t>LIC MF Interval Fund Quarterly Plan-Series 2-Direct Plan-Growth</t>
  </si>
  <si>
    <t>LIC MF Interval Fund Quarterly Plan-Series 2-Regular Plan-Dividend</t>
  </si>
  <si>
    <t>LIC MF Interval Fund Quarterly Plan-Series 2-Regular Plan-Growth</t>
  </si>
  <si>
    <t>LIC MF Diversified Equity Fund-Series 1-Direct Plan-Dividend Payout</t>
  </si>
  <si>
    <t>LIC MF Diversified Equity Fund-Series 1-Direct Plan-Growth</t>
  </si>
  <si>
    <t>LIC MF Diversified Equity Fund-Series 1-Regular Plan-Dividend Payout</t>
  </si>
  <si>
    <t>LIC MF Diversified Equity Fund-Series 1-Regular Plan-Growth</t>
  </si>
  <si>
    <t>LIC MF Diversified Equity Fund-Series 2-Direct Plan-Dividend Payout</t>
  </si>
  <si>
    <t>LIC MF Diversified Equity Fund-Series 2-Direct Plan-Growth</t>
  </si>
  <si>
    <t>LIC MF Diversified Equity Fund-Series 2-Regular Plan-Dividend Payout</t>
  </si>
  <si>
    <t>LIC MF Diversified Equity Fund-Series 2-Regular Plan-Growth</t>
  </si>
  <si>
    <t>LIC MF Rajiv Gandhi Equity Savings Scheme-Series 3-Direct Plan-Dividend Payout</t>
  </si>
  <si>
    <t>LIC MF Rajiv Gandhi Equity Savings Scheme-Series 3-Direct Plan-Growth</t>
  </si>
  <si>
    <t>LIC MF Rajiv Gandhi Equity Savings Scheme-Series 3-Regular Plan-Dividend Payout</t>
  </si>
  <si>
    <t>LIC MF Rajiv Gandhi Equity Savings Scheme-Series 3-Regular Plan-Growth</t>
  </si>
  <si>
    <t>LIC MF Capital Protection Oriented Fund-Series 4-Direct Plan-Growth</t>
  </si>
  <si>
    <t>LIC MF Capital Protection Oriented Fund-Series 4-Regular Plan-Dividend Payout</t>
  </si>
  <si>
    <t>LIC MF Capital Protection Oriented Fund-Series 4-Regular Plan-Growth</t>
  </si>
  <si>
    <t>LIC MF Capital Protection Oriented Fund-Series 5-Direct Plan-Dividend Payout</t>
  </si>
  <si>
    <t>LIC MF Capital Protection Oriented Fund-Series 5-Direct Plan-Growth</t>
  </si>
  <si>
    <t>LIC MF Capital Protection Oriented Fund-Series 5-Regular Plan-Dividend Payout</t>
  </si>
  <si>
    <t>LIC MF Capital Protection Oriented Fund-Series 5-Regular Plan-Growth</t>
  </si>
  <si>
    <t>LIC MF Fixed Maturity Plan-Series 86-Direct Plan-Growth</t>
  </si>
  <si>
    <t>LIC MF Fixed Maturity Plan-Series 86-Regular Plan-Dividend Payout</t>
  </si>
  <si>
    <t>LIC MF Fixed Maturity Plan-Series 86-Regular Plan-Growth</t>
  </si>
  <si>
    <t>LIC MF Fixed Maturity Plan-Series 89-Direct Plan-Growth</t>
  </si>
  <si>
    <t>LIC MF Fixed Maturity Plan-Series 89-Regular Plan-Dividend Payout</t>
  </si>
  <si>
    <t>LIC MF Fixed Maturity Plan-Series 89-Regular Plan-Growth</t>
  </si>
  <si>
    <t>LIC MF Fixed Maturity Plan-Series 90-Direct Plan-Dividend Payout</t>
  </si>
  <si>
    <t>LIC MF Fixed Maturity Plan-Series 90-Direct Plan-Growth</t>
  </si>
  <si>
    <t>LIC MF Fixed Maturity Plan-Series 90-Regular Plan-Dividend Payout</t>
  </si>
  <si>
    <t>LIC MF Fixed Maturity Plan-Series 90-Regular Plan-Growth</t>
  </si>
  <si>
    <t>LIC MF Fixed Maturity Plan-Series 92-Direct Plan-Growth</t>
  </si>
  <si>
    <t>LIC MF Fixed Maturity Plan-Series 92-Regular Plan-Dividend Payout</t>
  </si>
  <si>
    <t>LIC MF Fixed Maturity Plan-Series 92-Regular Plan-Growth</t>
  </si>
  <si>
    <t>LIC MF Interval Fund Annual PlanSeries 1</t>
  </si>
  <si>
    <t>LIC MF Interval Fund Monthly PlanSeries 1</t>
  </si>
  <si>
    <t>LIC MF Interval Fund Quarterly PlanSeries 1</t>
  </si>
  <si>
    <t>LIC MF Interval Fund Quarterly PlanSeries 2</t>
  </si>
  <si>
    <t>LIC MF Diversified Equity FundSeries 1</t>
  </si>
  <si>
    <t>LIC MF Diversified Equity FundSeries 2</t>
  </si>
  <si>
    <t>LIC MF Rajiv Gandhi Equity Savings SchemeSeries 3</t>
  </si>
  <si>
    <t>LIC MF Capital Protection Oriented FundSeries 4</t>
  </si>
  <si>
    <t>LIC MF Capital Protection Oriented FundSeries 5</t>
  </si>
  <si>
    <t>LIC MF Fixed Maturity PlanSeries 86</t>
  </si>
  <si>
    <t>LIC MF Fixed Maturity PlanSeries 89</t>
  </si>
  <si>
    <t>LIC MF Fixed Maturity PlanSeries 90</t>
  </si>
  <si>
    <t>LIC MF Fixed Maturity PlanSeries 92</t>
  </si>
  <si>
    <t>Matured during oct to march</t>
  </si>
  <si>
    <t>Matured during apr to sep</t>
  </si>
  <si>
    <t>TRIAL BALANCE MOVEMENT REPORT FROM 31-March-2018 TO 31-March-2018</t>
  </si>
  <si>
    <t>Other Expense-Reclassfication</t>
  </si>
  <si>
    <t>Receivables on Subscription</t>
  </si>
  <si>
    <t>a</t>
  </si>
  <si>
    <t>s</t>
  </si>
  <si>
    <t>d</t>
  </si>
  <si>
    <t>Mgmt Fees</t>
  </si>
  <si>
    <t>Total exp</t>
  </si>
  <si>
    <t>For the period Oct17-March 2018</t>
  </si>
  <si>
    <t>For the period Apr17-Oct 2017</t>
  </si>
  <si>
    <t>As on March 2018</t>
  </si>
  <si>
    <t>AAUM for the period</t>
  </si>
  <si>
    <t>Scheme Code/date</t>
  </si>
  <si>
    <t>AAUM</t>
  </si>
  <si>
    <t>No of days of AAUM</t>
  </si>
  <si>
    <t>Mgmt Fees %</t>
  </si>
  <si>
    <t>Total exp %</t>
  </si>
  <si>
    <t>INVESTMENTS - CBLO</t>
  </si>
  <si>
    <t>INVESTMENTS - EQUITIES</t>
  </si>
  <si>
    <t>INVESTMENTS - DEBENTURES</t>
  </si>
  <si>
    <t>UNREALISED APP/DEP - EQUITIES</t>
  </si>
  <si>
    <t>UNREALISED APP/DEP - DEBENTURES</t>
  </si>
  <si>
    <t>INVESTMENTS - REPO TRANSACTIONS</t>
  </si>
  <si>
    <t>HDFC BANK CURRENT ACCOUNT</t>
  </si>
  <si>
    <t>HDFC BANK</t>
  </si>
  <si>
    <t>SETTLEMENT RECEIVABLE</t>
  </si>
  <si>
    <t>REDEMPTION RECEIVABLE - CBLO</t>
  </si>
  <si>
    <t>REDEMPTION RECEIVABLE - DEBENTURES</t>
  </si>
  <si>
    <t>DIVIDEND RECEIVABLE - EQUITIES</t>
  </si>
  <si>
    <t>INTEREST ACCRUED/NOT DUE - DEBENTURES</t>
  </si>
  <si>
    <t>INTEREST ACCRUED AND DUE - DEBENTURES</t>
  </si>
  <si>
    <t>INTEREST RECEIVABLE - REPO TRANSACTIONS</t>
  </si>
  <si>
    <t>AMORTISATION RECEIVABLE - CBLO</t>
  </si>
  <si>
    <t>AMORTISATION RECEIVABLE - DEBENTURES</t>
  </si>
  <si>
    <t>RECEIVABLE - OTHER INCOME</t>
  </si>
  <si>
    <t>CCIL SETTLEMENT A/C</t>
  </si>
  <si>
    <t>SETTLEMENT PAYABLE</t>
  </si>
  <si>
    <t>EXPENSE ALLOCATION - LIABILITY ACCOUNT</t>
  </si>
  <si>
    <t>PAYABLE - UNITS DIVIDEND TAX</t>
  </si>
  <si>
    <t>PAYABLE - AUDIT FEES</t>
  </si>
  <si>
    <t>PAYABLE - TDS ON EXPENSES</t>
  </si>
  <si>
    <t>TRANSACTION CHARGES PAYABLE - UNIT CAPITAL</t>
  </si>
  <si>
    <t>PAYABLE - TDS ON WORKS CONTRACT</t>
  </si>
  <si>
    <t>PAYABLE - MANAGEMENT FEES</t>
  </si>
  <si>
    <t>PAYABLE - OTHER FEES</t>
  </si>
  <si>
    <t>PAYABLE - OTHER FEES (SELLING &amp; DISTRIBUTION)</t>
  </si>
  <si>
    <t>PAYABLE - SERVICE TAX</t>
  </si>
  <si>
    <t>PAYABLE - TRAIL BROKERAGE</t>
  </si>
  <si>
    <t>PAYABLE - INTERNAL AUDIT FEES</t>
  </si>
  <si>
    <t>CGST EXPS PAYABLE ON MFEES</t>
  </si>
  <si>
    <t>SGST EXPS PAYABLE ON MFEES</t>
  </si>
  <si>
    <t>PAYABLE - INVESTOR EDUCATION FUND</t>
  </si>
  <si>
    <t>PAYABLE - INVESTOR EDUCATION FUND - AMFI</t>
  </si>
  <si>
    <t>Other Liability – CGST on Brokerage A/C</t>
  </si>
  <si>
    <t>Other Liability – SGST on Brokerage A/C</t>
  </si>
  <si>
    <t>Other Liability – IGST on Brokerage A/C</t>
  </si>
  <si>
    <t>DIVIDEND DISTRIBUTION PAYABLE</t>
  </si>
  <si>
    <t>CLIENT SERVICING FEES PAYABLE</t>
  </si>
  <si>
    <t>PROVISION FOR OPERATING EXPENSES</t>
  </si>
  <si>
    <t>PROVISION FOR WITHHOLDING BROKERAGE</t>
  </si>
  <si>
    <t>PROV FOR WITHHOLDING BROKERAGE FY 2016-17</t>
  </si>
  <si>
    <t>PAYABLE - WITHHOLD BROKERAGE</t>
  </si>
  <si>
    <t>UNIT CAPITAL - REGULAR DIV</t>
  </si>
  <si>
    <t>UNIT CAPITAL - REGULAR GROWTH</t>
  </si>
  <si>
    <t>UNIT CAPITAL - DIRECT DIVIDEND</t>
  </si>
  <si>
    <t>UNIT CAPITAL - DIRECT GROWTH</t>
  </si>
  <si>
    <t>UPR - REGULAR GROWTH</t>
  </si>
  <si>
    <t>RESERVES &amp; SURPLUS</t>
  </si>
  <si>
    <t>DIV DISTRIBUTION - REGULAR DIV</t>
  </si>
  <si>
    <t>DIV DISTRIBUTION - DIRECT DIVIDEND</t>
  </si>
  <si>
    <t>DDT - REGULAR DIV</t>
  </si>
  <si>
    <t>DDT - DIRECT DIVIDEND</t>
  </si>
  <si>
    <t>UNREALISED GAIN/LOSS - EQUITIES</t>
  </si>
  <si>
    <t>UNREALISED GAIN/LOSS - DEBENTURES</t>
  </si>
  <si>
    <t>DIVIDEND INCOME - EQUITIES</t>
  </si>
  <si>
    <t>INTEREST INCOME - DEBENTURES</t>
  </si>
  <si>
    <t>INTEREST INCOME - REPO TRANSACTIONS</t>
  </si>
  <si>
    <t>PROFIT ON SALE - EQUITIES</t>
  </si>
  <si>
    <t>AMORTISATION INCOME - CBLO</t>
  </si>
  <si>
    <t>MISCELLEANOUS INCOME</t>
  </si>
  <si>
    <t>LOSS ON SALE - EQUITIES</t>
  </si>
  <si>
    <t>LOSS ON SALE - DEBENTURES</t>
  </si>
  <si>
    <t>LOSS ON REDEMPTION - DEBENTURES</t>
  </si>
  <si>
    <t>MANAGEMENT FEES - REGULAR DIV</t>
  </si>
  <si>
    <t>MANAGEMENT FEES - REGULAR GROWTH</t>
  </si>
  <si>
    <t>MANAGEMENT FEES - DIRECT DIVIDEND</t>
  </si>
  <si>
    <t>MANAGEMENT FEES - DIRECT GROWTH</t>
  </si>
  <si>
    <t>OTHER FEES - REGULAR DIV</t>
  </si>
  <si>
    <t>OTHER FEES - REGULAR GROWTH</t>
  </si>
  <si>
    <t>OTHER FEES - DIRECT DIVIDEND</t>
  </si>
  <si>
    <t>OTHER FEES - DIRECT GROWTH</t>
  </si>
  <si>
    <t>OTHER FEES (SELLING &amp; DISTRIBUTION)</t>
  </si>
  <si>
    <t>SERVICE TAX - MANAGEMENT FEES</t>
  </si>
  <si>
    <t>CGST EXPENSE</t>
  </si>
  <si>
    <t>SGST EXPENSE</t>
  </si>
  <si>
    <t>EXPENSE ALLOCATION ACCOUNT</t>
  </si>
  <si>
    <t>R&amp;T - OTHER CHARGES</t>
  </si>
  <si>
    <t>AUDIT FEES</t>
  </si>
  <si>
    <t>CUSTODIAN FEE</t>
  </si>
  <si>
    <t>TRUSTEE FEES</t>
  </si>
  <si>
    <t>OTHER OPERATING EXPENSES</t>
  </si>
  <si>
    <t>SEBI ANNUAL FEES EXPENSE</t>
  </si>
  <si>
    <t>CCIL CHARGES</t>
  </si>
  <si>
    <t>INTERNAL AUDIT FEES</t>
  </si>
  <si>
    <t>CLIENT SERVICING EXPENES</t>
  </si>
  <si>
    <t>INVESTOR EDUCATION FUND EXPENSE</t>
  </si>
  <si>
    <t>INVESTOR EDUCATION FUND EXPENSE - AMFI</t>
  </si>
  <si>
    <t>INVESTMENTS - ZERO COUPON BOND</t>
  </si>
  <si>
    <t>UNREALISED APP/DEP - ZERO COUPON BOND</t>
  </si>
  <si>
    <t>REDEMPTION RECEIVABLE - ZERO COUPON BOND</t>
  </si>
  <si>
    <t>AMORTISATION RECEIVABLE - ZERO COUPON BOND</t>
  </si>
  <si>
    <t>UNREALISED GAIN/LOSS - ZERO COUPON BOND</t>
  </si>
  <si>
    <t>AMORTISATION INCOME - ZERO COUPON BOND</t>
  </si>
  <si>
    <t>MANAGEMENT FEES</t>
  </si>
  <si>
    <t>INVESTMENTS - MUTUAL FUND UNITS</t>
  </si>
  <si>
    <t>AMC RECEIVABLE / PAYABLE</t>
  </si>
  <si>
    <t>PAYABLE - CUSTODIAN FEE - CUSTODY</t>
  </si>
  <si>
    <t>PROFIT ON SALE - MUTUAL FUND UNITS</t>
  </si>
  <si>
    <t>GAIN ON REDEMPTION - DEBENTURES</t>
  </si>
  <si>
    <t xml:space="preserve">MATURED </t>
  </si>
  <si>
    <t>NAV at the end of the period</t>
  </si>
  <si>
    <t>NAV at the begining of the period</t>
  </si>
  <si>
    <t>010101-CBL</t>
  </si>
  <si>
    <t>110055</t>
  </si>
  <si>
    <t>110700-CBL</t>
  </si>
  <si>
    <t>110800</t>
  </si>
  <si>
    <t>111600-CBL</t>
  </si>
  <si>
    <t>112000</t>
  </si>
  <si>
    <t>113045</t>
  </si>
  <si>
    <t>210100</t>
  </si>
  <si>
    <t>210800</t>
  </si>
  <si>
    <t>211002</t>
  </si>
  <si>
    <t>211014</t>
  </si>
  <si>
    <t>211020</t>
  </si>
  <si>
    <t>211023</t>
  </si>
  <si>
    <t>211035</t>
  </si>
  <si>
    <t>211036</t>
  </si>
  <si>
    <t>211070</t>
  </si>
  <si>
    <t>212010</t>
  </si>
  <si>
    <t>212026</t>
  </si>
  <si>
    <t>212028</t>
  </si>
  <si>
    <t>212029</t>
  </si>
  <si>
    <t>212053</t>
  </si>
  <si>
    <t>212069</t>
  </si>
  <si>
    <t>212072</t>
  </si>
  <si>
    <t>212073</t>
  </si>
  <si>
    <t>212080</t>
  </si>
  <si>
    <t>212086</t>
  </si>
  <si>
    <t>212180</t>
  </si>
  <si>
    <t>212183</t>
  </si>
  <si>
    <t>212184</t>
  </si>
  <si>
    <t>212187</t>
  </si>
  <si>
    <t>213100</t>
  </si>
  <si>
    <t>213311</t>
  </si>
  <si>
    <t>213322</t>
  </si>
  <si>
    <t>213323</t>
  </si>
  <si>
    <t>216149</t>
  </si>
  <si>
    <t>310100-RD</t>
  </si>
  <si>
    <t>310100-RG</t>
  </si>
  <si>
    <t>310100-ZD</t>
  </si>
  <si>
    <t>310100-ZG</t>
  </si>
  <si>
    <t>310110-RG</t>
  </si>
  <si>
    <t>310110-ZG</t>
  </si>
  <si>
    <t>310200</t>
  </si>
  <si>
    <t>310201-RD</t>
  </si>
  <si>
    <t>310201-ZD</t>
  </si>
  <si>
    <t>310202-RD</t>
  </si>
  <si>
    <t>310202-ZD</t>
  </si>
  <si>
    <t>611500-CBL</t>
  </si>
  <si>
    <t>611500-TBL</t>
  </si>
  <si>
    <t>620004</t>
  </si>
  <si>
    <t>810300</t>
  </si>
  <si>
    <t>810325</t>
  </si>
  <si>
    <t>810325-RD</t>
  </si>
  <si>
    <t>810325-RG</t>
  </si>
  <si>
    <t>810325-ZD</t>
  </si>
  <si>
    <t>810325-ZG</t>
  </si>
  <si>
    <t>810328</t>
  </si>
  <si>
    <t>810705</t>
  </si>
  <si>
    <t>810707</t>
  </si>
  <si>
    <t>816000</t>
  </si>
  <si>
    <t>816004</t>
  </si>
  <si>
    <t>816005</t>
  </si>
  <si>
    <t>816008</t>
  </si>
  <si>
    <t>816021</t>
  </si>
  <si>
    <t>816031</t>
  </si>
  <si>
    <t>816033</t>
  </si>
  <si>
    <t>816034</t>
  </si>
  <si>
    <t>816036</t>
  </si>
  <si>
    <t>816069</t>
  </si>
  <si>
    <t>816070</t>
  </si>
  <si>
    <t>816080</t>
  </si>
  <si>
    <t>816180</t>
  </si>
  <si>
    <t>RECEIVABLE - UNITS SUBSCRIPTION</t>
  </si>
  <si>
    <t>PAYABLE - UNITS REDEMPTION</t>
  </si>
  <si>
    <t>PAYABLE - TRUSTEE FEES</t>
  </si>
  <si>
    <t>PAYABLE - SWITCH OUT</t>
  </si>
  <si>
    <t>UPR - DIRECT GROWTH</t>
  </si>
  <si>
    <t>AMORTISATION INCOME - TREASURY BILL</t>
  </si>
  <si>
    <t>OTHER FEES</t>
  </si>
  <si>
    <t>BANK CHARGES</t>
  </si>
  <si>
    <t>080100-REPO</t>
  </si>
  <si>
    <t>110074</t>
  </si>
  <si>
    <t>HDFC BANK COLLECTION ACCOUNT</t>
  </si>
  <si>
    <t>110120</t>
  </si>
  <si>
    <t>111502-REPO</t>
  </si>
  <si>
    <t>211077</t>
  </si>
  <si>
    <t>212027</t>
  </si>
  <si>
    <t>TDS PAYABLE ON UNIT REDEMPTIONS - NRI</t>
  </si>
  <si>
    <t>213319</t>
  </si>
  <si>
    <t>310110-RD</t>
  </si>
  <si>
    <t>UPR - REGULAR DIV</t>
  </si>
  <si>
    <t>310110-ZD</t>
  </si>
  <si>
    <t>UPR - DIRECT DIVIDEND</t>
  </si>
  <si>
    <t>610403-REPO</t>
  </si>
  <si>
    <t>112011</t>
  </si>
  <si>
    <t>810300-RD</t>
  </si>
  <si>
    <t>810300-RG</t>
  </si>
  <si>
    <t>810300-ZD</t>
  </si>
  <si>
    <t>810300-ZG</t>
  </si>
  <si>
    <t>810701</t>
  </si>
  <si>
    <t>010101-NCD</t>
  </si>
  <si>
    <t>010101-ZCB</t>
  </si>
  <si>
    <t>010110-NCD</t>
  </si>
  <si>
    <t>010110-ZCB</t>
  </si>
  <si>
    <t>110700-NCD</t>
  </si>
  <si>
    <t>110700-ZCB</t>
  </si>
  <si>
    <t>111500-NCD</t>
  </si>
  <si>
    <t>111501-NCD</t>
  </si>
  <si>
    <t>111600-NCD</t>
  </si>
  <si>
    <t>111600-ZCB</t>
  </si>
  <si>
    <t>500000-NCD</t>
  </si>
  <si>
    <t>500000-ZCB</t>
  </si>
  <si>
    <t>610401-NCD</t>
  </si>
  <si>
    <t>611500-ZCB</t>
  </si>
  <si>
    <t>810010-NCD</t>
  </si>
  <si>
    <t>810011-NCD</t>
  </si>
  <si>
    <t>010101-EQU</t>
  </si>
  <si>
    <t>010101-MFU</t>
  </si>
  <si>
    <t>010110-EQU</t>
  </si>
  <si>
    <t>110200</t>
  </si>
  <si>
    <t>111000-EQU</t>
  </si>
  <si>
    <t>500000-EQU</t>
  </si>
  <si>
    <t>610102-EQU</t>
  </si>
  <si>
    <t>611000-EQU</t>
  </si>
  <si>
    <t>611000-MFU</t>
  </si>
  <si>
    <t>810010-EQU</t>
  </si>
  <si>
    <t>611200-NCD</t>
  </si>
  <si>
    <t>DB</t>
  </si>
  <si>
    <t>SCB</t>
  </si>
  <si>
    <t>Scheme matured during the half year ended March 31, 2018</t>
  </si>
  <si>
    <t>NAV at the beginning for Liquid Fund is as on 30.09.2017. For all other funds NAV is as on 29.09.2017</t>
  </si>
  <si>
    <t>NAV at the end for Liquid Fund is as on 31.03.2018. For all other funds NAV is as on 28.03.2018</t>
  </si>
  <si>
    <t>^</t>
  </si>
  <si>
    <t>LIC MF Childrens Gift Fund^</t>
  </si>
  <si>
    <t>LIC MF Childrens Gift Fund was formerly known as LIC MF Childrens Fund</t>
  </si>
  <si>
    <t>LIC MF Government Securities Fund</t>
  </si>
  <si>
    <t>LIC MF Interval Fund Quarterly - 1 @@</t>
  </si>
  <si>
    <t>LIC MF Interval Fund  Monthly - 1 @@</t>
  </si>
  <si>
    <t>LIC MF Interval Fund  Yearly - 1 @@</t>
  </si>
  <si>
    <t>LIC MF Interval Fund Quarterly -2 @@</t>
  </si>
  <si>
    <t>LIC MF Capital Protection Oriented Fund Series 2</t>
  </si>
  <si>
    <t>LIC MF Capital Protection Oriented Fund Series 5 @@</t>
  </si>
  <si>
    <t>LIC MF Fixed Maturity  Plan – Series 89 @@</t>
  </si>
  <si>
    <t>LIC MF Fixed Maturity Plan – Series 90 @@</t>
  </si>
  <si>
    <t>LIC MF Diversified Equity Fund Series-2(1100 Days) @@</t>
  </si>
  <si>
    <t>LIC MF Fixed Maturity Plan Series 92(1100 Days) @@</t>
  </si>
  <si>
    <t>LIC MF RGESS Fund Series 3 @@</t>
  </si>
  <si>
    <t>LIC MF Banking And Financial Services Fund</t>
  </si>
  <si>
    <t>LIC MF Dual Advantage Fixed Term Plan-Series-1</t>
  </si>
  <si>
    <t>LIC MF Dual Advantage Fixed Term Plan- Series 2</t>
  </si>
  <si>
    <t>LIC MF Dual Advantage Fixed Term Plan- Series 3</t>
  </si>
  <si>
    <t>LIC MF Exchange Traded Fund – Nifty 100</t>
  </si>
  <si>
    <t>Scheme code</t>
  </si>
  <si>
    <t>Row Labels</t>
  </si>
  <si>
    <t>Sum of Net value</t>
  </si>
  <si>
    <t>Grand Total</t>
  </si>
  <si>
    <t>There has been no change in the accounting policy during the half-year ended March 31, 2018.</t>
  </si>
  <si>
    <t>Commission Paid to asssociates parties/group companies of sponsor/AMC as on March 31, 2018  - ANNEXURE  1</t>
  </si>
  <si>
    <t>Octobe 1, 2017 to March 31, 2018</t>
  </si>
  <si>
    <t>October 01, 2017 to March 31, 2018</t>
  </si>
  <si>
    <t>GL-LIC MF GILT FUND</t>
  </si>
  <si>
    <t>SPECIAL UNIT SCHEME LICMF</t>
  </si>
  <si>
    <t>LF-LIC MF LIQUID FUND</t>
  </si>
  <si>
    <t>LIFE INSURANCE CORPORATION OF INDIA</t>
  </si>
  <si>
    <t>LP-LIC MF INCOME PLUS FUND</t>
  </si>
  <si>
    <t>Bonus declared during the half year ended March 31, 2018 - NIL.</t>
  </si>
  <si>
    <t>Deferred revenve expenditure (Rs. in Crores) Written off during the half year ended March 31, 2018 - NIL</t>
  </si>
  <si>
    <t>Investment made in foreign countires during the half year ended March 31, 2018 - NIL</t>
  </si>
  <si>
    <t>Borrowings, if any, above 10% of Net Assets of any scheme during the half year ended March 31, 2018  : NIL</t>
  </si>
  <si>
    <t>LIC MF Unit Linked Insurance Scheme</t>
  </si>
  <si>
    <t>Scheme Benchmark</t>
  </si>
  <si>
    <t>Additional Benchmark</t>
  </si>
  <si>
    <t>Aggregate cost of acquisition during the period ended March 31, 2018 
(Rupees in Lakhs)</t>
  </si>
  <si>
    <t>Outstanding as on March 31, 2018 (Rupees in Lakhs)</t>
  </si>
  <si>
    <t>Asian Paints Ltd</t>
  </si>
  <si>
    <t>LIC MF RGESS Fund Series 2</t>
  </si>
  <si>
    <t>Canara Bank</t>
  </si>
  <si>
    <t>LIC MF Diversified equity fund series-1</t>
  </si>
  <si>
    <t>LIC MF Diversified equity fund series-2</t>
  </si>
  <si>
    <t>Dewan Housing Finance Corporation Limited</t>
  </si>
  <si>
    <t>Hindustan Zinc Ltd</t>
  </si>
  <si>
    <t>LIC MF Fixed Maturity Plan Series 86</t>
  </si>
  <si>
    <t>LIC MF Fixed Maturity Plan Series 89 - 1100 Days</t>
  </si>
  <si>
    <t>LIC MF Fixed Maturity Plan Series 90 - 1100 Days</t>
  </si>
  <si>
    <t>IDBI Bank Limited</t>
  </si>
  <si>
    <t>LIC MF Fixed maturity plan series 85</t>
  </si>
  <si>
    <t>Indian Overseas Bank</t>
  </si>
  <si>
    <t>Interglobe Aviation Ltd</t>
  </si>
  <si>
    <t>LIC MF Capital Protection oriented fund - Series 4</t>
  </si>
  <si>
    <t>Larsen And Toubro Limited</t>
  </si>
  <si>
    <t>LIC Housing Finance Limited</t>
  </si>
  <si>
    <t>Maruti Suzuki India Limited</t>
  </si>
  <si>
    <t>Multicommodity Exchange Of India Ltd</t>
  </si>
  <si>
    <t>National Bank For Agriculture &amp; Rural Development</t>
  </si>
  <si>
    <t>Reliance Industries Ltd</t>
  </si>
  <si>
    <t>LIC MF Interval Fund - Series 1</t>
  </si>
  <si>
    <t>SREI Equipment Finance Ltd</t>
  </si>
  <si>
    <t>Syndicate Bank</t>
  </si>
  <si>
    <t>Tata Consultancy Services Ltd</t>
  </si>
  <si>
    <t>Tata Steel Limited</t>
  </si>
  <si>
    <t>The Lakshmi Vilas Bank Ltd</t>
  </si>
  <si>
    <t>LIC MF Gilt Fund</t>
  </si>
  <si>
    <t>The Ratnakar Bank Ltd</t>
  </si>
  <si>
    <t>Wipro Limited</t>
  </si>
  <si>
    <t>L&amp;T Finance Ltd.(Subsidiary Of Larsen And Tubro Limited)</t>
  </si>
  <si>
    <t>L&amp;T Housing Finance Ltd.(Subsidiary Of Larsen And Tubro Limited)</t>
  </si>
  <si>
    <t>L&amp;T Infrastructure Finance Co. Ltd.(Subsidiary Of Larsen And Tubro Limited)</t>
  </si>
  <si>
    <t>Reliance Jio Infocomm Ltd(Subsidiary Of Reliance Industries Limited)</t>
  </si>
  <si>
    <t>Reliance Retail Ltd(Subsidiary Of Reliance Industries Limited)</t>
  </si>
  <si>
    <t>L And T Fincorp Ltd.(Subsidiary Of Larsen And Tubro Limited)</t>
  </si>
  <si>
    <t>Larsen &amp; Toubro Infotech Ltd.(Subsidiary Of Larsen And Tubro Limited)</t>
  </si>
  <si>
    <t>L&amp;T Infra Debt Fund Ltd.(Subsidiary Of Larsen And Tubro Limited)</t>
  </si>
  <si>
    <t>Tata Sponge Iron Ltd(Subsidiary Of Tata Sponge Limited)</t>
  </si>
  <si>
    <t>L&amp;T Finance Holdings Ltd.(Subsidiary Of Larsen And Tubro Limited)</t>
  </si>
  <si>
    <t xml:space="preserve">LIC MF Childrens Gift Fund </t>
  </si>
  <si>
    <t>LICMF CHILDRENS GIFT FUND</t>
  </si>
  <si>
    <t xml:space="preserve"> Additional Bench mark Indices for the schemes </t>
  </si>
  <si>
    <t>CRISIL Hybrid 35+65 - Aggressive Index</t>
  </si>
  <si>
    <t>NIFTY 50-TRI</t>
  </si>
  <si>
    <t>S&amp;P BSE Sensex-TRI</t>
  </si>
  <si>
    <t>CRISIL Hybrid 85+15 - Conservative Index</t>
  </si>
  <si>
    <t>CRISIL 10 Year Gilt Index</t>
  </si>
  <si>
    <t>I-Sec Composite Index</t>
  </si>
  <si>
    <t>CRISIL Liquid Fund Index</t>
  </si>
  <si>
    <t>CRISIL 1 Year T-Bill Index</t>
  </si>
  <si>
    <t>S&amp;P BSE 100-TRI</t>
  </si>
  <si>
    <t>Nifty 8-13 yr G-Sec</t>
  </si>
  <si>
    <t>NIFTY Midcap 100-TRI</t>
  </si>
  <si>
    <t>S&amp;P BSE Bankex Index-TRI</t>
  </si>
  <si>
    <t>NIFTY 100-TRI</t>
  </si>
  <si>
    <t>% of total value of transaction of the Fund</t>
  </si>
  <si>
    <t>Commission Paid
(Rs)</t>
  </si>
  <si>
    <t>% of total Commission paid by the Fund</t>
  </si>
  <si>
    <t>Value of Transaction In 
(Rs)</t>
  </si>
  <si>
    <t xml:space="preserve">% of total value
of transaction of the fund </t>
  </si>
  <si>
    <t>Value of transaction 
(Rs)</t>
  </si>
  <si>
    <t>% of total
brokerage paid by
the fund</t>
  </si>
  <si>
    <t>Brokerage
(Rs)</t>
  </si>
  <si>
    <t>Exposure if any, of more than 10% of Net Assets of any scheme investing in derivative products during the half year ended March 31, 2018 : NIL.</t>
  </si>
  <si>
    <t>Bank charges paid by the fund 
Amt in Rs.</t>
  </si>
  <si>
    <r>
      <t>The above unaudited Financial Results have been approved by the Board of LIC Mutual Fund Trustee Pvt Ltd in their meeting held on</t>
    </r>
    <r>
      <rPr>
        <sz val="10"/>
        <color rgb="FFFF0000"/>
        <rFont val="Arial"/>
        <family val="2"/>
      </rPr>
      <t xml:space="preserve"> 23rd April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</si>
</sst>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0.00_);\(0.00\)"/>
    <numFmt numFmtId="167" formatCode="0.0000000000000_);\(0.0000000000000\)"/>
    <numFmt numFmtId="168" formatCode="0.0000"/>
    <numFmt numFmtId="169" formatCode="_(* #,##0.0000_);_(* \(#,##0.0000\);_(* &quot;-&quot;??_);_(@_)"/>
    <numFmt numFmtId="170" formatCode="#,##0.0000"/>
    <numFmt numFmtId="171" formatCode="#,##0.00&quot;@&quot;"/>
    <numFmt numFmtId="172" formatCode="#,##\(0.00\)&quot;@&quot;"/>
    <numFmt numFmtId="173" formatCode="0.0"/>
    <numFmt numFmtId="174" formatCode="[$-409]d\-mmm\-yy;@"/>
    <numFmt numFmtId="175" formatCode="#,##0.00_ ;[Red]\-#,##0.00\ "/>
    <numFmt numFmtId="176" formatCode="\ dd\-mmmm\-yyyy"/>
    <numFmt numFmtId="177" formatCode="h\:mm\ AM/PM"/>
    <numFmt numFmtId="178" formatCode="\ dd\-mmm\-yyyy"/>
    <numFmt numFmtId="179" formatCode="hh\:mm\:ss\ 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u/>
      <sz val="10"/>
      <name val="Arial"/>
      <family val="2"/>
    </font>
    <font>
      <sz val="10"/>
      <color indexed="62"/>
      <name val="Calibri"/>
      <family val="2"/>
    </font>
    <font>
      <u/>
      <sz val="10"/>
      <name val="Arial"/>
      <family val="2"/>
    </font>
    <font>
      <sz val="10"/>
      <color indexed="48"/>
      <name val="Arial"/>
      <family val="2"/>
    </font>
    <font>
      <b/>
      <sz val="10"/>
      <color indexed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 tint="0.499984740745262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 Unicode MS"/>
      <family val="2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2" tint="-0.89999084444715716"/>
      <name val="Calibri"/>
      <family val="2"/>
    </font>
    <font>
      <b/>
      <sz val="11"/>
      <color theme="2" tint="-0.89999084444715716"/>
      <name val="Calibri"/>
      <family val="2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 applyNumberFormat="0" applyFill="0" applyBorder="0" applyAlignment="0" applyProtection="0"/>
    <xf numFmtId="0" fontId="1" fillId="0" borderId="0"/>
    <xf numFmtId="0" fontId="20" fillId="0" borderId="0">
      <alignment vertical="top"/>
    </xf>
  </cellStyleXfs>
  <cellXfs count="352">
    <xf numFmtId="0" fontId="0" fillId="0" borderId="0" xfId="0"/>
    <xf numFmtId="0" fontId="2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/>
    <xf numFmtId="2" fontId="3" fillId="0" borderId="0" xfId="0" applyNumberFormat="1" applyFont="1" applyFill="1" applyBorder="1"/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0" fontId="3" fillId="0" borderId="0" xfId="0" applyFont="1" applyFill="1"/>
    <xf numFmtId="0" fontId="2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4" fontId="3" fillId="0" borderId="0" xfId="0" applyNumberFormat="1" applyFont="1" applyFill="1"/>
    <xf numFmtId="164" fontId="3" fillId="0" borderId="0" xfId="1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  <xf numFmtId="0" fontId="5" fillId="0" borderId="0" xfId="0" applyFont="1" applyFill="1"/>
    <xf numFmtId="0" fontId="4" fillId="0" borderId="0" xfId="0" applyFont="1" applyFill="1"/>
    <xf numFmtId="4" fontId="4" fillId="0" borderId="0" xfId="0" applyNumberFormat="1" applyFont="1" applyFill="1"/>
    <xf numFmtId="0" fontId="4" fillId="0" borderId="0" xfId="0" applyFont="1" applyFill="1" applyBorder="1" applyAlignment="1"/>
    <xf numFmtId="39" fontId="3" fillId="0" borderId="0" xfId="0" applyNumberFormat="1" applyFont="1" applyFill="1" applyBorder="1"/>
    <xf numFmtId="4" fontId="3" fillId="0" borderId="0" xfId="0" applyNumberFormat="1" applyFont="1" applyFill="1" applyBorder="1"/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8" fontId="3" fillId="0" borderId="0" xfId="0" applyNumberFormat="1" applyFont="1" applyFill="1" applyBorder="1"/>
    <xf numFmtId="164" fontId="3" fillId="0" borderId="0" xfId="1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/>
    <xf numFmtId="0" fontId="5" fillId="0" borderId="0" xfId="0" applyFont="1" applyFill="1" applyBorder="1"/>
    <xf numFmtId="0" fontId="3" fillId="0" borderId="0" xfId="0" applyFont="1" applyFill="1" applyBorder="1" applyAlignment="1">
      <alignment horizontal="left"/>
    </xf>
    <xf numFmtId="169" fontId="3" fillId="0" borderId="0" xfId="1" applyNumberFormat="1" applyFont="1" applyFill="1" applyBorder="1"/>
    <xf numFmtId="169" fontId="3" fillId="0" borderId="0" xfId="0" applyNumberFormat="1" applyFont="1" applyFill="1"/>
    <xf numFmtId="164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/>
    <xf numFmtId="164" fontId="3" fillId="0" borderId="0" xfId="1" applyNumberFormat="1" applyFont="1" applyFill="1"/>
    <xf numFmtId="168" fontId="3" fillId="0" borderId="0" xfId="1" applyNumberFormat="1" applyFont="1" applyFill="1"/>
    <xf numFmtId="170" fontId="3" fillId="0" borderId="0" xfId="0" applyNumberFormat="1" applyFont="1" applyFill="1"/>
    <xf numFmtId="164" fontId="5" fillId="0" borderId="0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66" fontId="3" fillId="0" borderId="0" xfId="0" applyNumberFormat="1" applyFont="1" applyFill="1" applyAlignment="1">
      <alignment horizontal="right"/>
    </xf>
    <xf numFmtId="171" fontId="3" fillId="0" borderId="0" xfId="1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 vertical="center"/>
    </xf>
    <xf numFmtId="172" fontId="3" fillId="0" borderId="0" xfId="1" applyNumberFormat="1" applyFont="1" applyFill="1" applyBorder="1" applyAlignment="1">
      <alignment horizontal="right"/>
    </xf>
    <xf numFmtId="172" fontId="3" fillId="0" borderId="0" xfId="0" applyNumberFormat="1" applyFont="1" applyFill="1" applyAlignment="1">
      <alignment horizontal="right"/>
    </xf>
    <xf numFmtId="171" fontId="3" fillId="0" borderId="0" xfId="0" applyNumberFormat="1" applyFont="1" applyFill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0" borderId="3" xfId="0" applyFont="1" applyFill="1" applyBorder="1"/>
    <xf numFmtId="166" fontId="3" fillId="0" borderId="3" xfId="1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171" fontId="3" fillId="0" borderId="0" xfId="1" applyNumberFormat="1" applyFont="1" applyFill="1" applyBorder="1"/>
    <xf numFmtId="10" fontId="2" fillId="0" borderId="0" xfId="0" applyNumberFormat="1" applyFont="1" applyFill="1"/>
    <xf numFmtId="173" fontId="3" fillId="0" borderId="0" xfId="0" applyNumberFormat="1" applyFont="1" applyFill="1" applyBorder="1"/>
    <xf numFmtId="10" fontId="3" fillId="0" borderId="0" xfId="0" applyNumberFormat="1" applyFont="1" applyFill="1" applyBorder="1"/>
    <xf numFmtId="10" fontId="3" fillId="0" borderId="0" xfId="0" applyNumberFormat="1" applyFont="1" applyFill="1" applyBorder="1" applyAlignment="1">
      <alignment horizontal="right"/>
    </xf>
    <xf numFmtId="10" fontId="3" fillId="0" borderId="0" xfId="0" applyNumberFormat="1" applyFont="1" applyFill="1"/>
    <xf numFmtId="166" fontId="3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/>
    <xf numFmtId="174" fontId="4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2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7" fillId="0" borderId="0" xfId="0" applyFont="1" applyFill="1" applyBorder="1"/>
    <xf numFmtId="2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/>
    </xf>
    <xf numFmtId="2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/>
    <xf numFmtId="4" fontId="3" fillId="0" borderId="0" xfId="1" applyNumberFormat="1" applyFont="1" applyFill="1" applyBorder="1"/>
    <xf numFmtId="171" fontId="3" fillId="0" borderId="0" xfId="1" applyNumberFormat="1" applyFont="1" applyFill="1"/>
    <xf numFmtId="0" fontId="2" fillId="0" borderId="0" xfId="0" applyFont="1" applyFill="1" applyBorder="1"/>
    <xf numFmtId="0" fontId="3" fillId="0" borderId="0" xfId="0" quotePrefix="1" applyFont="1" applyFill="1" applyBorder="1"/>
    <xf numFmtId="15" fontId="3" fillId="0" borderId="0" xfId="0" applyNumberFormat="1" applyFont="1" applyFill="1" applyBorder="1"/>
    <xf numFmtId="0" fontId="3" fillId="0" borderId="0" xfId="2" applyFont="1" applyFill="1" applyBorder="1"/>
    <xf numFmtId="0" fontId="8" fillId="0" borderId="0" xfId="2" applyFont="1" applyFill="1"/>
    <xf numFmtId="0" fontId="3" fillId="0" borderId="0" xfId="2" applyFont="1" applyFill="1"/>
    <xf numFmtId="175" fontId="3" fillId="0" borderId="0" xfId="2" applyNumberFormat="1" applyFont="1" applyFill="1"/>
    <xf numFmtId="175" fontId="3" fillId="0" borderId="0" xfId="2" applyNumberFormat="1" applyFont="1" applyFill="1" applyBorder="1"/>
    <xf numFmtId="2" fontId="3" fillId="0" borderId="0" xfId="2" applyNumberFormat="1" applyFont="1" applyFill="1" applyBorder="1"/>
    <xf numFmtId="0" fontId="9" fillId="0" borderId="0" xfId="2" applyFont="1" applyFill="1"/>
    <xf numFmtId="0" fontId="3" fillId="0" borderId="0" xfId="2" applyFont="1" applyFill="1" applyAlignment="1">
      <alignment horizontal="right"/>
    </xf>
    <xf numFmtId="0" fontId="3" fillId="0" borderId="4" xfId="2" applyFont="1" applyFill="1" applyBorder="1"/>
    <xf numFmtId="0" fontId="4" fillId="0" borderId="0" xfId="2" applyFont="1" applyFill="1" applyAlignment="1">
      <alignment horizontal="right"/>
    </xf>
    <xf numFmtId="0" fontId="7" fillId="0" borderId="4" xfId="2" applyFont="1" applyFill="1" applyBorder="1"/>
    <xf numFmtId="0" fontId="4" fillId="0" borderId="0" xfId="2" applyFont="1" applyFill="1" applyBorder="1" applyAlignment="1"/>
    <xf numFmtId="175" fontId="4" fillId="0" borderId="0" xfId="2" applyNumberFormat="1" applyFont="1" applyFill="1" applyBorder="1" applyAlignment="1">
      <alignment wrapText="1"/>
    </xf>
    <xf numFmtId="175" fontId="3" fillId="0" borderId="0" xfId="1" applyNumberFormat="1" applyFont="1" applyFill="1" applyBorder="1"/>
    <xf numFmtId="2" fontId="3" fillId="0" borderId="0" xfId="2" applyNumberFormat="1" applyFont="1" applyFill="1" applyBorder="1" applyAlignment="1">
      <alignment horizontal="center"/>
    </xf>
    <xf numFmtId="0" fontId="4" fillId="0" borderId="0" xfId="2" applyFont="1" applyFill="1" applyBorder="1"/>
    <xf numFmtId="0" fontId="3" fillId="0" borderId="0" xfId="3" applyFont="1" applyFill="1"/>
    <xf numFmtId="0" fontId="2" fillId="0" borderId="0" xfId="3" applyFont="1" applyFill="1"/>
    <xf numFmtId="0" fontId="4" fillId="0" borderId="0" xfId="2" applyFont="1" applyFill="1"/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/>
    <xf numFmtId="0" fontId="4" fillId="0" borderId="0" xfId="3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left"/>
    </xf>
    <xf numFmtId="0" fontId="4" fillId="0" borderId="4" xfId="3" applyFont="1" applyFill="1" applyBorder="1" applyAlignment="1">
      <alignment horizontal="center" wrapText="1"/>
    </xf>
    <xf numFmtId="0" fontId="4" fillId="0" borderId="4" xfId="3" applyFont="1" applyFill="1" applyBorder="1" applyAlignment="1">
      <alignment horizontal="center"/>
    </xf>
    <xf numFmtId="0" fontId="3" fillId="0" borderId="4" xfId="3" applyFont="1" applyFill="1" applyBorder="1"/>
    <xf numFmtId="164" fontId="4" fillId="3" borderId="4" xfId="1" applyNumberFormat="1" applyFont="1" applyFill="1" applyBorder="1" applyAlignment="1">
      <alignment horizontal="right" vertical="center" wrapText="1"/>
    </xf>
    <xf numFmtId="164" fontId="4" fillId="3" borderId="4" xfId="1" applyNumberFormat="1" applyFont="1" applyFill="1" applyBorder="1" applyAlignment="1">
      <alignment horizontal="center" vertical="center" wrapText="1" readingOrder="1"/>
    </xf>
    <xf numFmtId="164" fontId="4" fillId="0" borderId="4" xfId="1" applyNumberFormat="1" applyFont="1" applyFill="1" applyBorder="1" applyAlignment="1">
      <alignment horizontal="right" wrapText="1"/>
    </xf>
    <xf numFmtId="164" fontId="4" fillId="0" borderId="4" xfId="1" applyNumberFormat="1" applyFont="1" applyFill="1" applyBorder="1" applyAlignment="1">
      <alignment horizontal="center" wrapText="1"/>
    </xf>
    <xf numFmtId="164" fontId="3" fillId="0" borderId="4" xfId="1" applyNumberFormat="1" applyFont="1" applyFill="1" applyBorder="1" applyAlignment="1">
      <alignment horizontal="right" wrapText="1"/>
    </xf>
    <xf numFmtId="164" fontId="3" fillId="0" borderId="4" xfId="1" applyNumberFormat="1" applyFont="1" applyFill="1" applyBorder="1" applyAlignment="1">
      <alignment horizontal="center" wrapText="1"/>
    </xf>
    <xf numFmtId="164" fontId="4" fillId="0" borderId="5" xfId="1" applyNumberFormat="1" applyFont="1" applyFill="1" applyBorder="1" applyAlignment="1">
      <alignment horizontal="right" wrapText="1"/>
    </xf>
    <xf numFmtId="164" fontId="3" fillId="0" borderId="4" xfId="1" applyNumberFormat="1" applyFont="1" applyFill="1" applyBorder="1" applyAlignment="1">
      <alignment horizontal="right"/>
    </xf>
    <xf numFmtId="2" fontId="3" fillId="0" borderId="4" xfId="1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0" fontId="12" fillId="0" borderId="0" xfId="3" applyFont="1" applyFill="1" applyAlignment="1"/>
    <xf numFmtId="0" fontId="4" fillId="0" borderId="0" xfId="3" applyFont="1" applyFill="1" applyBorder="1" applyAlignment="1"/>
    <xf numFmtId="0" fontId="0" fillId="0" borderId="0" xfId="0" applyFill="1"/>
    <xf numFmtId="0" fontId="0" fillId="0" borderId="0" xfId="0" applyFont="1" applyFill="1"/>
    <xf numFmtId="15" fontId="0" fillId="0" borderId="0" xfId="0" applyNumberFormat="1"/>
    <xf numFmtId="0" fontId="0" fillId="0" borderId="0" xfId="0" applyAlignment="1">
      <alignment wrapText="1"/>
    </xf>
    <xf numFmtId="0" fontId="20" fillId="0" borderId="0" xfId="5">
      <alignment vertical="top"/>
    </xf>
    <xf numFmtId="4" fontId="20" fillId="0" borderId="0" xfId="5" applyNumberFormat="1">
      <alignment vertical="top"/>
    </xf>
    <xf numFmtId="0" fontId="18" fillId="0" borderId="0" xfId="0" applyFont="1" applyFill="1" applyBorder="1"/>
    <xf numFmtId="0" fontId="20" fillId="5" borderId="0" xfId="5" applyFill="1">
      <alignment vertical="top"/>
    </xf>
    <xf numFmtId="4" fontId="20" fillId="5" borderId="0" xfId="5" applyNumberFormat="1" applyFill="1">
      <alignment vertical="top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178" fontId="0" fillId="0" borderId="0" xfId="0" applyNumberFormat="1" applyAlignment="1">
      <alignment vertical="top"/>
    </xf>
    <xf numFmtId="0" fontId="0" fillId="0" borderId="4" xfId="0" applyBorder="1" applyAlignment="1">
      <alignment wrapText="1"/>
    </xf>
    <xf numFmtId="0" fontId="0" fillId="0" borderId="4" xfId="0" applyBorder="1"/>
    <xf numFmtId="0" fontId="19" fillId="0" borderId="4" xfId="0" applyFont="1" applyFill="1" applyBorder="1"/>
    <xf numFmtId="0" fontId="15" fillId="0" borderId="4" xfId="0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Fill="1" applyBorder="1" applyAlignment="1">
      <alignment horizontal="left"/>
    </xf>
    <xf numFmtId="0" fontId="0" fillId="5" borderId="0" xfId="0" applyFill="1" applyAlignment="1">
      <alignment vertical="top"/>
    </xf>
    <xf numFmtId="2" fontId="0" fillId="5" borderId="0" xfId="0" applyNumberFormat="1" applyFill="1" applyAlignment="1">
      <alignment vertical="top"/>
    </xf>
    <xf numFmtId="14" fontId="0" fillId="0" borderId="0" xfId="0" applyNumberFormat="1" applyAlignment="1">
      <alignment vertical="top"/>
    </xf>
    <xf numFmtId="179" fontId="0" fillId="0" borderId="0" xfId="0" applyNumberFormat="1" applyAlignment="1">
      <alignment vertical="top"/>
    </xf>
    <xf numFmtId="0" fontId="21" fillId="0" borderId="0" xfId="0" applyFont="1"/>
    <xf numFmtId="0" fontId="18" fillId="0" borderId="4" xfId="0" applyFont="1" applyFill="1" applyBorder="1"/>
    <xf numFmtId="0" fontId="0" fillId="0" borderId="4" xfId="0" applyFill="1" applyBorder="1"/>
    <xf numFmtId="0" fontId="0" fillId="0" borderId="0" xfId="0" applyFill="1" applyBorder="1"/>
    <xf numFmtId="176" fontId="0" fillId="0" borderId="0" xfId="0" applyNumberFormat="1" applyAlignment="1">
      <alignment vertical="top"/>
    </xf>
    <xf numFmtId="177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2" fontId="0" fillId="0" borderId="0" xfId="0" applyNumberFormat="1"/>
    <xf numFmtId="0" fontId="22" fillId="0" borderId="0" xfId="0" applyFont="1" applyFill="1" applyBorder="1"/>
    <xf numFmtId="0" fontId="0" fillId="0" borderId="0" xfId="0" applyNumberFormat="1" applyAlignment="1">
      <alignment vertical="top"/>
    </xf>
    <xf numFmtId="2" fontId="20" fillId="5" borderId="0" xfId="5" applyNumberFormat="1" applyFill="1">
      <alignment vertical="top"/>
    </xf>
    <xf numFmtId="0" fontId="20" fillId="0" borderId="0" xfId="5" applyFill="1">
      <alignment vertical="top"/>
    </xf>
    <xf numFmtId="4" fontId="22" fillId="7" borderId="16" xfId="0" applyNumberFormat="1" applyFont="1" applyFill="1" applyBorder="1" applyAlignment="1">
      <alignment horizontal="right" vertical="center" wrapText="1"/>
    </xf>
    <xf numFmtId="0" fontId="0" fillId="0" borderId="0" xfId="0" applyNumberFormat="1"/>
    <xf numFmtId="1" fontId="22" fillId="7" borderId="16" xfId="0" applyNumberFormat="1" applyFont="1" applyFill="1" applyBorder="1" applyAlignment="1">
      <alignment horizontal="left" vertical="center" wrapText="1"/>
    </xf>
    <xf numFmtId="0" fontId="20" fillId="0" borderId="0" xfId="5" applyFont="1" applyFill="1">
      <alignment vertical="top"/>
    </xf>
    <xf numFmtId="0" fontId="20" fillId="5" borderId="0" xfId="5" applyFont="1" applyFill="1">
      <alignment vertical="top"/>
    </xf>
    <xf numFmtId="0" fontId="0" fillId="6" borderId="4" xfId="0" applyFill="1" applyBorder="1"/>
    <xf numFmtId="2" fontId="0" fillId="0" borderId="4" xfId="0" applyNumberFormat="1" applyBorder="1"/>
    <xf numFmtId="2" fontId="0" fillId="5" borderId="4" xfId="0" applyNumberFormat="1" applyFill="1" applyBorder="1"/>
    <xf numFmtId="0" fontId="23" fillId="5" borderId="4" xfId="0" applyFont="1" applyFill="1" applyBorder="1"/>
    <xf numFmtId="0" fontId="17" fillId="5" borderId="4" xfId="0" applyFont="1" applyFill="1" applyBorder="1"/>
    <xf numFmtId="4" fontId="0" fillId="0" borderId="4" xfId="0" applyNumberFormat="1" applyBorder="1"/>
    <xf numFmtId="0" fontId="6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16" xfId="0" applyFont="1" applyFill="1" applyBorder="1"/>
    <xf numFmtId="164" fontId="3" fillId="0" borderId="16" xfId="1" applyNumberFormat="1" applyFont="1" applyFill="1" applyBorder="1" applyAlignment="1">
      <alignment horizontal="right"/>
    </xf>
    <xf numFmtId="0" fontId="3" fillId="0" borderId="16" xfId="0" applyFont="1" applyFill="1" applyBorder="1"/>
    <xf numFmtId="164" fontId="3" fillId="0" borderId="12" xfId="1" applyNumberFormat="1" applyFont="1" applyFill="1" applyBorder="1" applyAlignment="1">
      <alignment horizontal="right"/>
    </xf>
    <xf numFmtId="168" fontId="3" fillId="0" borderId="16" xfId="0" applyNumberFormat="1" applyFont="1" applyFill="1" applyBorder="1"/>
    <xf numFmtId="164" fontId="3" fillId="0" borderId="16" xfId="1" applyNumberFormat="1" applyFont="1" applyFill="1" applyBorder="1" applyAlignment="1">
      <alignment horizontal="left"/>
    </xf>
    <xf numFmtId="164" fontId="3" fillId="0" borderId="16" xfId="1" applyNumberFormat="1" applyFont="1" applyFill="1" applyBorder="1" applyAlignment="1"/>
    <xf numFmtId="164" fontId="3" fillId="0" borderId="12" xfId="1" applyNumberFormat="1" applyFont="1" applyFill="1" applyBorder="1" applyAlignment="1">
      <alignment horizontal="left"/>
    </xf>
    <xf numFmtId="2" fontId="3" fillId="0" borderId="16" xfId="0" applyNumberFormat="1" applyFont="1" applyFill="1" applyBorder="1"/>
    <xf numFmtId="0" fontId="3" fillId="0" borderId="12" xfId="0" applyFont="1" applyFill="1" applyBorder="1"/>
    <xf numFmtId="0" fontId="3" fillId="0" borderId="11" xfId="0" applyFont="1" applyFill="1" applyBorder="1"/>
    <xf numFmtId="164" fontId="3" fillId="0" borderId="16" xfId="1" applyNumberFormat="1" applyFont="1" applyFill="1" applyBorder="1" applyAlignment="1">
      <alignment horizontal="center"/>
    </xf>
    <xf numFmtId="164" fontId="3" fillId="0" borderId="16" xfId="1" applyNumberFormat="1" applyFont="1" applyFill="1" applyBorder="1"/>
    <xf numFmtId="164" fontId="3" fillId="0" borderId="12" xfId="1" applyNumberFormat="1" applyFont="1" applyFill="1" applyBorder="1" applyAlignment="1">
      <alignment horizontal="center"/>
    </xf>
    <xf numFmtId="2" fontId="3" fillId="0" borderId="12" xfId="0" applyNumberFormat="1" applyFont="1" applyFill="1" applyBorder="1"/>
    <xf numFmtId="168" fontId="3" fillId="0" borderId="16" xfId="1" applyNumberFormat="1" applyFont="1" applyFill="1" applyBorder="1"/>
    <xf numFmtId="164" fontId="3" fillId="0" borderId="12" xfId="1" applyNumberFormat="1" applyFont="1" applyFill="1" applyBorder="1"/>
    <xf numFmtId="164" fontId="5" fillId="0" borderId="16" xfId="1" applyNumberFormat="1" applyFont="1" applyFill="1" applyBorder="1" applyAlignment="1">
      <alignment horizontal="right"/>
    </xf>
    <xf numFmtId="164" fontId="5" fillId="0" borderId="12" xfId="1" applyNumberFormat="1" applyFont="1" applyFill="1" applyBorder="1" applyAlignment="1">
      <alignment horizontal="right"/>
    </xf>
    <xf numFmtId="0" fontId="4" fillId="0" borderId="16" xfId="0" applyFont="1" applyFill="1" applyBorder="1" applyAlignment="1">
      <alignment horizontal="center"/>
    </xf>
    <xf numFmtId="2" fontId="4" fillId="0" borderId="16" xfId="0" applyNumberFormat="1" applyFont="1" applyFill="1" applyBorder="1"/>
    <xf numFmtId="166" fontId="3" fillId="0" borderId="16" xfId="0" applyNumberFormat="1" applyFont="1" applyFill="1" applyBorder="1" applyAlignment="1">
      <alignment horizontal="right"/>
    </xf>
    <xf numFmtId="166" fontId="3" fillId="0" borderId="12" xfId="0" applyNumberFormat="1" applyFont="1" applyFill="1" applyBorder="1" applyAlignment="1">
      <alignment horizontal="right"/>
    </xf>
    <xf numFmtId="166" fontId="3" fillId="0" borderId="16" xfId="1" applyNumberFormat="1" applyFont="1" applyFill="1" applyBorder="1" applyAlignment="1">
      <alignment horizontal="right"/>
    </xf>
    <xf numFmtId="166" fontId="3" fillId="0" borderId="12" xfId="1" applyNumberFormat="1" applyFont="1" applyFill="1" applyBorder="1" applyAlignment="1">
      <alignment horizontal="right"/>
    </xf>
    <xf numFmtId="0" fontId="3" fillId="0" borderId="16" xfId="0" applyFont="1" applyFill="1" applyBorder="1" applyAlignment="1">
      <alignment horizontal="right"/>
    </xf>
    <xf numFmtId="0" fontId="3" fillId="0" borderId="12" xfId="0" applyFont="1" applyFill="1" applyBorder="1" applyAlignment="1">
      <alignment horizontal="right"/>
    </xf>
    <xf numFmtId="173" fontId="3" fillId="0" borderId="11" xfId="0" applyNumberFormat="1" applyFont="1" applyFill="1" applyBorder="1"/>
    <xf numFmtId="10" fontId="3" fillId="0" borderId="16" xfId="0" applyNumberFormat="1" applyFont="1" applyFill="1" applyBorder="1"/>
    <xf numFmtId="10" fontId="3" fillId="0" borderId="16" xfId="0" applyNumberFormat="1" applyFont="1" applyFill="1" applyBorder="1" applyAlignment="1">
      <alignment horizontal="right"/>
    </xf>
    <xf numFmtId="10" fontId="3" fillId="0" borderId="12" xfId="0" applyNumberFormat="1" applyFont="1" applyFill="1" applyBorder="1" applyAlignment="1">
      <alignment horizontal="right"/>
    </xf>
    <xf numFmtId="174" fontId="4" fillId="0" borderId="16" xfId="0" applyNumberFormat="1" applyFont="1" applyFill="1" applyBorder="1" applyAlignment="1">
      <alignment horizontal="right"/>
    </xf>
    <xf numFmtId="174" fontId="4" fillId="0" borderId="12" xfId="0" applyNumberFormat="1" applyFont="1" applyFill="1" applyBorder="1" applyAlignment="1">
      <alignment horizontal="right"/>
    </xf>
    <xf numFmtId="2" fontId="3" fillId="0" borderId="16" xfId="0" applyNumberFormat="1" applyFont="1" applyFill="1" applyBorder="1" applyAlignment="1">
      <alignment horizontal="right"/>
    </xf>
    <xf numFmtId="0" fontId="7" fillId="0" borderId="11" xfId="0" applyFont="1" applyFill="1" applyBorder="1"/>
    <xf numFmtId="2" fontId="3" fillId="0" borderId="11" xfId="0" applyNumberFormat="1" applyFont="1" applyFill="1" applyBorder="1"/>
    <xf numFmtId="0" fontId="24" fillId="0" borderId="0" xfId="0" applyFont="1"/>
    <xf numFmtId="0" fontId="25" fillId="0" borderId="0" xfId="0" applyFont="1"/>
    <xf numFmtId="15" fontId="25" fillId="0" borderId="0" xfId="0" applyNumberFormat="1" applyFont="1"/>
    <xf numFmtId="0" fontId="17" fillId="0" borderId="0" xfId="0" applyFont="1"/>
    <xf numFmtId="0" fontId="17" fillId="4" borderId="0" xfId="0" applyFont="1" applyFill="1"/>
    <xf numFmtId="0" fontId="26" fillId="4" borderId="0" xfId="0" applyFont="1" applyFill="1"/>
    <xf numFmtId="0" fontId="27" fillId="0" borderId="0" xfId="0" applyFont="1" applyFill="1" applyBorder="1"/>
    <xf numFmtId="1" fontId="22" fillId="7" borderId="17" xfId="0" applyNumberFormat="1" applyFont="1" applyFill="1" applyBorder="1" applyAlignment="1">
      <alignment horizontal="left" vertical="center" wrapText="1"/>
    </xf>
    <xf numFmtId="4" fontId="22" fillId="7" borderId="17" xfId="0" applyNumberFormat="1" applyFont="1" applyFill="1" applyBorder="1" applyAlignment="1">
      <alignment horizontal="right" vertical="center" wrapText="1"/>
    </xf>
    <xf numFmtId="1" fontId="22" fillId="7" borderId="17" xfId="0" applyNumberFormat="1" applyFont="1" applyFill="1" applyBorder="1" applyAlignment="1">
      <alignment horizontal="left" vertical="center"/>
    </xf>
    <xf numFmtId="1" fontId="22" fillId="7" borderId="0" xfId="0" applyNumberFormat="1" applyFont="1" applyFill="1" applyBorder="1" applyAlignment="1">
      <alignment horizontal="left" vertical="center" wrapText="1"/>
    </xf>
    <xf numFmtId="4" fontId="22" fillId="7" borderId="0" xfId="0" applyNumberFormat="1" applyFont="1" applyFill="1" applyBorder="1" applyAlignment="1">
      <alignment horizontal="right" vertical="center" wrapText="1"/>
    </xf>
    <xf numFmtId="0" fontId="20" fillId="8" borderId="0" xfId="5" applyFill="1">
      <alignment vertical="top"/>
    </xf>
    <xf numFmtId="0" fontId="20" fillId="8" borderId="0" xfId="5" applyFont="1" applyFill="1">
      <alignment vertical="top"/>
    </xf>
    <xf numFmtId="0" fontId="0" fillId="8" borderId="0" xfId="0" applyFill="1" applyAlignment="1">
      <alignment vertical="top"/>
    </xf>
    <xf numFmtId="10" fontId="0" fillId="0" borderId="4" xfId="0" applyNumberFormat="1" applyBorder="1"/>
    <xf numFmtId="166" fontId="3" fillId="8" borderId="0" xfId="0" applyNumberFormat="1" applyFont="1" applyFill="1" applyAlignment="1">
      <alignment horizontal="right"/>
    </xf>
    <xf numFmtId="0" fontId="17" fillId="0" borderId="4" xfId="0" applyFont="1" applyBorder="1"/>
    <xf numFmtId="4" fontId="17" fillId="0" borderId="4" xfId="0" applyNumberFormat="1" applyFont="1" applyBorder="1"/>
    <xf numFmtId="4" fontId="0" fillId="0" borderId="0" xfId="0" applyNumberFormat="1"/>
    <xf numFmtId="0" fontId="6" fillId="0" borderId="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4" borderId="0" xfId="0" applyFill="1"/>
    <xf numFmtId="0" fontId="17" fillId="0" borderId="0" xfId="0" pivotButton="1" applyFont="1"/>
    <xf numFmtId="0" fontId="3" fillId="0" borderId="0" xfId="1" applyNumberFormat="1" applyFont="1" applyFill="1" applyBorder="1" applyAlignment="1"/>
    <xf numFmtId="166" fontId="7" fillId="0" borderId="16" xfId="0" applyNumberFormat="1" applyFont="1" applyFill="1" applyBorder="1" applyAlignment="1">
      <alignment horizontal="right"/>
    </xf>
    <xf numFmtId="15" fontId="3" fillId="0" borderId="16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vertical="top" wrapText="1"/>
    </xf>
    <xf numFmtId="0" fontId="3" fillId="0" borderId="16" xfId="0" applyFont="1" applyFill="1" applyBorder="1" applyAlignment="1">
      <alignment vertical="top" wrapText="1"/>
    </xf>
    <xf numFmtId="0" fontId="3" fillId="0" borderId="17" xfId="3" applyFont="1" applyFill="1" applyBorder="1"/>
    <xf numFmtId="43" fontId="3" fillId="0" borderId="17" xfId="1" applyFont="1" applyFill="1" applyBorder="1" applyAlignment="1"/>
    <xf numFmtId="0" fontId="4" fillId="0" borderId="17" xfId="3" applyFont="1" applyFill="1" applyBorder="1" applyAlignment="1">
      <alignment horizontal="center" wrapText="1"/>
    </xf>
    <xf numFmtId="43" fontId="3" fillId="0" borderId="17" xfId="1" applyFont="1" applyFill="1" applyBorder="1" applyAlignment="1">
      <alignment horizontal="center"/>
    </xf>
    <xf numFmtId="43" fontId="4" fillId="0" borderId="5" xfId="1" applyFont="1" applyFill="1" applyBorder="1" applyAlignment="1">
      <alignment horizontal="right" wrapText="1"/>
    </xf>
    <xf numFmtId="43" fontId="4" fillId="0" borderId="4" xfId="1" applyFont="1" applyFill="1" applyBorder="1" applyAlignment="1">
      <alignment wrapText="1"/>
    </xf>
    <xf numFmtId="43" fontId="3" fillId="0" borderId="4" xfId="1" applyFont="1" applyFill="1" applyBorder="1" applyAlignment="1">
      <alignment wrapText="1"/>
    </xf>
    <xf numFmtId="43" fontId="4" fillId="0" borderId="5" xfId="1" applyFont="1" applyFill="1" applyBorder="1" applyAlignment="1">
      <alignment wrapText="1"/>
    </xf>
    <xf numFmtId="0" fontId="7" fillId="0" borderId="17" xfId="2" applyFont="1" applyFill="1" applyBorder="1"/>
    <xf numFmtId="164" fontId="3" fillId="0" borderId="17" xfId="1" applyNumberFormat="1" applyFont="1" applyFill="1" applyBorder="1" applyAlignment="1">
      <alignment horizontal="right" wrapText="1"/>
    </xf>
    <xf numFmtId="164" fontId="3" fillId="0" borderId="17" xfId="1" applyNumberFormat="1" applyFont="1" applyFill="1" applyBorder="1" applyAlignment="1">
      <alignment horizontal="center" wrapText="1"/>
    </xf>
    <xf numFmtId="43" fontId="3" fillId="0" borderId="17" xfId="1" applyNumberFormat="1" applyFont="1" applyFill="1" applyBorder="1" applyAlignment="1">
      <alignment horizontal="center"/>
    </xf>
    <xf numFmtId="43" fontId="4" fillId="0" borderId="5" xfId="1" applyNumberFormat="1" applyFont="1" applyFill="1" applyBorder="1" applyAlignment="1">
      <alignment horizontal="right" wrapText="1"/>
    </xf>
    <xf numFmtId="0" fontId="3" fillId="0" borderId="17" xfId="3" applyFont="1" applyFill="1" applyBorder="1" applyAlignment="1">
      <alignment horizontal="center"/>
    </xf>
    <xf numFmtId="0" fontId="3" fillId="0" borderId="4" xfId="3" applyFont="1" applyFill="1" applyBorder="1" applyAlignment="1">
      <alignment horizontal="center" wrapText="1"/>
    </xf>
    <xf numFmtId="0" fontId="13" fillId="0" borderId="0" xfId="0" applyFont="1" applyFill="1"/>
    <xf numFmtId="0" fontId="14" fillId="0" borderId="0" xfId="0" applyFont="1" applyFill="1"/>
    <xf numFmtId="4" fontId="13" fillId="0" borderId="0" xfId="0" applyNumberFormat="1" applyFont="1" applyFill="1"/>
    <xf numFmtId="0" fontId="13" fillId="0" borderId="0" xfId="4" applyFont="1" applyFill="1"/>
    <xf numFmtId="0" fontId="14" fillId="0" borderId="0" xfId="0" applyFont="1" applyFill="1" applyAlignment="1"/>
    <xf numFmtId="4" fontId="13" fillId="0" borderId="0" xfId="0" applyNumberFormat="1" applyFont="1" applyFill="1" applyAlignment="1">
      <alignment horizontal="left"/>
    </xf>
    <xf numFmtId="0" fontId="13" fillId="0" borderId="0" xfId="0" applyFont="1" applyFill="1" applyAlignment="1"/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64" fontId="14" fillId="0" borderId="6" xfId="1" applyNumberFormat="1" applyFont="1" applyFill="1" applyBorder="1" applyAlignment="1">
      <alignment horizontal="center" vertical="center" wrapText="1"/>
    </xf>
    <xf numFmtId="164" fontId="14" fillId="0" borderId="7" xfId="1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0" fontId="15" fillId="0" borderId="20" xfId="0" applyFont="1" applyFill="1" applyBorder="1"/>
    <xf numFmtId="0" fontId="15" fillId="0" borderId="9" xfId="0" applyFont="1" applyFill="1" applyBorder="1"/>
    <xf numFmtId="164" fontId="15" fillId="0" borderId="9" xfId="1" applyNumberFormat="1" applyFont="1" applyFill="1" applyBorder="1"/>
    <xf numFmtId="164" fontId="15" fillId="0" borderId="10" xfId="1" applyNumberFormat="1" applyFont="1" applyFill="1" applyBorder="1"/>
    <xf numFmtId="0" fontId="15" fillId="0" borderId="0" xfId="4" applyFont="1" applyFill="1"/>
    <xf numFmtId="0" fontId="0" fillId="0" borderId="11" xfId="0" applyFont="1" applyFill="1" applyBorder="1"/>
    <xf numFmtId="0" fontId="0" fillId="0" borderId="17" xfId="0" applyFill="1" applyBorder="1" applyAlignment="1">
      <alignment wrapText="1"/>
    </xf>
    <xf numFmtId="0" fontId="0" fillId="0" borderId="17" xfId="0" applyFill="1" applyBorder="1"/>
    <xf numFmtId="4" fontId="0" fillId="0" borderId="17" xfId="0" applyNumberFormat="1" applyFill="1" applyBorder="1"/>
    <xf numFmtId="4" fontId="0" fillId="0" borderId="12" xfId="0" applyNumberFormat="1" applyFill="1" applyBorder="1"/>
    <xf numFmtId="0" fontId="1" fillId="0" borderId="0" xfId="4" applyFill="1"/>
    <xf numFmtId="0" fontId="0" fillId="0" borderId="11" xfId="0" applyFill="1" applyBorder="1" applyAlignment="1">
      <alignment wrapText="1"/>
    </xf>
    <xf numFmtId="165" fontId="0" fillId="0" borderId="12" xfId="1" applyNumberFormat="1" applyFont="1" applyFill="1" applyBorder="1"/>
    <xf numFmtId="0" fontId="0" fillId="0" borderId="11" xfId="0" applyFont="1" applyFill="1" applyBorder="1" applyAlignment="1">
      <alignment wrapText="1"/>
    </xf>
    <xf numFmtId="165" fontId="0" fillId="0" borderId="17" xfId="1" applyNumberFormat="1" applyFont="1" applyFill="1" applyBorder="1"/>
    <xf numFmtId="0" fontId="16" fillId="0" borderId="0" xfId="4" applyFont="1" applyFill="1"/>
    <xf numFmtId="0" fontId="0" fillId="0" borderId="13" xfId="0" applyFill="1" applyBorder="1" applyAlignment="1">
      <alignment wrapText="1"/>
    </xf>
    <xf numFmtId="0" fontId="0" fillId="0" borderId="14" xfId="0" applyFill="1" applyBorder="1" applyAlignment="1">
      <alignment wrapText="1"/>
    </xf>
    <xf numFmtId="0" fontId="0" fillId="0" borderId="14" xfId="0" applyFill="1" applyBorder="1"/>
    <xf numFmtId="4" fontId="0" fillId="0" borderId="14" xfId="0" applyNumberFormat="1" applyFill="1" applyBorder="1"/>
    <xf numFmtId="165" fontId="0" fillId="0" borderId="15" xfId="1" applyNumberFormat="1" applyFont="1" applyFill="1" applyBorder="1"/>
    <xf numFmtId="0" fontId="16" fillId="0" borderId="0" xfId="0" applyFont="1" applyFill="1"/>
    <xf numFmtId="4" fontId="0" fillId="0" borderId="0" xfId="0" applyNumberFormat="1" applyFill="1"/>
    <xf numFmtId="4" fontId="0" fillId="0" borderId="0" xfId="0" applyNumberFormat="1" applyFont="1" applyFill="1"/>
    <xf numFmtId="0" fontId="0" fillId="0" borderId="0" xfId="0" quotePrefix="1" applyFont="1" applyFill="1"/>
    <xf numFmtId="4" fontId="0" fillId="4" borderId="0" xfId="0" applyNumberFormat="1" applyFill="1" applyAlignment="1">
      <alignment vertical="top"/>
    </xf>
    <xf numFmtId="0" fontId="3" fillId="0" borderId="0" xfId="2" applyFont="1" applyFill="1" applyBorder="1" applyAlignment="1">
      <alignment wrapText="1"/>
    </xf>
    <xf numFmtId="0" fontId="3" fillId="0" borderId="0" xfId="2" applyFont="1" applyFill="1" applyAlignment="1">
      <alignment wrapText="1"/>
    </xf>
    <xf numFmtId="164" fontId="3" fillId="0" borderId="16" xfId="0" applyNumberFormat="1" applyFont="1" applyFill="1" applyBorder="1"/>
    <xf numFmtId="164" fontId="3" fillId="0" borderId="12" xfId="0" applyNumberFormat="1" applyFont="1" applyFill="1" applyBorder="1"/>
    <xf numFmtId="0" fontId="4" fillId="0" borderId="11" xfId="0" applyFont="1" applyFill="1" applyBorder="1" applyAlignment="1"/>
    <xf numFmtId="164" fontId="3" fillId="0" borderId="16" xfId="0" applyNumberFormat="1" applyFont="1" applyFill="1" applyBorder="1" applyAlignment="1">
      <alignment horizontal="right"/>
    </xf>
    <xf numFmtId="164" fontId="3" fillId="0" borderId="12" xfId="0" applyNumberFormat="1" applyFont="1" applyFill="1" applyBorder="1" applyAlignment="1">
      <alignment horizontal="right"/>
    </xf>
    <xf numFmtId="0" fontId="5" fillId="0" borderId="11" xfId="0" applyFont="1" applyFill="1" applyBorder="1"/>
    <xf numFmtId="0" fontId="3" fillId="0" borderId="16" xfId="0" applyFont="1" applyFill="1" applyBorder="1" applyAlignment="1">
      <alignment horizontal="left"/>
    </xf>
    <xf numFmtId="169" fontId="3" fillId="0" borderId="16" xfId="1" applyNumberFormat="1" applyFont="1" applyFill="1" applyBorder="1"/>
    <xf numFmtId="169" fontId="3" fillId="0" borderId="12" xfId="1" applyNumberFormat="1" applyFont="1" applyFill="1" applyBorder="1"/>
    <xf numFmtId="164" fontId="4" fillId="0" borderId="16" xfId="1" applyNumberFormat="1" applyFont="1" applyFill="1" applyBorder="1"/>
    <xf numFmtId="0" fontId="2" fillId="0" borderId="3" xfId="0" applyFont="1" applyFill="1" applyBorder="1"/>
    <xf numFmtId="4" fontId="3" fillId="0" borderId="3" xfId="0" applyNumberFormat="1" applyFont="1" applyFill="1" applyBorder="1"/>
    <xf numFmtId="4" fontId="3" fillId="0" borderId="16" xfId="0" applyNumberFormat="1" applyFont="1" applyFill="1" applyBorder="1"/>
    <xf numFmtId="4" fontId="3" fillId="0" borderId="12" xfId="0" applyNumberFormat="1" applyFont="1" applyFill="1" applyBorder="1"/>
    <xf numFmtId="0" fontId="3" fillId="0" borderId="11" xfId="0" applyFont="1" applyFill="1" applyBorder="1" applyAlignment="1">
      <alignment vertical="top"/>
    </xf>
    <xf numFmtId="10" fontId="3" fillId="0" borderId="16" xfId="1" applyNumberFormat="1" applyFont="1" applyFill="1" applyBorder="1" applyAlignment="1">
      <alignment horizontal="right" vertical="top"/>
    </xf>
    <xf numFmtId="10" fontId="3" fillId="0" borderId="12" xfId="1" applyNumberFormat="1" applyFont="1" applyFill="1" applyBorder="1" applyAlignment="1">
      <alignment horizontal="right" vertical="top"/>
    </xf>
    <xf numFmtId="171" fontId="3" fillId="0" borderId="16" xfId="1" applyNumberFormat="1" applyFont="1" applyFill="1" applyBorder="1"/>
    <xf numFmtId="0" fontId="3" fillId="0" borderId="13" xfId="0" applyFont="1" applyFill="1" applyBorder="1"/>
    <xf numFmtId="0" fontId="3" fillId="0" borderId="14" xfId="0" applyFont="1" applyFill="1" applyBorder="1"/>
    <xf numFmtId="164" fontId="3" fillId="0" borderId="14" xfId="1" applyNumberFormat="1" applyFont="1" applyFill="1" applyBorder="1"/>
    <xf numFmtId="0" fontId="10" fillId="0" borderId="0" xfId="2" applyFont="1" applyFill="1"/>
    <xf numFmtId="175" fontId="3" fillId="0" borderId="0" xfId="2" applyNumberFormat="1" applyFont="1" applyFill="1" applyBorder="1" applyAlignment="1">
      <alignment horizontal="center"/>
    </xf>
    <xf numFmtId="0" fontId="3" fillId="0" borderId="4" xfId="2" applyFont="1" applyFill="1" applyBorder="1" applyAlignment="1"/>
    <xf numFmtId="164" fontId="3" fillId="0" borderId="4" xfId="2" applyNumberFormat="1" applyFont="1" applyFill="1" applyBorder="1" applyAlignment="1">
      <alignment horizontal="center" wrapText="1"/>
    </xf>
    <xf numFmtId="16" fontId="4" fillId="0" borderId="4" xfId="3" applyNumberFormat="1" applyFont="1" applyFill="1" applyBorder="1" applyAlignment="1"/>
    <xf numFmtId="0" fontId="3" fillId="0" borderId="17" xfId="2" applyFont="1" applyFill="1" applyBorder="1" applyAlignment="1"/>
    <xf numFmtId="0" fontId="3" fillId="0" borderId="17" xfId="2" applyFont="1" applyFill="1" applyBorder="1"/>
    <xf numFmtId="175" fontId="4" fillId="0" borderId="17" xfId="2" applyNumberFormat="1" applyFont="1" applyFill="1" applyBorder="1" applyAlignment="1">
      <alignment horizontal="right"/>
    </xf>
    <xf numFmtId="164" fontId="4" fillId="0" borderId="17" xfId="1" applyNumberFormat="1" applyFont="1" applyFill="1" applyBorder="1" applyAlignment="1">
      <alignment horizontal="center"/>
    </xf>
    <xf numFmtId="175" fontId="4" fillId="0" borderId="17" xfId="2" applyNumberFormat="1" applyFont="1" applyFill="1" applyBorder="1" applyAlignment="1">
      <alignment horizontal="center"/>
    </xf>
    <xf numFmtId="175" fontId="4" fillId="0" borderId="4" xfId="2" applyNumberFormat="1" applyFont="1" applyFill="1" applyBorder="1" applyAlignment="1">
      <alignment horizontal="right"/>
    </xf>
    <xf numFmtId="164" fontId="4" fillId="0" borderId="4" xfId="1" applyNumberFormat="1" applyFont="1" applyFill="1" applyBorder="1" applyAlignment="1">
      <alignment horizontal="center"/>
    </xf>
    <xf numFmtId="175" fontId="4" fillId="0" borderId="4" xfId="2" applyNumberFormat="1" applyFont="1" applyFill="1" applyBorder="1" applyAlignment="1">
      <alignment horizontal="center"/>
    </xf>
    <xf numFmtId="0" fontId="4" fillId="0" borderId="4" xfId="2" applyFont="1" applyFill="1" applyBorder="1" applyAlignment="1"/>
    <xf numFmtId="0" fontId="3" fillId="0" borderId="4" xfId="2" applyFont="1" applyFill="1" applyBorder="1" applyAlignment="1">
      <alignment vertical="center"/>
    </xf>
    <xf numFmtId="164" fontId="3" fillId="0" borderId="4" xfId="2" applyNumberFormat="1" applyFont="1" applyFill="1" applyBorder="1" applyAlignment="1">
      <alignment wrapText="1"/>
    </xf>
    <xf numFmtId="4" fontId="3" fillId="0" borderId="4" xfId="2" applyNumberFormat="1" applyFont="1" applyFill="1" applyBorder="1" applyAlignment="1">
      <alignment horizontal="center" wrapText="1"/>
    </xf>
    <xf numFmtId="0" fontId="11" fillId="0" borderId="0" xfId="2" applyFont="1" applyFill="1"/>
    <xf numFmtId="175" fontId="11" fillId="0" borderId="0" xfId="2" applyNumberFormat="1" applyFont="1" applyFill="1" applyBorder="1"/>
    <xf numFmtId="0" fontId="4" fillId="0" borderId="4" xfId="2" applyFont="1" applyFill="1" applyBorder="1"/>
    <xf numFmtId="0" fontId="4" fillId="0" borderId="4" xfId="2" applyFont="1" applyFill="1" applyBorder="1" applyAlignment="1">
      <alignment horizontal="right"/>
    </xf>
    <xf numFmtId="2" fontId="0" fillId="0" borderId="17" xfId="0" applyNumberFormat="1" applyFill="1" applyBorder="1"/>
    <xf numFmtId="10" fontId="17" fillId="0" borderId="4" xfId="0" applyNumberFormat="1" applyFont="1" applyBorder="1"/>
    <xf numFmtId="0" fontId="4" fillId="0" borderId="4" xfId="2" applyFont="1" applyFill="1" applyBorder="1" applyAlignment="1">
      <alignment wrapText="1"/>
    </xf>
    <xf numFmtId="0" fontId="4" fillId="0" borderId="17" xfId="2" applyFont="1" applyFill="1" applyBorder="1" applyAlignment="1">
      <alignment horizontal="center" wrapText="1"/>
    </xf>
    <xf numFmtId="2" fontId="4" fillId="0" borderId="17" xfId="2" applyNumberFormat="1" applyFont="1" applyFill="1" applyBorder="1" applyAlignment="1">
      <alignment horizontal="center" wrapText="1"/>
    </xf>
    <xf numFmtId="175" fontId="4" fillId="0" borderId="4" xfId="2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/>
    <xf numFmtId="0" fontId="2" fillId="0" borderId="11" xfId="0" applyFont="1" applyFill="1" applyBorder="1"/>
    <xf numFmtId="2" fontId="3" fillId="0" borderId="16" xfId="0" applyNumberFormat="1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wrapText="1"/>
    </xf>
    <xf numFmtId="0" fontId="3" fillId="0" borderId="16" xfId="0" applyFont="1" applyFill="1" applyBorder="1" applyAlignment="1">
      <alignment horizontal="center" vertical="top" wrapText="1"/>
    </xf>
    <xf numFmtId="0" fontId="7" fillId="0" borderId="16" xfId="0" applyFont="1" applyFill="1" applyBorder="1"/>
    <xf numFmtId="2" fontId="7" fillId="0" borderId="16" xfId="0" applyNumberFormat="1" applyFont="1" applyFill="1" applyBorder="1" applyAlignment="1">
      <alignment horizontal="right" wrapText="1"/>
    </xf>
    <xf numFmtId="0" fontId="7" fillId="0" borderId="16" xfId="0" applyFont="1" applyFill="1" applyBorder="1" applyAlignment="1">
      <alignment horizontal="right" wrapText="1"/>
    </xf>
    <xf numFmtId="0" fontId="7" fillId="0" borderId="12" xfId="0" applyFont="1" applyFill="1" applyBorder="1" applyAlignment="1">
      <alignment horizontal="right" wrapText="1"/>
    </xf>
    <xf numFmtId="0" fontId="7" fillId="0" borderId="17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wrapText="1"/>
    </xf>
    <xf numFmtId="0" fontId="3" fillId="0" borderId="0" xfId="2" applyFont="1" applyFill="1" applyAlignment="1">
      <alignment wrapText="1"/>
    </xf>
    <xf numFmtId="0" fontId="4" fillId="0" borderId="0" xfId="0" applyFont="1" applyFill="1" applyBorder="1" applyAlignment="1">
      <alignment horizontal="left" vertical="top" wrapText="1"/>
    </xf>
  </cellXfs>
  <cellStyles count="6">
    <cellStyle name="Comma" xfId="1" builtinId="3"/>
    <cellStyle name="Normal" xfId="0" builtinId="0"/>
    <cellStyle name="Normal 2" xfId="5" xr:uid="{00000000-0005-0000-0000-000002000000}"/>
    <cellStyle name="Normal 3" xfId="2" xr:uid="{00000000-0005-0000-0000-000003000000}"/>
    <cellStyle name="Normal 5" xfId="4" xr:uid="{00000000-0005-0000-0000-000004000000}"/>
    <cellStyle name="Normal_HY-NEW FORMAT 31-03.10 rev" xfId="3" xr:uid="{00000000-0005-0000-0000-000005000000}"/>
  </cellStyles>
  <dxfs count="33">
    <dxf>
      <font>
        <condense val="0"/>
        <extend val="0"/>
        <color indexed="20"/>
      </font>
      <fill>
        <patternFill>
          <bgColor indexed="4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3"/>
  <sheetViews>
    <sheetView workbookViewId="0"/>
  </sheetViews>
  <sheetFormatPr defaultRowHeight="15"/>
  <cols>
    <col min="1" max="1" width="14.85546875" style="227" bestFit="1" customWidth="1"/>
    <col min="2" max="2" width="46.5703125" bestFit="1" customWidth="1"/>
    <col min="3" max="3" width="18.42578125" style="224" bestFit="1" customWidth="1"/>
  </cols>
  <sheetData>
    <row r="1" spans="1:3">
      <c r="C1"/>
    </row>
    <row r="2" spans="1:3">
      <c r="C2"/>
    </row>
    <row r="3" spans="1:3">
      <c r="A3" s="209" t="s">
        <v>1862</v>
      </c>
      <c r="B3" s="228" t="s">
        <v>1863</v>
      </c>
      <c r="C3" s="208" t="s">
        <v>1864</v>
      </c>
    </row>
    <row r="4" spans="1:3">
      <c r="A4" s="227" t="s">
        <v>4</v>
      </c>
      <c r="B4" s="136" t="s">
        <v>228</v>
      </c>
      <c r="C4" s="224">
        <v>60389829.960000001</v>
      </c>
    </row>
    <row r="5" spans="1:3">
      <c r="A5" s="227" t="s">
        <v>42</v>
      </c>
      <c r="B5" s="136" t="s">
        <v>751</v>
      </c>
      <c r="C5" s="224">
        <v>6962978.8399999999</v>
      </c>
    </row>
    <row r="6" spans="1:3">
      <c r="A6" s="227" t="s">
        <v>9</v>
      </c>
      <c r="B6" s="136" t="s">
        <v>57</v>
      </c>
      <c r="C6" s="224">
        <v>0</v>
      </c>
    </row>
    <row r="7" spans="1:3">
      <c r="A7" s="227" t="s">
        <v>25</v>
      </c>
      <c r="B7" s="136" t="s">
        <v>590</v>
      </c>
      <c r="C7" s="224">
        <v>0</v>
      </c>
    </row>
    <row r="8" spans="1:3">
      <c r="A8" s="227" t="s">
        <v>11</v>
      </c>
      <c r="B8" s="136" t="s">
        <v>753</v>
      </c>
      <c r="C8" s="224">
        <v>0</v>
      </c>
    </row>
    <row r="9" spans="1:3">
      <c r="A9" s="227" t="s">
        <v>37</v>
      </c>
      <c r="B9" s="136" t="s">
        <v>284</v>
      </c>
      <c r="C9" s="224">
        <v>0</v>
      </c>
    </row>
    <row r="10" spans="1:3">
      <c r="A10" s="227" t="s">
        <v>43</v>
      </c>
      <c r="B10" s="136" t="s">
        <v>608</v>
      </c>
      <c r="C10" s="224">
        <v>0</v>
      </c>
    </row>
    <row r="11" spans="1:3">
      <c r="A11" s="227" t="s">
        <v>44</v>
      </c>
      <c r="B11" s="136" t="s">
        <v>615</v>
      </c>
      <c r="C11" s="224">
        <v>0</v>
      </c>
    </row>
    <row r="12" spans="1:3">
      <c r="A12" s="227" t="s">
        <v>45</v>
      </c>
      <c r="B12" s="136" t="s">
        <v>617</v>
      </c>
      <c r="C12" s="224">
        <v>0</v>
      </c>
    </row>
    <row r="13" spans="1:3">
      <c r="A13" s="227" t="s">
        <v>5</v>
      </c>
      <c r="B13" s="136" t="s">
        <v>226</v>
      </c>
      <c r="C13" s="224">
        <v>31151544</v>
      </c>
    </row>
    <row r="14" spans="1:3">
      <c r="A14" s="227" t="s">
        <v>48</v>
      </c>
      <c r="B14" s="136" t="s">
        <v>779</v>
      </c>
      <c r="C14" s="224">
        <v>0</v>
      </c>
    </row>
    <row r="15" spans="1:3">
      <c r="A15" s="227" t="s">
        <v>46</v>
      </c>
      <c r="B15" s="136" t="s">
        <v>785</v>
      </c>
      <c r="C15" s="224">
        <v>3300546.3800000004</v>
      </c>
    </row>
    <row r="16" spans="1:3">
      <c r="A16" s="227" t="s">
        <v>47</v>
      </c>
      <c r="B16" s="136" t="s">
        <v>787</v>
      </c>
      <c r="C16" s="224">
        <v>855994.99</v>
      </c>
    </row>
    <row r="17" spans="1:3">
      <c r="A17" s="227" t="s">
        <v>10</v>
      </c>
      <c r="B17" s="136" t="s">
        <v>624</v>
      </c>
      <c r="C17" s="224">
        <v>0</v>
      </c>
    </row>
    <row r="18" spans="1:3">
      <c r="A18" s="227" t="s">
        <v>6</v>
      </c>
      <c r="B18" s="136" t="s">
        <v>227</v>
      </c>
      <c r="C18" s="224">
        <v>34045341.200000003</v>
      </c>
    </row>
    <row r="19" spans="1:3">
      <c r="A19" s="227" t="s">
        <v>39</v>
      </c>
      <c r="B19" s="136" t="s">
        <v>619</v>
      </c>
      <c r="C19" s="224">
        <v>0</v>
      </c>
    </row>
    <row r="20" spans="1:3">
      <c r="A20" s="227" t="s">
        <v>16</v>
      </c>
      <c r="B20" s="136" t="s">
        <v>642</v>
      </c>
      <c r="C20" s="224">
        <v>0</v>
      </c>
    </row>
    <row r="21" spans="1:3">
      <c r="A21" s="227" t="s">
        <v>14</v>
      </c>
      <c r="B21" s="136" t="s">
        <v>767</v>
      </c>
      <c r="C21" s="224">
        <v>2984190.04</v>
      </c>
    </row>
    <row r="22" spans="1:3">
      <c r="A22" s="227" t="s">
        <v>13</v>
      </c>
      <c r="B22" s="136" t="s">
        <v>770</v>
      </c>
      <c r="C22" s="224">
        <v>141574.38</v>
      </c>
    </row>
    <row r="23" spans="1:3">
      <c r="A23" s="227" t="s">
        <v>17</v>
      </c>
      <c r="B23" s="136" t="s">
        <v>65</v>
      </c>
      <c r="C23" s="224">
        <v>0</v>
      </c>
    </row>
    <row r="24" spans="1:3">
      <c r="A24" s="227" t="s">
        <v>12</v>
      </c>
      <c r="B24" s="136" t="s">
        <v>60</v>
      </c>
      <c r="C24" s="224">
        <v>0</v>
      </c>
    </row>
    <row r="25" spans="1:3">
      <c r="A25" s="227" t="s">
        <v>41</v>
      </c>
      <c r="B25" s="136" t="s">
        <v>774</v>
      </c>
      <c r="C25" s="224">
        <v>77905443.739999995</v>
      </c>
    </row>
    <row r="26" spans="1:3">
      <c r="A26" s="227" t="s">
        <v>8</v>
      </c>
      <c r="B26" s="136" t="s">
        <v>56</v>
      </c>
      <c r="C26" s="224">
        <v>0</v>
      </c>
    </row>
    <row r="27" spans="1:3">
      <c r="A27" s="227" t="s">
        <v>40</v>
      </c>
      <c r="B27" s="136" t="s">
        <v>777</v>
      </c>
      <c r="C27" s="224">
        <v>0</v>
      </c>
    </row>
    <row r="28" spans="1:3">
      <c r="A28" s="227" t="s">
        <v>15</v>
      </c>
      <c r="B28" s="136" t="s">
        <v>63</v>
      </c>
      <c r="C28" s="224">
        <v>0</v>
      </c>
    </row>
    <row r="29" spans="1:3">
      <c r="A29" s="227" t="s">
        <v>453</v>
      </c>
      <c r="B29" s="136" t="s">
        <v>821</v>
      </c>
      <c r="C29" s="224">
        <v>3791203</v>
      </c>
    </row>
    <row r="30" spans="1:3">
      <c r="A30" s="227" t="s">
        <v>7</v>
      </c>
      <c r="B30" s="136" t="s">
        <v>55</v>
      </c>
      <c r="C30" s="224">
        <v>19601658.619999997</v>
      </c>
    </row>
    <row r="31" spans="1:3">
      <c r="A31" s="227" t="s">
        <v>453</v>
      </c>
      <c r="B31" s="136" t="s">
        <v>823</v>
      </c>
      <c r="C31" s="224">
        <v>0</v>
      </c>
    </row>
    <row r="32" spans="1:3">
      <c r="A32" s="227" t="s">
        <v>3</v>
      </c>
      <c r="B32" s="136" t="s">
        <v>789</v>
      </c>
      <c r="C32" s="224">
        <v>0</v>
      </c>
    </row>
    <row r="33" spans="2:3">
      <c r="B33" s="136" t="s">
        <v>1865</v>
      </c>
      <c r="C33" s="224">
        <v>241130305.14999998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 filterMode="1"/>
  <dimension ref="A1:I180"/>
  <sheetViews>
    <sheetView workbookViewId="0"/>
  </sheetViews>
  <sheetFormatPr defaultRowHeight="15"/>
  <cols>
    <col min="1" max="1" width="12.42578125" bestFit="1" customWidth="1"/>
    <col min="2" max="2" width="24.85546875" bestFit="1" customWidth="1"/>
    <col min="3" max="3" width="28.140625" bestFit="1" customWidth="1"/>
    <col min="4" max="4" width="12.7109375" bestFit="1" customWidth="1"/>
    <col min="5" max="5" width="94.42578125" bestFit="1" customWidth="1"/>
    <col min="6" max="6" width="15.28515625" bestFit="1" customWidth="1"/>
    <col min="7" max="7" width="16.28515625" bestFit="1" customWidth="1"/>
    <col min="8" max="8" width="10" bestFit="1" customWidth="1"/>
    <col min="9" max="9" width="10.140625" bestFit="1" customWidth="1"/>
  </cols>
  <sheetData>
    <row r="1" spans="1:9" ht="45">
      <c r="A1" s="121" t="s">
        <v>429</v>
      </c>
      <c r="B1" t="s">
        <v>290</v>
      </c>
      <c r="C1" t="s">
        <v>291</v>
      </c>
      <c r="D1" s="142" t="s">
        <v>292</v>
      </c>
      <c r="E1" t="s">
        <v>218</v>
      </c>
      <c r="F1" t="s">
        <v>293</v>
      </c>
      <c r="G1" t="s">
        <v>294</v>
      </c>
      <c r="H1" t="s">
        <v>295</v>
      </c>
      <c r="I1" t="s">
        <v>296</v>
      </c>
    </row>
    <row r="2" spans="1:9">
      <c r="A2" t="str">
        <f>+C2&amp;B2</f>
        <v>LIC08ZD</v>
      </c>
      <c r="B2" t="str">
        <f>+VLOOKUP(D2,'Plan mapping'!A:B,2,0)</f>
        <v>ZD</v>
      </c>
      <c r="C2" t="str">
        <f>+VLOOKUP(D2,'Plan mapping'!A:C,3,0)</f>
        <v>LIC08</v>
      </c>
      <c r="D2" s="142">
        <v>120260</v>
      </c>
      <c r="E2" t="s">
        <v>355</v>
      </c>
      <c r="F2" s="209">
        <v>14.756500000000001</v>
      </c>
      <c r="G2">
        <v>14.6089</v>
      </c>
      <c r="H2">
        <v>14.756500000000001</v>
      </c>
      <c r="I2" s="120">
        <v>43187</v>
      </c>
    </row>
    <row r="3" spans="1:9">
      <c r="A3" t="str">
        <f t="shared" ref="A3:A66" si="0">+C3&amp;B3</f>
        <v>LIC08ZG</v>
      </c>
      <c r="B3" t="str">
        <f>+VLOOKUP(D3,'Plan mapping'!A:B,2,0)</f>
        <v>ZG</v>
      </c>
      <c r="C3" t="str">
        <f>+VLOOKUP(D3,'Plan mapping'!A:C,3,0)</f>
        <v>LIC08</v>
      </c>
      <c r="D3" s="142">
        <v>120261</v>
      </c>
      <c r="E3" t="s">
        <v>356</v>
      </c>
      <c r="F3" s="209">
        <v>98.2333</v>
      </c>
      <c r="G3">
        <v>97.251000000000005</v>
      </c>
      <c r="H3">
        <v>98.2333</v>
      </c>
      <c r="I3" s="120">
        <v>43187</v>
      </c>
    </row>
    <row r="4" spans="1:9">
      <c r="A4" t="str">
        <f t="shared" si="0"/>
        <v>LIC08RD</v>
      </c>
      <c r="B4" t="str">
        <f>+VLOOKUP(D4,'Plan mapping'!A:B,2,0)</f>
        <v>RD</v>
      </c>
      <c r="C4" t="str">
        <f>+VLOOKUP(D4,'Plan mapping'!A:C,3,0)</f>
        <v>LIC08</v>
      </c>
      <c r="D4" s="142">
        <v>100321</v>
      </c>
      <c r="E4" t="s">
        <v>357</v>
      </c>
      <c r="F4" s="209">
        <v>14.080500000000001</v>
      </c>
      <c r="G4">
        <v>13.9397</v>
      </c>
      <c r="H4">
        <v>14.080500000000001</v>
      </c>
      <c r="I4" s="120">
        <v>43187</v>
      </c>
    </row>
    <row r="5" spans="1:9">
      <c r="A5" t="str">
        <f t="shared" si="0"/>
        <v>LIC08RG</v>
      </c>
      <c r="B5" t="str">
        <f>+VLOOKUP(D5,'Plan mapping'!A:B,2,0)</f>
        <v>RG</v>
      </c>
      <c r="C5" t="str">
        <f>+VLOOKUP(D5,'Plan mapping'!A:C,3,0)</f>
        <v>LIC08</v>
      </c>
      <c r="D5" s="142">
        <v>100323</v>
      </c>
      <c r="E5" t="s">
        <v>358</v>
      </c>
      <c r="F5" s="209">
        <v>93.944699999999997</v>
      </c>
      <c r="G5">
        <v>93.005300000000005</v>
      </c>
      <c r="H5">
        <v>93.944699999999997</v>
      </c>
      <c r="I5" s="120">
        <v>43187</v>
      </c>
    </row>
    <row r="6" spans="1:9">
      <c r="A6" t="str">
        <f t="shared" si="0"/>
        <v>LIC28ZD</v>
      </c>
      <c r="B6" t="str">
        <f>+VLOOKUP(D6,'Plan mapping'!A:B,2,0)</f>
        <v>ZD</v>
      </c>
      <c r="C6" t="str">
        <f>+VLOOKUP(D6,'Plan mapping'!A:C,3,0)</f>
        <v>LIC28</v>
      </c>
      <c r="D6" s="142">
        <v>120269</v>
      </c>
      <c r="E6" t="s">
        <v>369</v>
      </c>
      <c r="F6" s="209">
        <v>18.213899999999999</v>
      </c>
      <c r="G6">
        <v>18.213899999999999</v>
      </c>
      <c r="H6">
        <v>18.213899999999999</v>
      </c>
      <c r="I6" s="120">
        <v>43187</v>
      </c>
    </row>
    <row r="7" spans="1:9">
      <c r="A7" t="str">
        <f t="shared" si="0"/>
        <v>LIC28ZG</v>
      </c>
      <c r="B7" t="str">
        <f>+VLOOKUP(D7,'Plan mapping'!A:B,2,0)</f>
        <v>ZG</v>
      </c>
      <c r="C7" t="str">
        <f>+VLOOKUP(D7,'Plan mapping'!A:C,3,0)</f>
        <v>LIC28</v>
      </c>
      <c r="D7" s="142">
        <v>120270</v>
      </c>
      <c r="E7" t="s">
        <v>370</v>
      </c>
      <c r="F7" s="209">
        <v>65.321600000000004</v>
      </c>
      <c r="G7">
        <v>65.321600000000004</v>
      </c>
      <c r="H7">
        <v>65.321600000000004</v>
      </c>
      <c r="I7" s="120">
        <v>43187</v>
      </c>
    </row>
    <row r="8" spans="1:9">
      <c r="A8" t="str">
        <f t="shared" si="0"/>
        <v>LIC28RD</v>
      </c>
      <c r="B8" t="str">
        <f>+VLOOKUP(D8,'Plan mapping'!A:B,2,0)</f>
        <v>RD</v>
      </c>
      <c r="C8" t="str">
        <f>+VLOOKUP(D8,'Plan mapping'!A:C,3,0)</f>
        <v>LIC28</v>
      </c>
      <c r="D8" s="142">
        <v>100864</v>
      </c>
      <c r="E8" t="s">
        <v>371</v>
      </c>
      <c r="F8" s="209">
        <v>17.303699999999999</v>
      </c>
      <c r="G8">
        <v>17.303699999999999</v>
      </c>
      <c r="H8">
        <v>17.303699999999999</v>
      </c>
      <c r="I8" s="120">
        <v>43187</v>
      </c>
    </row>
    <row r="9" spans="1:9">
      <c r="A9" t="str">
        <f t="shared" si="0"/>
        <v>LIC28RG</v>
      </c>
      <c r="B9" t="str">
        <f>+VLOOKUP(D9,'Plan mapping'!A:B,2,0)</f>
        <v>RG</v>
      </c>
      <c r="C9" t="str">
        <f>+VLOOKUP(D9,'Plan mapping'!A:C,3,0)</f>
        <v>LIC28</v>
      </c>
      <c r="D9" s="142">
        <v>100865</v>
      </c>
      <c r="E9" t="s">
        <v>372</v>
      </c>
      <c r="F9" s="209">
        <v>62.287399999999998</v>
      </c>
      <c r="G9">
        <v>62.287399999999998</v>
      </c>
      <c r="H9">
        <v>62.287399999999998</v>
      </c>
      <c r="I9" s="120">
        <v>43187</v>
      </c>
    </row>
    <row r="10" spans="1:9">
      <c r="A10" t="str">
        <f t="shared" si="0"/>
        <v>LIC02ZD</v>
      </c>
      <c r="B10" t="str">
        <f>+VLOOKUP(D10,'Plan mapping'!A:B,2,0)</f>
        <v>ZD</v>
      </c>
      <c r="C10" t="str">
        <f>+VLOOKUP(D10,'Plan mapping'!A:C,3,0)</f>
        <v>LIC02</v>
      </c>
      <c r="D10" s="142">
        <v>134878</v>
      </c>
      <c r="E10" t="s">
        <v>373</v>
      </c>
      <c r="F10" s="209">
        <v>17.773599999999998</v>
      </c>
      <c r="G10">
        <v>17.773599999999998</v>
      </c>
      <c r="H10">
        <v>17.773599999999998</v>
      </c>
      <c r="I10" s="120">
        <v>43187</v>
      </c>
    </row>
    <row r="11" spans="1:9">
      <c r="A11" t="str">
        <f t="shared" si="0"/>
        <v>LIC02RD</v>
      </c>
      <c r="B11" t="str">
        <f>+VLOOKUP(D11,'Plan mapping'!A:B,2,0)</f>
        <v>RD</v>
      </c>
      <c r="C11" t="str">
        <f>+VLOOKUP(D11,'Plan mapping'!A:C,3,0)</f>
        <v>LIC02</v>
      </c>
      <c r="D11" s="142">
        <v>134865</v>
      </c>
      <c r="E11" t="s">
        <v>374</v>
      </c>
      <c r="F11" s="209">
        <v>17.1373</v>
      </c>
      <c r="G11">
        <v>17.1373</v>
      </c>
      <c r="H11">
        <v>17.1373</v>
      </c>
      <c r="I11" s="120">
        <v>43187</v>
      </c>
    </row>
    <row r="12" spans="1:9">
      <c r="A12" t="str">
        <f t="shared" si="0"/>
        <v>IgnoreIgnore</v>
      </c>
      <c r="B12" t="str">
        <f>+VLOOKUP(D12,'Plan mapping'!A:B,2,0)</f>
        <v>Ignore</v>
      </c>
      <c r="C12" t="str">
        <f>+VLOOKUP(D12,'Plan mapping'!A:C,3,0)</f>
        <v>Ignore</v>
      </c>
      <c r="D12" s="142">
        <v>134876</v>
      </c>
      <c r="E12" t="s">
        <v>376</v>
      </c>
      <c r="F12" s="209"/>
      <c r="G12">
        <v>17.773599999999998</v>
      </c>
      <c r="H12">
        <v>17.773599999999998</v>
      </c>
      <c r="I12" s="120">
        <v>43187</v>
      </c>
    </row>
    <row r="13" spans="1:9">
      <c r="A13" t="str">
        <f t="shared" si="0"/>
        <v>IgnoreIgnore</v>
      </c>
      <c r="B13" t="str">
        <f>+VLOOKUP(D13,'Plan mapping'!A:B,2,0)</f>
        <v>Ignore</v>
      </c>
      <c r="C13" t="str">
        <f>+VLOOKUP(D13,'Plan mapping'!A:C,3,0)</f>
        <v>Ignore</v>
      </c>
      <c r="D13" s="142">
        <v>134847</v>
      </c>
      <c r="E13" t="s">
        <v>377</v>
      </c>
      <c r="F13" s="209"/>
      <c r="G13">
        <v>17.1373</v>
      </c>
      <c r="H13">
        <v>17.1373</v>
      </c>
      <c r="I13" s="120">
        <v>43187</v>
      </c>
    </row>
    <row r="14" spans="1:9">
      <c r="A14" t="str">
        <f t="shared" si="0"/>
        <v>IgnoreIgnore</v>
      </c>
      <c r="B14" t="str">
        <f>+VLOOKUP(D14,'Plan mapping'!A:B,2,0)</f>
        <v>Ignore</v>
      </c>
      <c r="C14" t="str">
        <f>+VLOOKUP(D14,'Plan mapping'!A:C,3,0)</f>
        <v>Ignore</v>
      </c>
      <c r="D14" s="142">
        <v>135976</v>
      </c>
      <c r="E14" t="s">
        <v>378</v>
      </c>
      <c r="F14" s="209"/>
      <c r="G14">
        <v>17.773599999999998</v>
      </c>
      <c r="H14">
        <v>17.773599999999998</v>
      </c>
      <c r="I14" s="120">
        <v>43187</v>
      </c>
    </row>
    <row r="15" spans="1:9">
      <c r="A15" t="str">
        <f t="shared" si="0"/>
        <v>IgnoreIgnore</v>
      </c>
      <c r="B15" t="str">
        <f>+VLOOKUP(D15,'Plan mapping'!A:B,2,0)</f>
        <v>Ignore</v>
      </c>
      <c r="C15" t="str">
        <f>+VLOOKUP(D15,'Plan mapping'!A:C,3,0)</f>
        <v>Ignore</v>
      </c>
      <c r="D15" s="142">
        <v>135979</v>
      </c>
      <c r="E15" t="s">
        <v>379</v>
      </c>
      <c r="F15" s="209"/>
      <c r="G15">
        <v>17.1373</v>
      </c>
      <c r="H15">
        <v>17.1373</v>
      </c>
      <c r="I15" s="120">
        <v>43187</v>
      </c>
    </row>
    <row r="16" spans="1:9">
      <c r="A16" t="str">
        <f t="shared" si="0"/>
        <v>IgnoreIgnore</v>
      </c>
      <c r="B16" t="str">
        <f>+VLOOKUP(D16,'Plan mapping'!A:B,2,0)</f>
        <v>Ignore</v>
      </c>
      <c r="C16" t="str">
        <f>+VLOOKUP(D16,'Plan mapping'!A:C,3,0)</f>
        <v>Ignore</v>
      </c>
      <c r="D16" s="142">
        <v>134877</v>
      </c>
      <c r="E16" t="s">
        <v>380</v>
      </c>
      <c r="F16" s="209"/>
      <c r="G16">
        <v>17.773599999999998</v>
      </c>
      <c r="H16">
        <v>17.773599999999998</v>
      </c>
      <c r="I16" s="120">
        <v>43187</v>
      </c>
    </row>
    <row r="17" spans="1:9">
      <c r="A17" t="str">
        <f t="shared" si="0"/>
        <v>IgnoreIgnore</v>
      </c>
      <c r="B17" t="str">
        <f>+VLOOKUP(D17,'Plan mapping'!A:B,2,0)</f>
        <v>Ignore</v>
      </c>
      <c r="C17" t="str">
        <f>+VLOOKUP(D17,'Plan mapping'!A:C,3,0)</f>
        <v>Ignore</v>
      </c>
      <c r="D17" s="142">
        <v>134864</v>
      </c>
      <c r="E17" t="s">
        <v>381</v>
      </c>
      <c r="F17" s="209"/>
      <c r="G17">
        <v>17.1373</v>
      </c>
      <c r="H17">
        <v>17.1373</v>
      </c>
      <c r="I17" s="120">
        <v>43187</v>
      </c>
    </row>
    <row r="18" spans="1:9">
      <c r="A18" t="str">
        <f t="shared" si="0"/>
        <v>IgnoreIgnore</v>
      </c>
      <c r="B18" t="str">
        <f>+VLOOKUP(D18,'Plan mapping'!A:B,2,0)</f>
        <v>Ignore</v>
      </c>
      <c r="C18" t="str">
        <f>+VLOOKUP(D18,'Plan mapping'!A:C,3,0)</f>
        <v>Ignore</v>
      </c>
      <c r="D18" s="142">
        <v>134879</v>
      </c>
      <c r="E18" t="s">
        <v>382</v>
      </c>
      <c r="F18" s="209"/>
      <c r="G18">
        <v>17.773599999999998</v>
      </c>
      <c r="H18">
        <v>17.773599999999998</v>
      </c>
      <c r="I18" s="120">
        <v>43187</v>
      </c>
    </row>
    <row r="19" spans="1:9">
      <c r="A19" t="str">
        <f t="shared" si="0"/>
        <v>IgnoreIgnore</v>
      </c>
      <c r="B19" t="str">
        <f>+VLOOKUP(D19,'Plan mapping'!A:B,2,0)</f>
        <v>Ignore</v>
      </c>
      <c r="C19" t="str">
        <f>+VLOOKUP(D19,'Plan mapping'!A:C,3,0)</f>
        <v>Ignore</v>
      </c>
      <c r="D19" s="142">
        <v>134867</v>
      </c>
      <c r="E19" t="s">
        <v>383</v>
      </c>
      <c r="F19" s="209"/>
      <c r="G19">
        <v>17.1373</v>
      </c>
      <c r="H19">
        <v>17.1373</v>
      </c>
      <c r="I19" s="120">
        <v>43187</v>
      </c>
    </row>
    <row r="20" spans="1:9">
      <c r="A20" t="str">
        <f t="shared" si="0"/>
        <v>IgnoreIgnore</v>
      </c>
      <c r="B20" t="str">
        <f>+VLOOKUP(D20,'Plan mapping'!A:B,2,0)</f>
        <v>Ignore</v>
      </c>
      <c r="C20" t="str">
        <f>+VLOOKUP(D20,'Plan mapping'!A:C,3,0)</f>
        <v>Ignore</v>
      </c>
      <c r="D20" s="142">
        <v>134881</v>
      </c>
      <c r="E20" t="s">
        <v>384</v>
      </c>
      <c r="F20" s="209"/>
      <c r="G20">
        <v>17.773599999999998</v>
      </c>
      <c r="H20">
        <v>17.773599999999998</v>
      </c>
      <c r="I20" s="120">
        <v>43187</v>
      </c>
    </row>
    <row r="21" spans="1:9">
      <c r="A21" t="str">
        <f t="shared" si="0"/>
        <v>IgnoreIgnore</v>
      </c>
      <c r="B21" t="str">
        <f>+VLOOKUP(D21,'Plan mapping'!A:B,2,0)</f>
        <v>Ignore</v>
      </c>
      <c r="C21" t="str">
        <f>+VLOOKUP(D21,'Plan mapping'!A:C,3,0)</f>
        <v>Ignore</v>
      </c>
      <c r="D21" s="142">
        <v>134863</v>
      </c>
      <c r="E21" t="s">
        <v>385</v>
      </c>
      <c r="F21" s="209"/>
      <c r="G21">
        <v>17.1373</v>
      </c>
      <c r="H21">
        <v>17.1373</v>
      </c>
      <c r="I21" s="120">
        <v>43187</v>
      </c>
    </row>
    <row r="22" spans="1:9">
      <c r="A22" t="str">
        <f t="shared" si="0"/>
        <v>IgnoreIgnore</v>
      </c>
      <c r="B22" t="str">
        <f>+VLOOKUP(D22,'Plan mapping'!A:B,2,0)</f>
        <v>Ignore</v>
      </c>
      <c r="C22" t="str">
        <f>+VLOOKUP(D22,'Plan mapping'!A:C,3,0)</f>
        <v>Ignore</v>
      </c>
      <c r="D22" s="142">
        <v>135977</v>
      </c>
      <c r="E22" t="s">
        <v>386</v>
      </c>
      <c r="F22" s="209"/>
      <c r="G22">
        <v>17.773599999999998</v>
      </c>
      <c r="H22">
        <v>17.773599999999998</v>
      </c>
      <c r="I22" s="120">
        <v>43187</v>
      </c>
    </row>
    <row r="23" spans="1:9">
      <c r="A23" t="str">
        <f t="shared" si="0"/>
        <v>IgnoreIgnore</v>
      </c>
      <c r="B23" t="str">
        <f>+VLOOKUP(D23,'Plan mapping'!A:B,2,0)</f>
        <v>Ignore</v>
      </c>
      <c r="C23" t="str">
        <f>+VLOOKUP(D23,'Plan mapping'!A:C,3,0)</f>
        <v>Ignore</v>
      </c>
      <c r="D23" s="142">
        <v>135983</v>
      </c>
      <c r="E23" t="s">
        <v>387</v>
      </c>
      <c r="F23" s="209"/>
      <c r="G23">
        <v>17.1373</v>
      </c>
      <c r="H23">
        <v>17.1373</v>
      </c>
      <c r="I23" s="120">
        <v>43187</v>
      </c>
    </row>
    <row r="24" spans="1:9">
      <c r="A24" t="str">
        <f t="shared" si="0"/>
        <v>IgnoreIgnore</v>
      </c>
      <c r="B24" t="str">
        <f>+VLOOKUP(D24,'Plan mapping'!A:B,2,0)</f>
        <v>Ignore</v>
      </c>
      <c r="C24" t="str">
        <f>+VLOOKUP(D24,'Plan mapping'!A:C,3,0)</f>
        <v>Ignore</v>
      </c>
      <c r="D24" s="142">
        <v>134880</v>
      </c>
      <c r="E24" t="s">
        <v>388</v>
      </c>
      <c r="F24" s="209"/>
      <c r="G24">
        <v>17.773599999999998</v>
      </c>
      <c r="H24">
        <v>17.773599999999998</v>
      </c>
      <c r="I24" s="120">
        <v>43187</v>
      </c>
    </row>
    <row r="25" spans="1:9">
      <c r="A25" t="str">
        <f t="shared" si="0"/>
        <v>IgnoreIgnore</v>
      </c>
      <c r="B25" t="str">
        <f>+VLOOKUP(D25,'Plan mapping'!A:B,2,0)</f>
        <v>Ignore</v>
      </c>
      <c r="C25" t="str">
        <f>+VLOOKUP(D25,'Plan mapping'!A:C,3,0)</f>
        <v>Ignore</v>
      </c>
      <c r="D25" s="142">
        <v>134868</v>
      </c>
      <c r="E25" t="s">
        <v>389</v>
      </c>
      <c r="F25" s="209"/>
      <c r="G25">
        <v>17.1373</v>
      </c>
      <c r="H25">
        <v>17.1373</v>
      </c>
      <c r="I25" s="120">
        <v>43187</v>
      </c>
    </row>
    <row r="26" spans="1:9">
      <c r="A26" t="str">
        <f t="shared" si="0"/>
        <v>IgnoreIgnore</v>
      </c>
      <c r="B26" t="str">
        <f>+VLOOKUP(D26,'Plan mapping'!A:B,2,0)</f>
        <v>Ignore</v>
      </c>
      <c r="C26" t="str">
        <f>+VLOOKUP(D26,'Plan mapping'!A:C,3,0)</f>
        <v>Ignore</v>
      </c>
      <c r="D26" s="142">
        <v>134875</v>
      </c>
      <c r="E26" t="s">
        <v>390</v>
      </c>
      <c r="F26" s="209"/>
      <c r="G26">
        <v>17.773599999999998</v>
      </c>
      <c r="H26">
        <v>17.773599999999998</v>
      </c>
      <c r="I26" s="120">
        <v>43187</v>
      </c>
    </row>
    <row r="27" spans="1:9">
      <c r="A27" t="str">
        <f t="shared" si="0"/>
        <v>IgnoreIgnore</v>
      </c>
      <c r="B27" t="str">
        <f>+VLOOKUP(D27,'Plan mapping'!A:B,2,0)</f>
        <v>Ignore</v>
      </c>
      <c r="C27" t="str">
        <f>+VLOOKUP(D27,'Plan mapping'!A:C,3,0)</f>
        <v>Ignore</v>
      </c>
      <c r="D27" s="142">
        <v>134846</v>
      </c>
      <c r="E27" t="s">
        <v>391</v>
      </c>
      <c r="F27" s="209"/>
      <c r="G27">
        <v>17.1373</v>
      </c>
      <c r="H27">
        <v>17.1373</v>
      </c>
      <c r="I27" s="120">
        <v>43187</v>
      </c>
    </row>
    <row r="28" spans="1:9">
      <c r="A28" t="str">
        <f t="shared" si="0"/>
        <v>IgnoreIgnore</v>
      </c>
      <c r="B28" t="str">
        <f>+VLOOKUP(D28,'Plan mapping'!A:B,2,0)</f>
        <v>Ignore</v>
      </c>
      <c r="C28" t="str">
        <f>+VLOOKUP(D28,'Plan mapping'!A:C,3,0)</f>
        <v>Ignore</v>
      </c>
      <c r="D28" s="142">
        <v>134882</v>
      </c>
      <c r="E28" t="s">
        <v>392</v>
      </c>
      <c r="F28" s="209"/>
      <c r="G28">
        <v>17.773599999999998</v>
      </c>
      <c r="H28">
        <v>17.773599999999998</v>
      </c>
      <c r="I28" s="120">
        <v>43187</v>
      </c>
    </row>
    <row r="29" spans="1:9">
      <c r="A29" t="str">
        <f t="shared" si="0"/>
        <v>IgnoreIgnore</v>
      </c>
      <c r="B29" t="str">
        <f>+VLOOKUP(D29,'Plan mapping'!A:B,2,0)</f>
        <v>Ignore</v>
      </c>
      <c r="C29" t="str">
        <f>+VLOOKUP(D29,'Plan mapping'!A:C,3,0)</f>
        <v>Ignore</v>
      </c>
      <c r="D29" s="142">
        <v>134870</v>
      </c>
      <c r="E29" t="s">
        <v>393</v>
      </c>
      <c r="F29" s="209"/>
      <c r="G29">
        <v>17.1373</v>
      </c>
      <c r="H29">
        <v>17.1373</v>
      </c>
      <c r="I29" s="120">
        <v>43187</v>
      </c>
    </row>
    <row r="30" spans="1:9">
      <c r="A30" t="str">
        <f t="shared" si="0"/>
        <v>IgnoreIgnore</v>
      </c>
      <c r="B30" t="str">
        <f>+VLOOKUP(D30,'Plan mapping'!A:B,2,0)</f>
        <v>Ignore</v>
      </c>
      <c r="C30" t="str">
        <f>+VLOOKUP(D30,'Plan mapping'!A:C,3,0)</f>
        <v>Ignore</v>
      </c>
      <c r="D30" s="142">
        <v>134884</v>
      </c>
      <c r="E30" t="s">
        <v>394</v>
      </c>
      <c r="F30" s="209"/>
      <c r="G30">
        <v>17.773599999999998</v>
      </c>
      <c r="H30">
        <v>17.773599999999998</v>
      </c>
      <c r="I30" s="120">
        <v>43187</v>
      </c>
    </row>
    <row r="31" spans="1:9">
      <c r="A31" t="str">
        <f t="shared" si="0"/>
        <v>IgnoreIgnore</v>
      </c>
      <c r="B31" t="str">
        <f>+VLOOKUP(D31,'Plan mapping'!A:B,2,0)</f>
        <v>Ignore</v>
      </c>
      <c r="C31" t="str">
        <f>+VLOOKUP(D31,'Plan mapping'!A:C,3,0)</f>
        <v>Ignore</v>
      </c>
      <c r="D31" s="142">
        <v>134869</v>
      </c>
      <c r="E31" t="s">
        <v>395</v>
      </c>
      <c r="F31" s="209"/>
      <c r="G31">
        <v>17.1373</v>
      </c>
      <c r="H31">
        <v>17.1373</v>
      </c>
      <c r="I31" s="120">
        <v>43187</v>
      </c>
    </row>
    <row r="32" spans="1:9">
      <c r="A32" t="str">
        <f t="shared" si="0"/>
        <v>IgnoreIgnore</v>
      </c>
      <c r="B32" t="str">
        <f>+VLOOKUP(D32,'Plan mapping'!A:B,2,0)</f>
        <v>Ignore</v>
      </c>
      <c r="C32" t="str">
        <f>+VLOOKUP(D32,'Plan mapping'!A:C,3,0)</f>
        <v>Ignore</v>
      </c>
      <c r="D32" s="142">
        <v>135978</v>
      </c>
      <c r="E32" t="s">
        <v>396</v>
      </c>
      <c r="F32" s="209"/>
      <c r="G32">
        <v>17.773599999999998</v>
      </c>
      <c r="H32">
        <v>17.773599999999998</v>
      </c>
      <c r="I32" s="120">
        <v>43187</v>
      </c>
    </row>
    <row r="33" spans="1:9">
      <c r="A33" t="str">
        <f t="shared" si="0"/>
        <v>IgnoreIgnore</v>
      </c>
      <c r="B33" t="str">
        <f>+VLOOKUP(D33,'Plan mapping'!A:B,2,0)</f>
        <v>Ignore</v>
      </c>
      <c r="C33" t="str">
        <f>+VLOOKUP(D33,'Plan mapping'!A:C,3,0)</f>
        <v>Ignore</v>
      </c>
      <c r="D33" s="142">
        <v>135981</v>
      </c>
      <c r="E33" t="s">
        <v>397</v>
      </c>
      <c r="F33" s="209"/>
      <c r="G33">
        <v>17.1373</v>
      </c>
      <c r="H33">
        <v>17.1373</v>
      </c>
      <c r="I33" s="120">
        <v>43187</v>
      </c>
    </row>
    <row r="34" spans="1:9">
      <c r="A34" t="str">
        <f t="shared" si="0"/>
        <v>IgnoreIgnore</v>
      </c>
      <c r="B34" t="str">
        <f>+VLOOKUP(D34,'Plan mapping'!A:B,2,0)</f>
        <v>Ignore</v>
      </c>
      <c r="C34" t="str">
        <f>+VLOOKUP(D34,'Plan mapping'!A:C,3,0)</f>
        <v>Ignore</v>
      </c>
      <c r="D34" s="142">
        <v>134883</v>
      </c>
      <c r="E34" t="s">
        <v>398</v>
      </c>
      <c r="F34" s="209"/>
      <c r="G34">
        <v>17.773599999999998</v>
      </c>
      <c r="H34">
        <v>17.773599999999998</v>
      </c>
      <c r="I34" s="120">
        <v>43187</v>
      </c>
    </row>
    <row r="35" spans="1:9">
      <c r="A35" t="str">
        <f t="shared" si="0"/>
        <v>IgnoreIgnore</v>
      </c>
      <c r="B35" t="str">
        <f>+VLOOKUP(D35,'Plan mapping'!A:B,2,0)</f>
        <v>Ignore</v>
      </c>
      <c r="C35" t="str">
        <f>+VLOOKUP(D35,'Plan mapping'!A:C,3,0)</f>
        <v>Ignore</v>
      </c>
      <c r="D35" s="142">
        <v>134871</v>
      </c>
      <c r="E35" t="s">
        <v>399</v>
      </c>
      <c r="F35" s="209"/>
      <c r="G35">
        <v>17.1373</v>
      </c>
      <c r="H35">
        <v>17.1373</v>
      </c>
      <c r="I35" s="120">
        <v>43187</v>
      </c>
    </row>
    <row r="36" spans="1:9">
      <c r="A36" t="str">
        <f t="shared" si="0"/>
        <v>IgnoreIgnore</v>
      </c>
      <c r="B36" t="str">
        <f>+VLOOKUP(D36,'Plan mapping'!A:B,2,0)</f>
        <v>Ignore</v>
      </c>
      <c r="C36" t="str">
        <f>+VLOOKUP(D36,'Plan mapping'!A:C,3,0)</f>
        <v>Ignore</v>
      </c>
      <c r="D36" s="142">
        <v>134885</v>
      </c>
      <c r="E36" t="s">
        <v>400</v>
      </c>
      <c r="F36" s="209"/>
      <c r="G36">
        <v>17.773599999999998</v>
      </c>
      <c r="H36">
        <v>17.773599999999998</v>
      </c>
      <c r="I36" s="120">
        <v>43187</v>
      </c>
    </row>
    <row r="37" spans="1:9">
      <c r="A37" t="str">
        <f t="shared" si="0"/>
        <v>IgnoreIgnore</v>
      </c>
      <c r="B37" t="str">
        <f>+VLOOKUP(D37,'Plan mapping'!A:B,2,0)</f>
        <v>Ignore</v>
      </c>
      <c r="C37" t="str">
        <f>+VLOOKUP(D37,'Plan mapping'!A:C,3,0)</f>
        <v>Ignore</v>
      </c>
      <c r="D37" s="142">
        <v>134873</v>
      </c>
      <c r="E37" t="s">
        <v>401</v>
      </c>
      <c r="F37" s="209"/>
      <c r="G37">
        <v>17.1373</v>
      </c>
      <c r="H37">
        <v>17.1373</v>
      </c>
      <c r="I37" s="120">
        <v>43187</v>
      </c>
    </row>
    <row r="38" spans="1:9">
      <c r="A38" t="str">
        <f t="shared" si="0"/>
        <v>IgnoreIgnore</v>
      </c>
      <c r="B38" t="str">
        <f>+VLOOKUP(D38,'Plan mapping'!A:B,2,0)</f>
        <v>Ignore</v>
      </c>
      <c r="C38" t="str">
        <f>+VLOOKUP(D38,'Plan mapping'!A:C,3,0)</f>
        <v>Ignore</v>
      </c>
      <c r="D38" s="142">
        <v>134887</v>
      </c>
      <c r="E38" t="s">
        <v>402</v>
      </c>
      <c r="F38" s="209"/>
      <c r="G38">
        <v>17.773599999999998</v>
      </c>
      <c r="H38">
        <v>17.773599999999998</v>
      </c>
      <c r="I38" s="120">
        <v>43187</v>
      </c>
    </row>
    <row r="39" spans="1:9">
      <c r="A39" t="str">
        <f t="shared" si="0"/>
        <v>IgnoreIgnore</v>
      </c>
      <c r="B39" t="str">
        <f>+VLOOKUP(D39,'Plan mapping'!A:B,2,0)</f>
        <v>Ignore</v>
      </c>
      <c r="C39" t="str">
        <f>+VLOOKUP(D39,'Plan mapping'!A:C,3,0)</f>
        <v>Ignore</v>
      </c>
      <c r="D39" s="142">
        <v>134872</v>
      </c>
      <c r="E39" t="s">
        <v>403</v>
      </c>
      <c r="F39" s="209"/>
      <c r="G39">
        <v>17.1373</v>
      </c>
      <c r="H39">
        <v>17.1373</v>
      </c>
      <c r="I39" s="120">
        <v>43187</v>
      </c>
    </row>
    <row r="40" spans="1:9">
      <c r="A40" t="str">
        <f t="shared" si="0"/>
        <v>IgnoreIgnore</v>
      </c>
      <c r="B40" t="str">
        <f>+VLOOKUP(D40,'Plan mapping'!A:B,2,0)</f>
        <v>Ignore</v>
      </c>
      <c r="C40" t="str">
        <f>+VLOOKUP(D40,'Plan mapping'!A:C,3,0)</f>
        <v>Ignore</v>
      </c>
      <c r="D40" s="142">
        <v>135980</v>
      </c>
      <c r="E40" t="s">
        <v>404</v>
      </c>
      <c r="F40" s="209"/>
      <c r="G40">
        <v>17.773599999999998</v>
      </c>
      <c r="H40">
        <v>17.773599999999998</v>
      </c>
      <c r="I40" s="120">
        <v>43187</v>
      </c>
    </row>
    <row r="41" spans="1:9">
      <c r="A41" t="str">
        <f t="shared" si="0"/>
        <v>IgnoreIgnore</v>
      </c>
      <c r="B41" t="str">
        <f>+VLOOKUP(D41,'Plan mapping'!A:B,2,0)</f>
        <v>Ignore</v>
      </c>
      <c r="C41" t="str">
        <f>+VLOOKUP(D41,'Plan mapping'!A:C,3,0)</f>
        <v>Ignore</v>
      </c>
      <c r="D41" s="142">
        <v>135982</v>
      </c>
      <c r="E41" t="s">
        <v>405</v>
      </c>
      <c r="F41" s="209"/>
      <c r="G41">
        <v>17.1373</v>
      </c>
      <c r="H41">
        <v>17.1373</v>
      </c>
      <c r="I41" s="120">
        <v>43187</v>
      </c>
    </row>
    <row r="42" spans="1:9">
      <c r="A42" t="str">
        <f t="shared" si="0"/>
        <v>IgnoreIgnore</v>
      </c>
      <c r="B42" t="str">
        <f>+VLOOKUP(D42,'Plan mapping'!A:B,2,0)</f>
        <v>Ignore</v>
      </c>
      <c r="C42" t="str">
        <f>+VLOOKUP(D42,'Plan mapping'!A:C,3,0)</f>
        <v>Ignore</v>
      </c>
      <c r="D42" s="142">
        <v>134886</v>
      </c>
      <c r="E42" t="s">
        <v>406</v>
      </c>
      <c r="F42" s="209"/>
      <c r="G42">
        <v>17.773599999999998</v>
      </c>
      <c r="H42">
        <v>17.773599999999998</v>
      </c>
      <c r="I42" s="120">
        <v>43187</v>
      </c>
    </row>
    <row r="43" spans="1:9">
      <c r="A43" t="str">
        <f t="shared" si="0"/>
        <v>IgnoreIgnore</v>
      </c>
      <c r="B43" t="str">
        <f>+VLOOKUP(D43,'Plan mapping'!A:B,2,0)</f>
        <v>Ignore</v>
      </c>
      <c r="C43" t="str">
        <f>+VLOOKUP(D43,'Plan mapping'!A:C,3,0)</f>
        <v>Ignore</v>
      </c>
      <c r="D43" s="142">
        <v>134874</v>
      </c>
      <c r="E43" t="s">
        <v>407</v>
      </c>
      <c r="F43" s="209"/>
      <c r="G43">
        <v>17.1373</v>
      </c>
      <c r="H43">
        <v>17.1373</v>
      </c>
      <c r="I43" s="120">
        <v>43187</v>
      </c>
    </row>
    <row r="44" spans="1:9">
      <c r="A44" t="str">
        <f t="shared" si="0"/>
        <v>IgnoreIgnore</v>
      </c>
      <c r="B44" t="str">
        <f>+VLOOKUP(D44,'Plan mapping'!A:B,2,0)</f>
        <v>Ignore</v>
      </c>
      <c r="C44" t="str">
        <f>+VLOOKUP(D44,'Plan mapping'!A:C,3,0)</f>
        <v>Ignore</v>
      </c>
      <c r="D44" s="142">
        <v>120259</v>
      </c>
      <c r="E44" t="s">
        <v>408</v>
      </c>
      <c r="F44" s="209"/>
      <c r="G44">
        <v>17.773599999999998</v>
      </c>
      <c r="H44">
        <v>17.773599999999998</v>
      </c>
      <c r="I44" s="120">
        <v>43187</v>
      </c>
    </row>
    <row r="45" spans="1:9">
      <c r="A45" t="str">
        <f t="shared" si="0"/>
        <v>IgnoreIgnore</v>
      </c>
      <c r="B45" t="str">
        <f>+VLOOKUP(D45,'Plan mapping'!A:B,2,0)</f>
        <v>Ignore</v>
      </c>
      <c r="C45" t="str">
        <f>+VLOOKUP(D45,'Plan mapping'!A:C,3,0)</f>
        <v>Ignore</v>
      </c>
      <c r="D45" s="142">
        <v>100325</v>
      </c>
      <c r="E45" t="s">
        <v>409</v>
      </c>
      <c r="F45" s="209"/>
      <c r="G45">
        <v>17.1373</v>
      </c>
      <c r="H45">
        <v>17.1373</v>
      </c>
      <c r="I45" s="120">
        <v>43187</v>
      </c>
    </row>
    <row r="46" spans="1:9">
      <c r="A46" t="str">
        <f t="shared" si="0"/>
        <v>LIC34ZD</v>
      </c>
      <c r="B46" t="str">
        <f>+VLOOKUP(D46,'Plan mapping'!A:B,2,0)</f>
        <v>ZD</v>
      </c>
      <c r="C46" t="str">
        <f>+VLOOKUP(D46,'Plan mapping'!A:C,3,0)</f>
        <v>LIC34</v>
      </c>
      <c r="D46" s="142">
        <v>120283</v>
      </c>
      <c r="E46" t="s">
        <v>363</v>
      </c>
      <c r="F46" s="209">
        <v>10.9291</v>
      </c>
      <c r="G46">
        <v>10.9018</v>
      </c>
      <c r="H46">
        <v>10.9291</v>
      </c>
      <c r="I46" s="120">
        <v>43187</v>
      </c>
    </row>
    <row r="47" spans="1:9">
      <c r="A47" t="str">
        <f t="shared" si="0"/>
        <v>LIC34ZG</v>
      </c>
      <c r="B47" t="str">
        <f>+VLOOKUP(D47,'Plan mapping'!A:B,2,0)</f>
        <v>ZG</v>
      </c>
      <c r="C47" t="str">
        <f>+VLOOKUP(D47,'Plan mapping'!A:C,3,0)</f>
        <v>LIC34</v>
      </c>
      <c r="D47" s="142">
        <v>120282</v>
      </c>
      <c r="E47" t="s">
        <v>364</v>
      </c>
      <c r="F47" s="209">
        <v>38.215800000000002</v>
      </c>
      <c r="G47">
        <v>38.1203</v>
      </c>
      <c r="H47">
        <v>38.215800000000002</v>
      </c>
      <c r="I47" s="120">
        <v>43187</v>
      </c>
    </row>
    <row r="48" spans="1:9">
      <c r="A48" t="str">
        <f t="shared" si="0"/>
        <v>LIC34PD</v>
      </c>
      <c r="B48" t="str">
        <f>+VLOOKUP(D48,'Plan mapping'!A:B,2,0)</f>
        <v>PD</v>
      </c>
      <c r="C48" t="str">
        <f>+VLOOKUP(D48,'Plan mapping'!A:C,3,0)</f>
        <v>LIC34</v>
      </c>
      <c r="D48" s="142">
        <v>100318</v>
      </c>
      <c r="E48" t="s">
        <v>365</v>
      </c>
      <c r="F48" s="209">
        <v>13.6913</v>
      </c>
      <c r="G48">
        <v>13.6571</v>
      </c>
      <c r="H48">
        <v>13.6913</v>
      </c>
      <c r="I48" s="120">
        <v>43187</v>
      </c>
    </row>
    <row r="49" spans="1:9">
      <c r="A49" t="str">
        <f t="shared" si="0"/>
        <v>LIC34PG</v>
      </c>
      <c r="B49" t="str">
        <f>+VLOOKUP(D49,'Plan mapping'!A:B,2,0)</f>
        <v>PG</v>
      </c>
      <c r="C49" t="str">
        <f>+VLOOKUP(D49,'Plan mapping'!A:C,3,0)</f>
        <v>LIC34</v>
      </c>
      <c r="D49" s="142">
        <v>100319</v>
      </c>
      <c r="E49" t="s">
        <v>366</v>
      </c>
      <c r="F49" s="209">
        <v>21.158100000000001</v>
      </c>
      <c r="G49">
        <v>21.1052</v>
      </c>
      <c r="H49">
        <v>21.158100000000001</v>
      </c>
      <c r="I49" s="120">
        <v>43187</v>
      </c>
    </row>
    <row r="50" spans="1:9">
      <c r="A50" t="str">
        <f t="shared" si="0"/>
        <v>LIC34RD</v>
      </c>
      <c r="B50" t="str">
        <f>+VLOOKUP(D50,'Plan mapping'!A:B,2,0)</f>
        <v>RD</v>
      </c>
      <c r="C50" t="str">
        <f>+VLOOKUP(D50,'Plan mapping'!A:C,3,0)</f>
        <v>LIC34</v>
      </c>
      <c r="D50" s="142">
        <v>100316</v>
      </c>
      <c r="E50" t="s">
        <v>367</v>
      </c>
      <c r="F50" s="209">
        <v>10.5595</v>
      </c>
      <c r="G50">
        <v>10.533099999999999</v>
      </c>
      <c r="H50">
        <v>10.5595</v>
      </c>
      <c r="I50" s="120">
        <v>43187</v>
      </c>
    </row>
    <row r="51" spans="1:9">
      <c r="A51" t="str">
        <f t="shared" si="0"/>
        <v>LIC34RG</v>
      </c>
      <c r="B51" t="str">
        <f>+VLOOKUP(D51,'Plan mapping'!A:B,2,0)</f>
        <v>RG</v>
      </c>
      <c r="C51" t="str">
        <f>+VLOOKUP(D51,'Plan mapping'!A:C,3,0)</f>
        <v>LIC34</v>
      </c>
      <c r="D51" s="142">
        <v>100317</v>
      </c>
      <c r="E51" t="s">
        <v>368</v>
      </c>
      <c r="F51" s="209">
        <v>36.633400000000002</v>
      </c>
      <c r="G51">
        <v>36.541800000000002</v>
      </c>
      <c r="H51">
        <v>36.633400000000002</v>
      </c>
      <c r="I51" s="120">
        <v>43187</v>
      </c>
    </row>
    <row r="52" spans="1:9">
      <c r="A52" t="str">
        <f t="shared" si="0"/>
        <v>LIC171ZD</v>
      </c>
      <c r="B52" t="str">
        <f>+VLOOKUP(D52,'Plan mapping'!A:B,2,0)</f>
        <v>ZD</v>
      </c>
      <c r="C52" t="str">
        <f>+VLOOKUP(D52,'Plan mapping'!A:C,3,0)</f>
        <v>LIC171</v>
      </c>
      <c r="D52" s="142">
        <v>133908</v>
      </c>
      <c r="E52" t="s">
        <v>325</v>
      </c>
      <c r="F52" s="209">
        <v>10.7637</v>
      </c>
      <c r="G52">
        <v>10.6561</v>
      </c>
      <c r="H52">
        <v>10.7637</v>
      </c>
      <c r="I52" s="120">
        <v>43187</v>
      </c>
    </row>
    <row r="53" spans="1:9">
      <c r="A53" t="str">
        <f t="shared" si="0"/>
        <v>LIC171ZG</v>
      </c>
      <c r="B53" t="str">
        <f>+VLOOKUP(D53,'Plan mapping'!A:B,2,0)</f>
        <v>ZG</v>
      </c>
      <c r="C53" t="str">
        <f>+VLOOKUP(D53,'Plan mapping'!A:C,3,0)</f>
        <v>LIC171</v>
      </c>
      <c r="D53" s="142">
        <v>134017</v>
      </c>
      <c r="E53" t="s">
        <v>326</v>
      </c>
      <c r="F53" s="209">
        <v>10.7784</v>
      </c>
      <c r="G53">
        <v>10.6706</v>
      </c>
      <c r="H53">
        <v>10.7784</v>
      </c>
      <c r="I53" s="120">
        <v>43187</v>
      </c>
    </row>
    <row r="54" spans="1:9">
      <c r="A54" t="str">
        <f t="shared" si="0"/>
        <v>LIC171RD</v>
      </c>
      <c r="B54" t="str">
        <f>+VLOOKUP(D54,'Plan mapping'!A:B,2,0)</f>
        <v>RD</v>
      </c>
      <c r="C54" t="str">
        <f>+VLOOKUP(D54,'Plan mapping'!A:C,3,0)</f>
        <v>LIC171</v>
      </c>
      <c r="D54" s="142">
        <v>134015</v>
      </c>
      <c r="E54" t="s">
        <v>327</v>
      </c>
      <c r="F54" s="209">
        <v>10.461600000000001</v>
      </c>
      <c r="G54">
        <v>10.356999999999999</v>
      </c>
      <c r="H54">
        <v>10.461600000000001</v>
      </c>
      <c r="I54" s="120">
        <v>43187</v>
      </c>
    </row>
    <row r="55" spans="1:9">
      <c r="A55" t="str">
        <f t="shared" si="0"/>
        <v>LIC171RG</v>
      </c>
      <c r="B55" t="str">
        <f>+VLOOKUP(D55,'Plan mapping'!A:B,2,0)</f>
        <v>RG</v>
      </c>
      <c r="C55" t="str">
        <f>+VLOOKUP(D55,'Plan mapping'!A:C,3,0)</f>
        <v>LIC171</v>
      </c>
      <c r="D55" s="142">
        <v>134016</v>
      </c>
      <c r="E55" t="s">
        <v>328</v>
      </c>
      <c r="F55" s="209">
        <v>10.462400000000001</v>
      </c>
      <c r="G55">
        <v>10.357799999999999</v>
      </c>
      <c r="H55">
        <v>10.462400000000001</v>
      </c>
      <c r="I55" s="120">
        <v>43187</v>
      </c>
    </row>
    <row r="56" spans="1:9">
      <c r="A56" t="str">
        <f t="shared" si="0"/>
        <v>LIC35ZG</v>
      </c>
      <c r="B56" t="str">
        <f>+VLOOKUP(D56,'Plan mapping'!A:B,2,0)</f>
        <v>ZG</v>
      </c>
      <c r="C56" t="str">
        <f>+VLOOKUP(D56,'Plan mapping'!A:C,3,0)</f>
        <v>LIC35</v>
      </c>
      <c r="D56" s="142">
        <v>120285</v>
      </c>
      <c r="E56" t="s">
        <v>329</v>
      </c>
      <c r="F56" s="209">
        <v>17.2989</v>
      </c>
      <c r="G56">
        <v>17.2989</v>
      </c>
      <c r="H56">
        <v>17.2989</v>
      </c>
      <c r="I56" s="120">
        <v>43187</v>
      </c>
    </row>
    <row r="57" spans="1:9">
      <c r="A57" t="str">
        <f t="shared" si="0"/>
        <v>LIC35RG</v>
      </c>
      <c r="B57" t="str">
        <f>+VLOOKUP(D57,'Plan mapping'!A:B,2,0)</f>
        <v>RG</v>
      </c>
      <c r="C57" t="str">
        <f>+VLOOKUP(D57,'Plan mapping'!A:C,3,0)</f>
        <v>LIC35</v>
      </c>
      <c r="D57" s="142">
        <v>101271</v>
      </c>
      <c r="E57" t="s">
        <v>330</v>
      </c>
      <c r="F57" s="209">
        <v>16.479500000000002</v>
      </c>
      <c r="G57">
        <v>16.479500000000002</v>
      </c>
      <c r="H57">
        <v>16.479500000000002</v>
      </c>
      <c r="I57" s="120">
        <v>43187</v>
      </c>
    </row>
    <row r="58" spans="1:9">
      <c r="A58" t="str">
        <f t="shared" si="0"/>
        <v>LIC17ZD</v>
      </c>
      <c r="B58" t="str">
        <f>+VLOOKUP(D58,'Plan mapping'!A:B,2,0)</f>
        <v>ZD</v>
      </c>
      <c r="C58" t="str">
        <f>+VLOOKUP(D58,'Plan mapping'!A:C,3,0)</f>
        <v>LIC17</v>
      </c>
      <c r="D58" s="142">
        <v>120263</v>
      </c>
      <c r="E58" t="s">
        <v>331</v>
      </c>
      <c r="F58" s="209">
        <v>17.259499999999999</v>
      </c>
      <c r="G58">
        <v>17.0869</v>
      </c>
      <c r="H58">
        <v>17.259499999999999</v>
      </c>
      <c r="I58" s="120">
        <v>43187</v>
      </c>
    </row>
    <row r="59" spans="1:9">
      <c r="A59" t="str">
        <f t="shared" si="0"/>
        <v>LIC17ZG</v>
      </c>
      <c r="B59" t="str">
        <f>+VLOOKUP(D59,'Plan mapping'!A:B,2,0)</f>
        <v>ZG</v>
      </c>
      <c r="C59" t="str">
        <f>+VLOOKUP(D59,'Plan mapping'!A:C,3,0)</f>
        <v>LIC17</v>
      </c>
      <c r="D59" s="142">
        <v>120264</v>
      </c>
      <c r="E59" t="s">
        <v>332</v>
      </c>
      <c r="F59" s="209">
        <v>44.755499999999998</v>
      </c>
      <c r="G59">
        <v>44.307899999999997</v>
      </c>
      <c r="H59">
        <v>44.755499999999998</v>
      </c>
      <c r="I59" s="120">
        <v>43187</v>
      </c>
    </row>
    <row r="60" spans="1:9">
      <c r="A60" t="str">
        <f t="shared" si="0"/>
        <v>LIC17RD</v>
      </c>
      <c r="B60" t="str">
        <f>+VLOOKUP(D60,'Plan mapping'!A:B,2,0)</f>
        <v>RD</v>
      </c>
      <c r="C60" t="str">
        <f>+VLOOKUP(D60,'Plan mapping'!A:C,3,0)</f>
        <v>LIC17</v>
      </c>
      <c r="D60" s="142">
        <v>100312</v>
      </c>
      <c r="E60" t="s">
        <v>333</v>
      </c>
      <c r="F60" s="209">
        <v>14.1698</v>
      </c>
      <c r="G60">
        <v>14.0281</v>
      </c>
      <c r="H60">
        <v>14.1698</v>
      </c>
      <c r="I60" s="120">
        <v>43187</v>
      </c>
    </row>
    <row r="61" spans="1:9">
      <c r="A61" t="str">
        <f t="shared" si="0"/>
        <v>LIC17RG</v>
      </c>
      <c r="B61" t="str">
        <f>+VLOOKUP(D61,'Plan mapping'!A:B,2,0)</f>
        <v>RG</v>
      </c>
      <c r="C61" t="str">
        <f>+VLOOKUP(D61,'Plan mapping'!A:C,3,0)</f>
        <v>LIC17</v>
      </c>
      <c r="D61" s="142">
        <v>100313</v>
      </c>
      <c r="E61" t="s">
        <v>334</v>
      </c>
      <c r="F61" s="209">
        <v>43.295999999999999</v>
      </c>
      <c r="G61">
        <v>42.863</v>
      </c>
      <c r="H61">
        <v>43.295999999999999</v>
      </c>
      <c r="I61" s="120">
        <v>43187</v>
      </c>
    </row>
    <row r="62" spans="1:9">
      <c r="A62" t="str">
        <f t="shared" si="0"/>
        <v>LIC19ZD</v>
      </c>
      <c r="B62" t="str">
        <f>+VLOOKUP(D62,'Plan mapping'!A:B,2,0)</f>
        <v>ZD</v>
      </c>
      <c r="C62" t="str">
        <f>+VLOOKUP(D62,'Plan mapping'!A:C,3,0)</f>
        <v>LIC19</v>
      </c>
      <c r="D62" s="142">
        <v>120268</v>
      </c>
      <c r="E62" t="s">
        <v>335</v>
      </c>
      <c r="F62" s="209">
        <v>18.5016</v>
      </c>
      <c r="G62">
        <v>18.316600000000001</v>
      </c>
      <c r="H62">
        <v>18.5016</v>
      </c>
      <c r="I62" s="120">
        <v>43187</v>
      </c>
    </row>
    <row r="63" spans="1:9">
      <c r="A63" t="str">
        <f t="shared" si="0"/>
        <v>LIC19ZG</v>
      </c>
      <c r="B63" t="str">
        <f>+VLOOKUP(D63,'Plan mapping'!A:B,2,0)</f>
        <v>ZG</v>
      </c>
      <c r="C63" t="str">
        <f>+VLOOKUP(D63,'Plan mapping'!A:C,3,0)</f>
        <v>LIC19</v>
      </c>
      <c r="D63" s="142">
        <v>120267</v>
      </c>
      <c r="E63" t="s">
        <v>336</v>
      </c>
      <c r="F63" s="209">
        <v>25.037700000000001</v>
      </c>
      <c r="G63">
        <v>24.787299999999998</v>
      </c>
      <c r="H63">
        <v>25.037700000000001</v>
      </c>
      <c r="I63" s="120">
        <v>43187</v>
      </c>
    </row>
    <row r="64" spans="1:9">
      <c r="A64" t="str">
        <f t="shared" si="0"/>
        <v>LIC19RD</v>
      </c>
      <c r="B64" t="str">
        <f>+VLOOKUP(D64,'Plan mapping'!A:B,2,0)</f>
        <v>RD</v>
      </c>
      <c r="C64" t="str">
        <f>+VLOOKUP(D64,'Plan mapping'!A:C,3,0)</f>
        <v>LIC19</v>
      </c>
      <c r="D64" s="142">
        <v>100332</v>
      </c>
      <c r="E64" t="s">
        <v>337</v>
      </c>
      <c r="F64" s="209">
        <v>16.366399999999999</v>
      </c>
      <c r="G64">
        <v>16.2027</v>
      </c>
      <c r="H64">
        <v>16.366399999999999</v>
      </c>
      <c r="I64" s="120">
        <v>43187</v>
      </c>
    </row>
    <row r="65" spans="1:9">
      <c r="A65" t="str">
        <f t="shared" si="0"/>
        <v>LIC19RG</v>
      </c>
      <c r="B65" t="str">
        <f>+VLOOKUP(D65,'Plan mapping'!A:B,2,0)</f>
        <v>RG</v>
      </c>
      <c r="C65" t="str">
        <f>+VLOOKUP(D65,'Plan mapping'!A:C,3,0)</f>
        <v>LIC19</v>
      </c>
      <c r="D65" s="142">
        <v>106871</v>
      </c>
      <c r="E65" t="s">
        <v>338</v>
      </c>
      <c r="F65" s="209">
        <v>23.944099999999999</v>
      </c>
      <c r="G65">
        <v>23.704699999999999</v>
      </c>
      <c r="H65">
        <v>23.944099999999999</v>
      </c>
      <c r="I65" s="120">
        <v>43187</v>
      </c>
    </row>
    <row r="66" spans="1:9">
      <c r="A66" t="str">
        <f t="shared" si="0"/>
        <v>LIC38ZD</v>
      </c>
      <c r="B66" t="str">
        <f>+VLOOKUP(D66,'Plan mapping'!A:B,2,0)</f>
        <v>ZD</v>
      </c>
      <c r="C66" t="str">
        <f>+VLOOKUP(D66,'Plan mapping'!A:C,3,0)</f>
        <v>LIC38</v>
      </c>
      <c r="D66" s="142">
        <v>120309</v>
      </c>
      <c r="E66" t="s">
        <v>339</v>
      </c>
      <c r="F66" s="209">
        <v>21.025200000000002</v>
      </c>
      <c r="G66">
        <v>20.814900000000002</v>
      </c>
      <c r="H66">
        <v>21.025200000000002</v>
      </c>
      <c r="I66" s="120">
        <v>43187</v>
      </c>
    </row>
    <row r="67" spans="1:9">
      <c r="A67" t="str">
        <f t="shared" ref="A67:A130" si="1">+C67&amp;B67</f>
        <v>LIC38ZG</v>
      </c>
      <c r="B67" t="str">
        <f>+VLOOKUP(D67,'Plan mapping'!A:B,2,0)</f>
        <v>ZG</v>
      </c>
      <c r="C67" t="str">
        <f>+VLOOKUP(D67,'Plan mapping'!A:C,3,0)</f>
        <v>LIC38</v>
      </c>
      <c r="D67" s="142">
        <v>120307</v>
      </c>
      <c r="E67" t="s">
        <v>340</v>
      </c>
      <c r="F67" s="209">
        <v>57.071899999999999</v>
      </c>
      <c r="G67">
        <v>56.501199999999997</v>
      </c>
      <c r="H67">
        <v>57.071899999999999</v>
      </c>
      <c r="I67" s="120">
        <v>43187</v>
      </c>
    </row>
    <row r="68" spans="1:9">
      <c r="A68" t="str">
        <f t="shared" si="1"/>
        <v>LIC38RD</v>
      </c>
      <c r="B68" t="str">
        <f>+VLOOKUP(D68,'Plan mapping'!A:B,2,0)</f>
        <v>RD</v>
      </c>
      <c r="C68" t="str">
        <f>+VLOOKUP(D68,'Plan mapping'!A:C,3,0)</f>
        <v>LIC38</v>
      </c>
      <c r="D68" s="142">
        <v>101200</v>
      </c>
      <c r="E68" t="s">
        <v>341</v>
      </c>
      <c r="F68" s="209">
        <v>20.495999999999999</v>
      </c>
      <c r="G68">
        <v>20.291</v>
      </c>
      <c r="H68">
        <v>20.495999999999999</v>
      </c>
      <c r="I68" s="120">
        <v>43187</v>
      </c>
    </row>
    <row r="69" spans="1:9">
      <c r="A69" t="str">
        <f t="shared" si="1"/>
        <v>LIC38RG</v>
      </c>
      <c r="B69" t="str">
        <f>+VLOOKUP(D69,'Plan mapping'!A:B,2,0)</f>
        <v>RG</v>
      </c>
      <c r="C69" t="str">
        <f>+VLOOKUP(D69,'Plan mapping'!A:C,3,0)</f>
        <v>LIC38</v>
      </c>
      <c r="D69" s="142">
        <v>101201</v>
      </c>
      <c r="E69" t="s">
        <v>342</v>
      </c>
      <c r="F69" s="209">
        <v>55.564500000000002</v>
      </c>
      <c r="G69">
        <v>55.008899999999997</v>
      </c>
      <c r="H69">
        <v>55.564500000000002</v>
      </c>
      <c r="I69" s="120">
        <v>43187</v>
      </c>
    </row>
    <row r="70" spans="1:9">
      <c r="A70" t="str">
        <f t="shared" si="1"/>
        <v>LIC37ZD</v>
      </c>
      <c r="B70" t="str">
        <f>+VLOOKUP(D70,'Plan mapping'!A:B,2,0)</f>
        <v>ZD</v>
      </c>
      <c r="C70" t="str">
        <f>+VLOOKUP(D70,'Plan mapping'!A:C,3,0)</f>
        <v>LIC37</v>
      </c>
      <c r="D70" s="142">
        <v>120312</v>
      </c>
      <c r="E70" t="s">
        <v>343</v>
      </c>
      <c r="F70" s="209">
        <v>21.065000000000001</v>
      </c>
      <c r="G70">
        <v>20.854399999999998</v>
      </c>
      <c r="H70">
        <v>21.065000000000001</v>
      </c>
      <c r="I70" s="120">
        <v>43187</v>
      </c>
    </row>
    <row r="71" spans="1:9">
      <c r="A71" t="str">
        <f t="shared" si="1"/>
        <v>LIC37ZG</v>
      </c>
      <c r="B71" t="str">
        <f>+VLOOKUP(D71,'Plan mapping'!A:B,2,0)</f>
        <v>ZG</v>
      </c>
      <c r="C71" t="str">
        <f>+VLOOKUP(D71,'Plan mapping'!A:C,3,0)</f>
        <v>LIC37</v>
      </c>
      <c r="D71" s="142">
        <v>120308</v>
      </c>
      <c r="E71" t="s">
        <v>344</v>
      </c>
      <c r="F71" s="209">
        <v>62.774299999999997</v>
      </c>
      <c r="G71">
        <v>62.146599999999999</v>
      </c>
      <c r="H71">
        <v>62.774299999999997</v>
      </c>
      <c r="I71" s="120">
        <v>43187</v>
      </c>
    </row>
    <row r="72" spans="1:9">
      <c r="A72" t="str">
        <f t="shared" si="1"/>
        <v>LIC37RD</v>
      </c>
      <c r="B72" t="str">
        <f>+VLOOKUP(D72,'Plan mapping'!A:B,2,0)</f>
        <v>RD</v>
      </c>
      <c r="C72" t="str">
        <f>+VLOOKUP(D72,'Plan mapping'!A:C,3,0)</f>
        <v>LIC37</v>
      </c>
      <c r="D72" s="142">
        <v>101198</v>
      </c>
      <c r="E72" t="s">
        <v>345</v>
      </c>
      <c r="F72" s="209">
        <v>20.9255</v>
      </c>
      <c r="G72">
        <v>20.716200000000001</v>
      </c>
      <c r="H72">
        <v>20.9255</v>
      </c>
      <c r="I72" s="120">
        <v>43187</v>
      </c>
    </row>
    <row r="73" spans="1:9">
      <c r="A73" t="str">
        <f t="shared" si="1"/>
        <v>LIC37RG</v>
      </c>
      <c r="B73" t="str">
        <f>+VLOOKUP(D73,'Plan mapping'!A:B,2,0)</f>
        <v>RG</v>
      </c>
      <c r="C73" t="str">
        <f>+VLOOKUP(D73,'Plan mapping'!A:C,3,0)</f>
        <v>LIC37</v>
      </c>
      <c r="D73" s="142">
        <v>101199</v>
      </c>
      <c r="E73" t="s">
        <v>346</v>
      </c>
      <c r="F73" s="209">
        <v>61.049500000000002</v>
      </c>
      <c r="G73">
        <v>60.439</v>
      </c>
      <c r="H73">
        <v>61.049500000000002</v>
      </c>
      <c r="I73" s="120">
        <v>43187</v>
      </c>
    </row>
    <row r="74" spans="1:9">
      <c r="A74" t="str">
        <f t="shared" si="1"/>
        <v>LIC86ZD</v>
      </c>
      <c r="B74" t="str">
        <f>+VLOOKUP(D74,'Plan mapping'!A:B,2,0)</f>
        <v>ZD</v>
      </c>
      <c r="C74" t="str">
        <f>+VLOOKUP(D74,'Plan mapping'!A:C,3,0)</f>
        <v>LIC86</v>
      </c>
      <c r="D74" s="142">
        <v>120350</v>
      </c>
      <c r="E74" t="s">
        <v>347</v>
      </c>
      <c r="F74" s="209">
        <v>14.9916</v>
      </c>
      <c r="G74">
        <v>14.841699999999999</v>
      </c>
      <c r="H74">
        <v>14.9916</v>
      </c>
      <c r="I74" s="120">
        <v>43187</v>
      </c>
    </row>
    <row r="75" spans="1:9">
      <c r="A75" t="str">
        <f t="shared" si="1"/>
        <v>LIC86ZG</v>
      </c>
      <c r="B75" t="str">
        <f>+VLOOKUP(D75,'Plan mapping'!A:B,2,0)</f>
        <v>ZG</v>
      </c>
      <c r="C75" t="str">
        <f>+VLOOKUP(D75,'Plan mapping'!A:C,3,0)</f>
        <v>LIC86</v>
      </c>
      <c r="D75" s="142">
        <v>120351</v>
      </c>
      <c r="E75" t="s">
        <v>348</v>
      </c>
      <c r="F75" s="209">
        <v>15.0846</v>
      </c>
      <c r="G75">
        <v>14.9338</v>
      </c>
      <c r="H75">
        <v>15.0846</v>
      </c>
      <c r="I75" s="120">
        <v>43187</v>
      </c>
    </row>
    <row r="76" spans="1:9">
      <c r="A76" t="str">
        <f t="shared" si="1"/>
        <v>LIC86RD</v>
      </c>
      <c r="B76" t="str">
        <f>+VLOOKUP(D76,'Plan mapping'!A:B,2,0)</f>
        <v>RD</v>
      </c>
      <c r="C76" t="str">
        <f>+VLOOKUP(D76,'Plan mapping'!A:C,3,0)</f>
        <v>LIC86</v>
      </c>
      <c r="D76" s="142">
        <v>107764</v>
      </c>
      <c r="E76" t="s">
        <v>349</v>
      </c>
      <c r="F76" s="209">
        <v>14.3477</v>
      </c>
      <c r="G76">
        <v>14.2042</v>
      </c>
      <c r="H76">
        <v>14.3477</v>
      </c>
      <c r="I76" s="120">
        <v>43187</v>
      </c>
    </row>
    <row r="77" spans="1:9">
      <c r="A77" t="str">
        <f t="shared" si="1"/>
        <v>LIC86RG</v>
      </c>
      <c r="B77" t="str">
        <f>+VLOOKUP(D77,'Plan mapping'!A:B,2,0)</f>
        <v>RG</v>
      </c>
      <c r="C77" t="str">
        <f>+VLOOKUP(D77,'Plan mapping'!A:C,3,0)</f>
        <v>LIC86</v>
      </c>
      <c r="D77" s="142">
        <v>107763</v>
      </c>
      <c r="E77" t="s">
        <v>350</v>
      </c>
      <c r="F77" s="209">
        <v>14.3467</v>
      </c>
      <c r="G77">
        <v>14.203200000000001</v>
      </c>
      <c r="H77">
        <v>14.3467</v>
      </c>
      <c r="I77" s="120">
        <v>43187</v>
      </c>
    </row>
    <row r="78" spans="1:9">
      <c r="A78" t="str">
        <f t="shared" si="1"/>
        <v>LIC170ZD</v>
      </c>
      <c r="B78" t="str">
        <f>+VLOOKUP(D78,'Plan mapping'!A:B,2,0)</f>
        <v>ZD</v>
      </c>
      <c r="C78" t="str">
        <f>+VLOOKUP(D78,'Plan mapping'!A:C,3,0)</f>
        <v>LIC170</v>
      </c>
      <c r="D78" s="142">
        <v>133709</v>
      </c>
      <c r="E78" t="s">
        <v>351</v>
      </c>
      <c r="F78" s="209">
        <v>13.7019</v>
      </c>
      <c r="G78">
        <v>13.5649</v>
      </c>
      <c r="H78">
        <v>13.7019</v>
      </c>
      <c r="I78" s="120">
        <v>43187</v>
      </c>
    </row>
    <row r="79" spans="1:9">
      <c r="A79" t="str">
        <f t="shared" si="1"/>
        <v>LIC170ZG</v>
      </c>
      <c r="B79" t="str">
        <f>+VLOOKUP(D79,'Plan mapping'!A:B,2,0)</f>
        <v>ZG</v>
      </c>
      <c r="C79" t="str">
        <f>+VLOOKUP(D79,'Plan mapping'!A:C,3,0)</f>
        <v>LIC170</v>
      </c>
      <c r="D79" s="142">
        <v>133710</v>
      </c>
      <c r="E79" t="s">
        <v>352</v>
      </c>
      <c r="F79" s="209">
        <v>14.885899999999999</v>
      </c>
      <c r="G79">
        <v>14.737</v>
      </c>
      <c r="H79">
        <v>14.885899999999999</v>
      </c>
      <c r="I79" s="120">
        <v>43187</v>
      </c>
    </row>
    <row r="80" spans="1:9">
      <c r="A80" t="str">
        <f t="shared" si="1"/>
        <v>LIC170RD</v>
      </c>
      <c r="B80" t="str">
        <f>+VLOOKUP(D80,'Plan mapping'!A:B,2,0)</f>
        <v>RD</v>
      </c>
      <c r="C80" t="str">
        <f>+VLOOKUP(D80,'Plan mapping'!A:C,3,0)</f>
        <v>LIC170</v>
      </c>
      <c r="D80" s="142">
        <v>133712</v>
      </c>
      <c r="E80" t="s">
        <v>353</v>
      </c>
      <c r="F80" s="209">
        <v>13.1798</v>
      </c>
      <c r="G80">
        <v>13.048</v>
      </c>
      <c r="H80">
        <v>13.1798</v>
      </c>
      <c r="I80" s="120">
        <v>43187</v>
      </c>
    </row>
    <row r="81" spans="1:9">
      <c r="A81" t="str">
        <f t="shared" si="1"/>
        <v>LIC170RG</v>
      </c>
      <c r="B81" t="str">
        <f>+VLOOKUP(D81,'Plan mapping'!A:B,2,0)</f>
        <v>RG</v>
      </c>
      <c r="C81" t="str">
        <f>+VLOOKUP(D81,'Plan mapping'!A:C,3,0)</f>
        <v>LIC170</v>
      </c>
      <c r="D81" s="142">
        <v>133711</v>
      </c>
      <c r="E81" t="s">
        <v>354</v>
      </c>
      <c r="F81" s="209">
        <v>14.349600000000001</v>
      </c>
      <c r="G81">
        <v>14.206099999999999</v>
      </c>
      <c r="H81">
        <v>14.349600000000001</v>
      </c>
      <c r="I81" s="120">
        <v>43187</v>
      </c>
    </row>
    <row r="82" spans="1:9">
      <c r="A82" t="str">
        <f t="shared" si="1"/>
        <v>LIC33ZD</v>
      </c>
      <c r="B82" t="str">
        <f>+VLOOKUP(D82,'Plan mapping'!A:B,2,0)</f>
        <v>ZD</v>
      </c>
      <c r="C82" t="str">
        <f>+VLOOKUP(D82,'Plan mapping'!A:C,3,0)</f>
        <v>LIC33</v>
      </c>
      <c r="D82" s="142">
        <v>120278</v>
      </c>
      <c r="E82" t="s">
        <v>297</v>
      </c>
      <c r="F82" s="209">
        <v>11.422000000000001</v>
      </c>
      <c r="G82">
        <v>11.3078</v>
      </c>
      <c r="H82">
        <v>11.422000000000001</v>
      </c>
      <c r="I82" s="120">
        <v>43187</v>
      </c>
    </row>
    <row r="83" spans="1:9">
      <c r="A83" t="str">
        <f t="shared" si="1"/>
        <v>LIC33ZG</v>
      </c>
      <c r="B83" t="str">
        <f>+VLOOKUP(D83,'Plan mapping'!A:B,2,0)</f>
        <v>ZG</v>
      </c>
      <c r="C83" t="str">
        <f>+VLOOKUP(D83,'Plan mapping'!A:C,3,0)</f>
        <v>LIC33</v>
      </c>
      <c r="D83" s="142">
        <v>120279</v>
      </c>
      <c r="E83" t="s">
        <v>298</v>
      </c>
      <c r="F83" s="209">
        <v>47.284500000000001</v>
      </c>
      <c r="G83">
        <v>46.811700000000002</v>
      </c>
      <c r="H83">
        <v>47.284500000000001</v>
      </c>
      <c r="I83" s="120">
        <v>43187</v>
      </c>
    </row>
    <row r="84" spans="1:9">
      <c r="A84" t="str">
        <f t="shared" si="1"/>
        <v>LIC33RD</v>
      </c>
      <c r="B84" t="str">
        <f>+VLOOKUP(D84,'Plan mapping'!A:B,2,0)</f>
        <v>RD</v>
      </c>
      <c r="C84" t="str">
        <f>+VLOOKUP(D84,'Plan mapping'!A:C,3,0)</f>
        <v>LIC33</v>
      </c>
      <c r="D84" s="142">
        <v>100314</v>
      </c>
      <c r="E84" t="s">
        <v>299</v>
      </c>
      <c r="F84" s="209">
        <v>10.0906</v>
      </c>
      <c r="G84">
        <v>9.9896999999999991</v>
      </c>
      <c r="H84">
        <v>10.0906</v>
      </c>
      <c r="I84" s="120">
        <v>43187</v>
      </c>
    </row>
    <row r="85" spans="1:9">
      <c r="A85" t="str">
        <f t="shared" si="1"/>
        <v>LIC33RG</v>
      </c>
      <c r="B85" t="str">
        <f>+VLOOKUP(D85,'Plan mapping'!A:B,2,0)</f>
        <v>RG</v>
      </c>
      <c r="C85" t="str">
        <f>+VLOOKUP(D85,'Plan mapping'!A:C,3,0)</f>
        <v>LIC33</v>
      </c>
      <c r="D85" s="142">
        <v>100315</v>
      </c>
      <c r="E85" t="s">
        <v>300</v>
      </c>
      <c r="F85" s="209">
        <v>46.0351</v>
      </c>
      <c r="G85">
        <v>45.5747</v>
      </c>
      <c r="H85">
        <v>46.0351</v>
      </c>
      <c r="I85" s="120">
        <v>43187</v>
      </c>
    </row>
    <row r="86" spans="1:9">
      <c r="A86" t="str">
        <f t="shared" si="1"/>
        <v>LIC72ZD</v>
      </c>
      <c r="B86" t="str">
        <f>+VLOOKUP(D86,'Plan mapping'!A:B,2,0)</f>
        <v>ZD</v>
      </c>
      <c r="C86" t="str">
        <f>+VLOOKUP(D86,'Plan mapping'!A:C,3,0)</f>
        <v>LIC72</v>
      </c>
      <c r="D86" s="142">
        <v>120337</v>
      </c>
      <c r="E86" t="s">
        <v>301</v>
      </c>
      <c r="F86" s="209">
        <v>10.1584</v>
      </c>
      <c r="G86">
        <v>10.1584</v>
      </c>
      <c r="H86">
        <v>10.1584</v>
      </c>
      <c r="I86" s="120">
        <v>43187</v>
      </c>
    </row>
    <row r="87" spans="1:9">
      <c r="A87" t="str">
        <f t="shared" si="1"/>
        <v>LIC72ZG</v>
      </c>
      <c r="B87" t="str">
        <f>+VLOOKUP(D87,'Plan mapping'!A:B,2,0)</f>
        <v>ZG</v>
      </c>
      <c r="C87" t="str">
        <f>+VLOOKUP(D87,'Plan mapping'!A:C,3,0)</f>
        <v>LIC72</v>
      </c>
      <c r="D87" s="142">
        <v>120338</v>
      </c>
      <c r="E87" t="s">
        <v>302</v>
      </c>
      <c r="F87" s="209">
        <v>22.5076</v>
      </c>
      <c r="G87">
        <v>22.5076</v>
      </c>
      <c r="H87">
        <v>22.5076</v>
      </c>
      <c r="I87" s="120">
        <v>43187</v>
      </c>
    </row>
    <row r="88" spans="1:9">
      <c r="A88" t="str">
        <f t="shared" si="1"/>
        <v>LIC72ZM</v>
      </c>
      <c r="B88" t="str">
        <f>+VLOOKUP(D88,'Plan mapping'!A:B,2,0)</f>
        <v>ZM</v>
      </c>
      <c r="C88" t="str">
        <f>+VLOOKUP(D88,'Plan mapping'!A:C,3,0)</f>
        <v>LIC72</v>
      </c>
      <c r="D88" s="142">
        <v>120339</v>
      </c>
      <c r="E88" t="s">
        <v>303</v>
      </c>
      <c r="F88" s="209">
        <v>10.2278</v>
      </c>
      <c r="G88">
        <v>10.2278</v>
      </c>
      <c r="H88">
        <v>10.2278</v>
      </c>
      <c r="I88" s="120">
        <v>43187</v>
      </c>
    </row>
    <row r="89" spans="1:9">
      <c r="A89" t="str">
        <f t="shared" si="1"/>
        <v>LIC72ZW</v>
      </c>
      <c r="B89" t="str">
        <f>+VLOOKUP(D89,'Plan mapping'!A:B,2,0)</f>
        <v>ZW</v>
      </c>
      <c r="C89" t="str">
        <f>+VLOOKUP(D89,'Plan mapping'!A:C,3,0)</f>
        <v>LIC72</v>
      </c>
      <c r="D89" s="142">
        <v>120336</v>
      </c>
      <c r="E89" t="s">
        <v>304</v>
      </c>
      <c r="F89" s="209">
        <v>10.1006</v>
      </c>
      <c r="G89">
        <v>10.1006</v>
      </c>
      <c r="H89">
        <v>10.1006</v>
      </c>
      <c r="I89" s="120">
        <v>43187</v>
      </c>
    </row>
    <row r="90" spans="1:9">
      <c r="A90" t="str">
        <f t="shared" si="1"/>
        <v>LIC72RD</v>
      </c>
      <c r="B90" t="str">
        <f>+VLOOKUP(D90,'Plan mapping'!A:B,2,0)</f>
        <v>RD</v>
      </c>
      <c r="C90" t="str">
        <f>+VLOOKUP(D90,'Plan mapping'!A:C,3,0)</f>
        <v>LIC72</v>
      </c>
      <c r="D90" s="142">
        <v>105822</v>
      </c>
      <c r="E90" t="s">
        <v>305</v>
      </c>
      <c r="F90" s="209">
        <v>10.1</v>
      </c>
      <c r="G90">
        <v>10.1</v>
      </c>
      <c r="H90">
        <v>10.1</v>
      </c>
      <c r="I90" s="120">
        <v>43187</v>
      </c>
    </row>
    <row r="91" spans="1:9">
      <c r="A91" t="str">
        <f t="shared" si="1"/>
        <v>LIC72RG</v>
      </c>
      <c r="B91" t="str">
        <f>+VLOOKUP(D91,'Plan mapping'!A:B,2,0)</f>
        <v>RG</v>
      </c>
      <c r="C91" t="str">
        <f>+VLOOKUP(D91,'Plan mapping'!A:C,3,0)</f>
        <v>LIC72</v>
      </c>
      <c r="D91" s="142">
        <v>105823</v>
      </c>
      <c r="E91" t="s">
        <v>306</v>
      </c>
      <c r="F91" s="209">
        <v>21.6967</v>
      </c>
      <c r="G91">
        <v>21.6967</v>
      </c>
      <c r="H91">
        <v>21.6967</v>
      </c>
      <c r="I91" s="120">
        <v>43187</v>
      </c>
    </row>
    <row r="92" spans="1:9">
      <c r="A92" t="str">
        <f t="shared" si="1"/>
        <v>LIC72RM</v>
      </c>
      <c r="B92" t="str">
        <f>+VLOOKUP(D92,'Plan mapping'!A:B,2,0)</f>
        <v>RM</v>
      </c>
      <c r="C92" t="str">
        <f>+VLOOKUP(D92,'Plan mapping'!A:C,3,0)</f>
        <v>LIC72</v>
      </c>
      <c r="D92" s="142">
        <v>105856</v>
      </c>
      <c r="E92" t="s">
        <v>307</v>
      </c>
      <c r="F92" s="209">
        <v>10.1107</v>
      </c>
      <c r="G92">
        <v>10.1107</v>
      </c>
      <c r="H92">
        <v>10.1107</v>
      </c>
      <c r="I92" s="120">
        <v>43187</v>
      </c>
    </row>
    <row r="93" spans="1:9">
      <c r="A93" t="str">
        <f t="shared" si="1"/>
        <v>LIC72RW</v>
      </c>
      <c r="B93" t="str">
        <f>+VLOOKUP(D93,'Plan mapping'!A:B,2,0)</f>
        <v>RW</v>
      </c>
      <c r="C93" t="str">
        <f>+VLOOKUP(D93,'Plan mapping'!A:C,3,0)</f>
        <v>LIC72</v>
      </c>
      <c r="D93" s="142">
        <v>105857</v>
      </c>
      <c r="E93" t="s">
        <v>308</v>
      </c>
      <c r="F93" s="209">
        <v>10.1004</v>
      </c>
      <c r="G93">
        <v>10.1004</v>
      </c>
      <c r="H93">
        <v>10.1004</v>
      </c>
      <c r="I93" s="120">
        <v>43187</v>
      </c>
    </row>
    <row r="94" spans="1:9">
      <c r="A94" t="str">
        <f t="shared" si="1"/>
        <v>LIC31ZG</v>
      </c>
      <c r="B94" t="str">
        <f>+VLOOKUP(D94,'Plan mapping'!A:B,2,0)</f>
        <v>ZG</v>
      </c>
      <c r="C94" t="str">
        <f>+VLOOKUP(D94,'Plan mapping'!A:C,3,0)</f>
        <v>LIC31</v>
      </c>
      <c r="D94" s="142">
        <v>120276</v>
      </c>
      <c r="E94" t="s">
        <v>309</v>
      </c>
      <c r="F94" s="209">
        <v>53.479300000000002</v>
      </c>
      <c r="G94">
        <v>52.944499999999998</v>
      </c>
      <c r="H94">
        <v>53.479300000000002</v>
      </c>
      <c r="I94" s="120">
        <v>43187</v>
      </c>
    </row>
    <row r="95" spans="1:9">
      <c r="A95" t="str">
        <f t="shared" si="1"/>
        <v>LIC31ZM</v>
      </c>
      <c r="B95" t="str">
        <f>+VLOOKUP(D95,'Plan mapping'!A:B,2,0)</f>
        <v>ZM</v>
      </c>
      <c r="C95" t="str">
        <f>+VLOOKUP(D95,'Plan mapping'!A:C,3,0)</f>
        <v>LIC31</v>
      </c>
      <c r="D95" s="142">
        <v>120277</v>
      </c>
      <c r="E95" t="s">
        <v>310</v>
      </c>
      <c r="F95" s="209">
        <v>10.539300000000001</v>
      </c>
      <c r="G95">
        <v>10.4339</v>
      </c>
      <c r="H95">
        <v>10.539300000000001</v>
      </c>
      <c r="I95" s="120">
        <v>43187</v>
      </c>
    </row>
    <row r="96" spans="1:9">
      <c r="A96" t="str">
        <f t="shared" si="1"/>
        <v>LIC31ZQ</v>
      </c>
      <c r="B96" t="str">
        <f>+VLOOKUP(D96,'Plan mapping'!A:B,2,0)</f>
        <v>ZQ</v>
      </c>
      <c r="C96" t="str">
        <f>+VLOOKUP(D96,'Plan mapping'!A:C,3,0)</f>
        <v>LIC31</v>
      </c>
      <c r="D96" s="142">
        <v>120274</v>
      </c>
      <c r="E96" t="s">
        <v>311</v>
      </c>
      <c r="F96" s="209">
        <v>11.039400000000001</v>
      </c>
      <c r="G96">
        <v>10.929</v>
      </c>
      <c r="H96">
        <v>11.039400000000001</v>
      </c>
      <c r="I96" s="120">
        <v>43187</v>
      </c>
    </row>
    <row r="97" spans="1:9">
      <c r="A97" t="str">
        <f t="shared" si="1"/>
        <v>LIC31ZY</v>
      </c>
      <c r="B97" t="str">
        <f>+VLOOKUP(D97,'Plan mapping'!A:B,2,0)</f>
        <v>ZY</v>
      </c>
      <c r="C97" t="str">
        <f>+VLOOKUP(D97,'Plan mapping'!A:C,3,0)</f>
        <v>LIC31</v>
      </c>
      <c r="D97" s="142">
        <v>120275</v>
      </c>
      <c r="E97" t="s">
        <v>312</v>
      </c>
      <c r="F97" s="209">
        <v>11.603300000000001</v>
      </c>
      <c r="G97">
        <v>11.487299999999999</v>
      </c>
      <c r="H97">
        <v>11.603300000000001</v>
      </c>
      <c r="I97" s="120">
        <v>43187</v>
      </c>
    </row>
    <row r="98" spans="1:9">
      <c r="A98" t="str">
        <f t="shared" si="1"/>
        <v>LIC31RG</v>
      </c>
      <c r="B98" t="str">
        <f>+VLOOKUP(D98,'Plan mapping'!A:B,2,0)</f>
        <v>RG</v>
      </c>
      <c r="C98" t="str">
        <f>+VLOOKUP(D98,'Plan mapping'!A:C,3,0)</f>
        <v>LIC31</v>
      </c>
      <c r="D98" s="142">
        <v>101869</v>
      </c>
      <c r="E98" t="s">
        <v>313</v>
      </c>
      <c r="F98" s="209">
        <v>51.560600000000001</v>
      </c>
      <c r="G98">
        <v>51.045000000000002</v>
      </c>
      <c r="H98">
        <v>51.560600000000001</v>
      </c>
      <c r="I98" s="120">
        <v>43187</v>
      </c>
    </row>
    <row r="99" spans="1:9">
      <c r="A99" t="str">
        <f t="shared" si="1"/>
        <v>LIC31RM</v>
      </c>
      <c r="B99" t="str">
        <f>+VLOOKUP(D99,'Plan mapping'!A:B,2,0)</f>
        <v>RM</v>
      </c>
      <c r="C99" t="str">
        <f>+VLOOKUP(D99,'Plan mapping'!A:C,3,0)</f>
        <v>LIC31</v>
      </c>
      <c r="D99" s="142">
        <v>101866</v>
      </c>
      <c r="E99" t="s">
        <v>314</v>
      </c>
      <c r="F99" s="209">
        <v>10.425800000000001</v>
      </c>
      <c r="G99">
        <v>10.3215</v>
      </c>
      <c r="H99">
        <v>10.425800000000001</v>
      </c>
      <c r="I99" s="120">
        <v>43187</v>
      </c>
    </row>
    <row r="100" spans="1:9">
      <c r="A100" t="str">
        <f t="shared" si="1"/>
        <v>LIC31RQ</v>
      </c>
      <c r="B100" t="str">
        <f>+VLOOKUP(D100,'Plan mapping'!A:B,2,0)</f>
        <v>RQ</v>
      </c>
      <c r="C100" t="str">
        <f>+VLOOKUP(D100,'Plan mapping'!A:C,3,0)</f>
        <v>LIC31</v>
      </c>
      <c r="D100" s="142">
        <v>101867</v>
      </c>
      <c r="E100" t="s">
        <v>315</v>
      </c>
      <c r="F100" s="209">
        <v>10.570600000000001</v>
      </c>
      <c r="G100">
        <v>10.4649</v>
      </c>
      <c r="H100">
        <v>10.570600000000001</v>
      </c>
      <c r="I100" s="120">
        <v>43187</v>
      </c>
    </row>
    <row r="101" spans="1:9">
      <c r="A101" t="str">
        <f t="shared" si="1"/>
        <v>LIC31RY</v>
      </c>
      <c r="B101" t="str">
        <f>+VLOOKUP(D101,'Plan mapping'!A:B,2,0)</f>
        <v>RY</v>
      </c>
      <c r="C101" t="str">
        <f>+VLOOKUP(D101,'Plan mapping'!A:C,3,0)</f>
        <v>LIC31</v>
      </c>
      <c r="D101" s="142">
        <v>101868</v>
      </c>
      <c r="E101" t="s">
        <v>316</v>
      </c>
      <c r="F101" s="209">
        <v>11.194699999999999</v>
      </c>
      <c r="G101">
        <v>11.082800000000001</v>
      </c>
      <c r="H101">
        <v>11.194699999999999</v>
      </c>
      <c r="I101" s="120">
        <v>43187</v>
      </c>
    </row>
    <row r="102" spans="1:9">
      <c r="A102" t="str">
        <f t="shared" si="1"/>
        <v>LIC40ZD</v>
      </c>
      <c r="B102" t="str">
        <f>+VLOOKUP(D102,'Plan mapping'!A:B,2,0)</f>
        <v>ZD</v>
      </c>
      <c r="C102" t="str">
        <f>+VLOOKUP(D102,'Plan mapping'!A:C,3,0)</f>
        <v>LIC40</v>
      </c>
      <c r="D102" s="142">
        <v>120316</v>
      </c>
      <c r="E102" t="s">
        <v>317</v>
      </c>
      <c r="F102" s="209">
        <v>10.1</v>
      </c>
      <c r="G102">
        <v>10.1</v>
      </c>
      <c r="H102">
        <v>10.1</v>
      </c>
      <c r="I102" s="120">
        <v>43187</v>
      </c>
    </row>
    <row r="103" spans="1:9">
      <c r="A103" t="str">
        <f t="shared" si="1"/>
        <v>LIC40ZG</v>
      </c>
      <c r="B103" t="str">
        <f>+VLOOKUP(D103,'Plan mapping'!A:B,2,0)</f>
        <v>ZG</v>
      </c>
      <c r="C103" t="str">
        <f>+VLOOKUP(D103,'Plan mapping'!A:C,3,0)</f>
        <v>LIC40</v>
      </c>
      <c r="D103" s="142">
        <v>120315</v>
      </c>
      <c r="E103" t="s">
        <v>318</v>
      </c>
      <c r="F103" s="209">
        <v>27.601900000000001</v>
      </c>
      <c r="G103">
        <v>27.601900000000001</v>
      </c>
      <c r="H103">
        <v>27.601900000000001</v>
      </c>
      <c r="I103" s="120">
        <v>43187</v>
      </c>
    </row>
    <row r="104" spans="1:9">
      <c r="A104" t="str">
        <f t="shared" si="1"/>
        <v>LIC40ZM</v>
      </c>
      <c r="B104" t="str">
        <f>+VLOOKUP(D104,'Plan mapping'!A:B,2,0)</f>
        <v>ZM</v>
      </c>
      <c r="C104" t="str">
        <f>+VLOOKUP(D104,'Plan mapping'!A:C,3,0)</f>
        <v>LIC40</v>
      </c>
      <c r="D104" s="142">
        <v>120317</v>
      </c>
      <c r="E104" t="s">
        <v>319</v>
      </c>
      <c r="F104" s="209">
        <v>14.427300000000001</v>
      </c>
      <c r="G104">
        <v>14.427300000000001</v>
      </c>
      <c r="H104">
        <v>14.427300000000001</v>
      </c>
      <c r="I104" s="120">
        <v>43187</v>
      </c>
    </row>
    <row r="105" spans="1:9">
      <c r="A105" t="str">
        <f t="shared" si="1"/>
        <v>LIC40ZW</v>
      </c>
      <c r="B105" t="str">
        <f>+VLOOKUP(D105,'Plan mapping'!A:B,2,0)</f>
        <v>ZW</v>
      </c>
      <c r="C105" t="str">
        <f>+VLOOKUP(D105,'Plan mapping'!A:C,3,0)</f>
        <v>LIC40</v>
      </c>
      <c r="D105" s="142">
        <v>120318</v>
      </c>
      <c r="E105" t="s">
        <v>320</v>
      </c>
      <c r="F105" s="209">
        <v>10.55</v>
      </c>
      <c r="G105">
        <v>10.55</v>
      </c>
      <c r="H105">
        <v>10.55</v>
      </c>
      <c r="I105" s="120">
        <v>43187</v>
      </c>
    </row>
    <row r="106" spans="1:9">
      <c r="A106" t="str">
        <f t="shared" si="1"/>
        <v>LIC40RD</v>
      </c>
      <c r="B106" t="str">
        <f>+VLOOKUP(D106,'Plan mapping'!A:B,2,0)</f>
        <v>RD</v>
      </c>
      <c r="C106" t="str">
        <f>+VLOOKUP(D106,'Plan mapping'!A:C,3,0)</f>
        <v>LIC40</v>
      </c>
      <c r="D106" s="142">
        <v>111676</v>
      </c>
      <c r="E106" t="s">
        <v>321</v>
      </c>
      <c r="F106" s="209">
        <v>10.161099999999999</v>
      </c>
      <c r="G106">
        <v>10.161099999999999</v>
      </c>
      <c r="H106">
        <v>10.161099999999999</v>
      </c>
      <c r="I106" s="120">
        <v>43187</v>
      </c>
    </row>
    <row r="107" spans="1:9">
      <c r="A107" t="str">
        <f t="shared" si="1"/>
        <v>LIC40RG</v>
      </c>
      <c r="B107" t="str">
        <f>+VLOOKUP(D107,'Plan mapping'!A:B,2,0)</f>
        <v>RG</v>
      </c>
      <c r="C107" t="str">
        <f>+VLOOKUP(D107,'Plan mapping'!A:C,3,0)</f>
        <v>LIC40</v>
      </c>
      <c r="D107" s="142">
        <v>101830</v>
      </c>
      <c r="E107" t="s">
        <v>322</v>
      </c>
      <c r="F107" s="209">
        <v>26.540700000000001</v>
      </c>
      <c r="G107">
        <v>26.540700000000001</v>
      </c>
      <c r="H107">
        <v>26.540700000000001</v>
      </c>
      <c r="I107" s="120">
        <v>43187</v>
      </c>
    </row>
    <row r="108" spans="1:9">
      <c r="A108" t="str">
        <f t="shared" si="1"/>
        <v>LIC40RM</v>
      </c>
      <c r="B108" t="str">
        <f>+VLOOKUP(D108,'Plan mapping'!A:B,2,0)</f>
        <v>RM</v>
      </c>
      <c r="C108" t="str">
        <f>+VLOOKUP(D108,'Plan mapping'!A:C,3,0)</f>
        <v>LIC40</v>
      </c>
      <c r="D108" s="142">
        <v>101829</v>
      </c>
      <c r="E108" t="s">
        <v>323</v>
      </c>
      <c r="F108" s="209">
        <v>10.2722</v>
      </c>
      <c r="G108">
        <v>10.2722</v>
      </c>
      <c r="H108">
        <v>10.2722</v>
      </c>
      <c r="I108" s="120">
        <v>43187</v>
      </c>
    </row>
    <row r="109" spans="1:9">
      <c r="A109" t="str">
        <f t="shared" si="1"/>
        <v>LIC40RW</v>
      </c>
      <c r="B109" t="str">
        <f>+VLOOKUP(D109,'Plan mapping'!A:B,2,0)</f>
        <v>RW</v>
      </c>
      <c r="C109" t="str">
        <f>+VLOOKUP(D109,'Plan mapping'!A:C,3,0)</f>
        <v>LIC40</v>
      </c>
      <c r="D109" s="142">
        <v>111675</v>
      </c>
      <c r="E109" t="s">
        <v>324</v>
      </c>
      <c r="F109" s="209">
        <v>10.1572</v>
      </c>
      <c r="G109">
        <v>10.1572</v>
      </c>
      <c r="H109">
        <v>10.1572</v>
      </c>
      <c r="I109" s="120">
        <v>43187</v>
      </c>
    </row>
    <row r="110" spans="1:9" s="205" customFormat="1">
      <c r="A110" s="205" t="str">
        <f t="shared" si="1"/>
        <v>LIC36ZD</v>
      </c>
      <c r="B110" s="205" t="str">
        <f>+VLOOKUP(D110,'Plan mapping'!A:B,2,0)</f>
        <v>ZD</v>
      </c>
      <c r="C110" s="205" t="str">
        <f>+VLOOKUP(D110,'Plan mapping'!A:C,3,0)</f>
        <v>LIC36</v>
      </c>
      <c r="D110" s="206">
        <v>120248</v>
      </c>
      <c r="E110" s="206" t="s">
        <v>359</v>
      </c>
      <c r="F110" s="210">
        <v>1098</v>
      </c>
      <c r="G110" s="206">
        <v>1098</v>
      </c>
      <c r="H110" s="206">
        <v>1098</v>
      </c>
      <c r="I110" s="207">
        <v>43190</v>
      </c>
    </row>
    <row r="111" spans="1:9" s="205" customFormat="1">
      <c r="A111" s="205" t="str">
        <f t="shared" si="1"/>
        <v>LIC36ZG</v>
      </c>
      <c r="B111" s="205" t="str">
        <f>+VLOOKUP(D111,'Plan mapping'!A:B,2,0)</f>
        <v>ZG</v>
      </c>
      <c r="C111" s="205" t="str">
        <f>+VLOOKUP(D111,'Plan mapping'!A:C,3,0)</f>
        <v>LIC36</v>
      </c>
      <c r="D111" s="206">
        <v>120249</v>
      </c>
      <c r="E111" s="206" t="s">
        <v>360</v>
      </c>
      <c r="F111" s="210">
        <v>3151.5418</v>
      </c>
      <c r="G111" s="206">
        <v>3151.5418</v>
      </c>
      <c r="H111" s="206">
        <v>3151.5418</v>
      </c>
      <c r="I111" s="207">
        <v>43190</v>
      </c>
    </row>
    <row r="112" spans="1:9" s="205" customFormat="1">
      <c r="A112" s="205" t="str">
        <f t="shared" si="1"/>
        <v>LIC36RD</v>
      </c>
      <c r="B112" s="205" t="str">
        <f>+VLOOKUP(D112,'Plan mapping'!A:B,2,0)</f>
        <v>RD</v>
      </c>
      <c r="C112" s="205" t="str">
        <f>+VLOOKUP(D112,'Plan mapping'!A:C,3,0)</f>
        <v>LIC36</v>
      </c>
      <c r="D112" s="206">
        <v>101184</v>
      </c>
      <c r="E112" s="206" t="s">
        <v>361</v>
      </c>
      <c r="F112" s="210">
        <v>1098</v>
      </c>
      <c r="G112" s="206">
        <v>1098</v>
      </c>
      <c r="H112" s="206">
        <v>1098</v>
      </c>
      <c r="I112" s="207">
        <v>43190</v>
      </c>
    </row>
    <row r="113" spans="1:9" s="205" customFormat="1">
      <c r="A113" s="205" t="str">
        <f t="shared" si="1"/>
        <v>LIC36RG</v>
      </c>
      <c r="B113" s="205" t="str">
        <f>+VLOOKUP(D113,'Plan mapping'!A:B,2,0)</f>
        <v>RG</v>
      </c>
      <c r="C113" s="205" t="str">
        <f>+VLOOKUP(D113,'Plan mapping'!A:C,3,0)</f>
        <v>LIC36</v>
      </c>
      <c r="D113" s="206">
        <v>101185</v>
      </c>
      <c r="E113" s="206" t="s">
        <v>362</v>
      </c>
      <c r="F113" s="210">
        <v>3135.8090999999999</v>
      </c>
      <c r="G113" s="206">
        <v>3135.8090999999999</v>
      </c>
      <c r="H113" s="206">
        <v>3135.8090999999999</v>
      </c>
      <c r="I113" s="207">
        <v>43190</v>
      </c>
    </row>
    <row r="114" spans="1:9">
      <c r="A114" t="str">
        <f t="shared" si="1"/>
        <v>LIC177RG</v>
      </c>
      <c r="B114" t="str">
        <f>+VLOOKUP(D114,'Plan mapping'!A:B,2,0)</f>
        <v>RG</v>
      </c>
      <c r="C114" t="str">
        <f>+VLOOKUP(D114,'Plan mapping'!A:C,3,0)</f>
        <v>LIC177</v>
      </c>
      <c r="D114" s="142">
        <v>136473</v>
      </c>
      <c r="E114" t="s">
        <v>410</v>
      </c>
      <c r="F114" s="209">
        <v>106.95740000000001</v>
      </c>
      <c r="G114">
        <v>106.95740000000001</v>
      </c>
      <c r="H114">
        <v>106.95740000000001</v>
      </c>
      <c r="I114" s="120">
        <v>43187</v>
      </c>
    </row>
    <row r="115" spans="1:9">
      <c r="A115" t="str">
        <f t="shared" si="1"/>
        <v>LIC175RG</v>
      </c>
      <c r="B115" t="str">
        <f>+VLOOKUP(D115,'Plan mapping'!A:B,2,0)</f>
        <v>RG</v>
      </c>
      <c r="C115" t="str">
        <f>+VLOOKUP(D115,'Plan mapping'!A:C,3,0)</f>
        <v>LIC175</v>
      </c>
      <c r="D115" s="142">
        <v>135607</v>
      </c>
      <c r="E115" t="s">
        <v>411</v>
      </c>
      <c r="F115" s="209">
        <v>103.4766</v>
      </c>
      <c r="G115">
        <v>103.4766</v>
      </c>
      <c r="H115">
        <v>103.4766</v>
      </c>
      <c r="I115" s="120">
        <v>43187</v>
      </c>
    </row>
    <row r="116" spans="1:9">
      <c r="A116" t="str">
        <f t="shared" si="1"/>
        <v>LIC176RG</v>
      </c>
      <c r="B116" t="str">
        <f>+VLOOKUP(D116,'Plan mapping'!A:B,2,0)</f>
        <v>RG</v>
      </c>
      <c r="C116" t="str">
        <f>+VLOOKUP(D116,'Plan mapping'!A:C,3,0)</f>
        <v>LIC176</v>
      </c>
      <c r="D116" s="142">
        <v>135672</v>
      </c>
      <c r="E116" t="s">
        <v>412</v>
      </c>
      <c r="F116" s="209">
        <v>339.1114</v>
      </c>
      <c r="G116">
        <v>339.1114</v>
      </c>
      <c r="H116">
        <v>339.1114</v>
      </c>
      <c r="I116" s="120">
        <v>43187</v>
      </c>
    </row>
    <row r="117" spans="1:9">
      <c r="A117" t="str">
        <f t="shared" si="1"/>
        <v>LIC168RG</v>
      </c>
      <c r="B117" t="str">
        <f>+VLOOKUP(D117,'Plan mapping'!A:B,2,0)</f>
        <v>RG</v>
      </c>
      <c r="C117" t="str">
        <f>+VLOOKUP(D117,'Plan mapping'!A:C,3,0)</f>
        <v>LIC168</v>
      </c>
      <c r="D117" s="142">
        <v>133307</v>
      </c>
      <c r="E117" t="s">
        <v>413</v>
      </c>
      <c r="F117" s="209">
        <v>16.956700000000001</v>
      </c>
      <c r="G117">
        <v>16.956700000000001</v>
      </c>
      <c r="H117">
        <v>16.956700000000001</v>
      </c>
      <c r="I117" s="120">
        <v>43187</v>
      </c>
    </row>
    <row r="118" spans="1:9" hidden="1">
      <c r="A118" t="str">
        <f t="shared" si="1"/>
        <v>LIC940</v>
      </c>
      <c r="B118">
        <f>+VLOOKUP(D118,'Plan mapping'!A:B,2,0)</f>
        <v>0</v>
      </c>
      <c r="C118" t="str">
        <f>+VLOOKUP(D118,'Plan mapping'!A:C,3,0)</f>
        <v>LIC94</v>
      </c>
      <c r="D118" s="142">
        <v>120367</v>
      </c>
      <c r="E118" t="s">
        <v>1526</v>
      </c>
      <c r="F118">
        <v>10.0002</v>
      </c>
      <c r="G118">
        <v>0</v>
      </c>
      <c r="H118">
        <v>0</v>
      </c>
      <c r="I118" s="120">
        <v>42879</v>
      </c>
    </row>
    <row r="119" spans="1:9" hidden="1">
      <c r="A119" t="str">
        <f t="shared" si="1"/>
        <v>LIC940</v>
      </c>
      <c r="B119">
        <f>+VLOOKUP(D119,'Plan mapping'!A:B,2,0)</f>
        <v>0</v>
      </c>
      <c r="C119" s="208" t="str">
        <f>+VLOOKUP(D119,'Plan mapping'!A:C,3,0)</f>
        <v>LIC94</v>
      </c>
      <c r="D119" s="142">
        <v>120366</v>
      </c>
      <c r="E119" t="s">
        <v>1527</v>
      </c>
      <c r="F119">
        <v>20.5379</v>
      </c>
      <c r="G119">
        <v>0</v>
      </c>
      <c r="H119">
        <v>0</v>
      </c>
      <c r="I119" s="120">
        <v>43069</v>
      </c>
    </row>
    <row r="120" spans="1:9" hidden="1">
      <c r="A120" t="str">
        <f t="shared" si="1"/>
        <v>LIC940</v>
      </c>
      <c r="B120">
        <f>+VLOOKUP(D120,'Plan mapping'!A:B,2,0)</f>
        <v>0</v>
      </c>
      <c r="C120" s="208" t="str">
        <f>+VLOOKUP(D120,'Plan mapping'!A:C,3,0)</f>
        <v>LIC94</v>
      </c>
      <c r="D120" s="142">
        <v>108438</v>
      </c>
      <c r="E120" t="s">
        <v>1528</v>
      </c>
      <c r="F120">
        <v>10.4909</v>
      </c>
      <c r="G120">
        <v>0</v>
      </c>
      <c r="H120">
        <v>0</v>
      </c>
      <c r="I120" s="120">
        <v>43069</v>
      </c>
    </row>
    <row r="121" spans="1:9" hidden="1">
      <c r="A121" t="str">
        <f t="shared" si="1"/>
        <v>LIC940</v>
      </c>
      <c r="B121">
        <f>+VLOOKUP(D121,'Plan mapping'!A:B,2,0)</f>
        <v>0</v>
      </c>
      <c r="C121" s="208" t="str">
        <f>+VLOOKUP(D121,'Plan mapping'!A:C,3,0)</f>
        <v>LIC94</v>
      </c>
      <c r="D121" s="142">
        <v>108439</v>
      </c>
      <c r="E121" t="s">
        <v>1529</v>
      </c>
      <c r="F121">
        <v>20.3721</v>
      </c>
      <c r="G121">
        <v>0</v>
      </c>
      <c r="H121">
        <v>0</v>
      </c>
      <c r="I121" s="120">
        <v>43069</v>
      </c>
    </row>
    <row r="122" spans="1:9" hidden="1">
      <c r="A122" t="str">
        <f t="shared" si="1"/>
        <v>LIC950</v>
      </c>
      <c r="B122">
        <f>+VLOOKUP(D122,'Plan mapping'!A:B,2,0)</f>
        <v>0</v>
      </c>
      <c r="C122" s="208" t="str">
        <f>+VLOOKUP(D122,'Plan mapping'!A:C,3,0)</f>
        <v>LIC95</v>
      </c>
      <c r="D122" s="142">
        <v>120358</v>
      </c>
      <c r="E122" t="s">
        <v>1530</v>
      </c>
      <c r="F122">
        <v>10.020799999999999</v>
      </c>
      <c r="G122">
        <v>0</v>
      </c>
      <c r="H122">
        <v>0</v>
      </c>
      <c r="I122" s="120">
        <v>43066</v>
      </c>
    </row>
    <row r="123" spans="1:9" hidden="1">
      <c r="A123" t="str">
        <f t="shared" si="1"/>
        <v>LIC950</v>
      </c>
      <c r="B123">
        <f>+VLOOKUP(D123,'Plan mapping'!A:B,2,0)</f>
        <v>0</v>
      </c>
      <c r="C123" s="208" t="str">
        <f>+VLOOKUP(D123,'Plan mapping'!A:C,3,0)</f>
        <v>LIC95</v>
      </c>
      <c r="D123" s="142">
        <v>120359</v>
      </c>
      <c r="E123" t="s">
        <v>1531</v>
      </c>
      <c r="F123">
        <v>20.549900000000001</v>
      </c>
      <c r="G123">
        <v>0</v>
      </c>
      <c r="H123">
        <v>0</v>
      </c>
      <c r="I123" s="120">
        <v>43066</v>
      </c>
    </row>
    <row r="124" spans="1:9" hidden="1">
      <c r="A124" t="str">
        <f t="shared" si="1"/>
        <v>LIC950</v>
      </c>
      <c r="B124">
        <f>+VLOOKUP(D124,'Plan mapping'!A:B,2,0)</f>
        <v>0</v>
      </c>
      <c r="C124" s="208" t="str">
        <f>+VLOOKUP(D124,'Plan mapping'!A:C,3,0)</f>
        <v>LIC95</v>
      </c>
      <c r="D124" s="142">
        <v>108416</v>
      </c>
      <c r="E124" t="s">
        <v>1532</v>
      </c>
      <c r="F124">
        <v>10.020200000000001</v>
      </c>
      <c r="G124">
        <v>0</v>
      </c>
      <c r="H124">
        <v>0</v>
      </c>
      <c r="I124" s="120">
        <v>43066</v>
      </c>
    </row>
    <row r="125" spans="1:9" hidden="1">
      <c r="A125" t="str">
        <f t="shared" si="1"/>
        <v>LIC950</v>
      </c>
      <c r="B125">
        <f>+VLOOKUP(D125,'Plan mapping'!A:B,2,0)</f>
        <v>0</v>
      </c>
      <c r="C125" s="208" t="str">
        <f>+VLOOKUP(D125,'Plan mapping'!A:C,3,0)</f>
        <v>LIC95</v>
      </c>
      <c r="D125" s="142">
        <v>108417</v>
      </c>
      <c r="E125" t="s">
        <v>1533</v>
      </c>
      <c r="F125">
        <v>20.4452</v>
      </c>
      <c r="G125">
        <v>0</v>
      </c>
      <c r="H125">
        <v>0</v>
      </c>
      <c r="I125" s="120">
        <v>43066</v>
      </c>
    </row>
    <row r="126" spans="1:9" hidden="1">
      <c r="A126" t="str">
        <f t="shared" si="1"/>
        <v>LIC960</v>
      </c>
      <c r="B126">
        <f>+VLOOKUP(D126,'Plan mapping'!A:B,2,0)</f>
        <v>0</v>
      </c>
      <c r="C126" s="208" t="str">
        <f>+VLOOKUP(D126,'Plan mapping'!A:C,3,0)</f>
        <v>LIC96</v>
      </c>
      <c r="D126" s="142">
        <v>120362</v>
      </c>
      <c r="E126" t="s">
        <v>1534</v>
      </c>
      <c r="F126">
        <v>10.0205</v>
      </c>
      <c r="G126">
        <v>0</v>
      </c>
      <c r="H126">
        <v>0</v>
      </c>
      <c r="I126" s="120">
        <v>43067</v>
      </c>
    </row>
    <row r="127" spans="1:9" hidden="1">
      <c r="A127" t="str">
        <f t="shared" si="1"/>
        <v>LIC960</v>
      </c>
      <c r="B127">
        <f>+VLOOKUP(D127,'Plan mapping'!A:B,2,0)</f>
        <v>0</v>
      </c>
      <c r="C127" s="208" t="str">
        <f>+VLOOKUP(D127,'Plan mapping'!A:C,3,0)</f>
        <v>LIC96</v>
      </c>
      <c r="D127" s="142">
        <v>120363</v>
      </c>
      <c r="E127" t="s">
        <v>1535</v>
      </c>
      <c r="F127">
        <v>20.770900000000001</v>
      </c>
      <c r="G127">
        <v>0</v>
      </c>
      <c r="H127">
        <v>0</v>
      </c>
      <c r="I127" s="120">
        <v>43067</v>
      </c>
    </row>
    <row r="128" spans="1:9" hidden="1">
      <c r="A128" t="str">
        <f t="shared" si="1"/>
        <v>LIC960</v>
      </c>
      <c r="B128">
        <f>+VLOOKUP(D128,'Plan mapping'!A:B,2,0)</f>
        <v>0</v>
      </c>
      <c r="C128" s="208" t="str">
        <f>+VLOOKUP(D128,'Plan mapping'!A:C,3,0)</f>
        <v>LIC96</v>
      </c>
      <c r="D128" s="142">
        <v>108408</v>
      </c>
      <c r="E128" t="s">
        <v>1536</v>
      </c>
      <c r="F128">
        <v>10.02</v>
      </c>
      <c r="G128">
        <v>0</v>
      </c>
      <c r="H128">
        <v>0</v>
      </c>
      <c r="I128" s="120">
        <v>43067</v>
      </c>
    </row>
    <row r="129" spans="1:9" hidden="1">
      <c r="A129" t="str">
        <f t="shared" si="1"/>
        <v>LIC960</v>
      </c>
      <c r="B129">
        <f>+VLOOKUP(D129,'Plan mapping'!A:B,2,0)</f>
        <v>0</v>
      </c>
      <c r="C129" s="208" t="str">
        <f>+VLOOKUP(D129,'Plan mapping'!A:C,3,0)</f>
        <v>LIC96</v>
      </c>
      <c r="D129" s="142">
        <v>108411</v>
      </c>
      <c r="E129" t="s">
        <v>1537</v>
      </c>
      <c r="F129">
        <v>20.672999999999998</v>
      </c>
      <c r="G129">
        <v>0</v>
      </c>
      <c r="H129">
        <v>0</v>
      </c>
      <c r="I129" s="120">
        <v>43067</v>
      </c>
    </row>
    <row r="130" spans="1:9" hidden="1">
      <c r="A130" t="str">
        <f t="shared" si="1"/>
        <v>LIC1030</v>
      </c>
      <c r="B130">
        <f>+VLOOKUP(D130,'Plan mapping'!A:B,2,0)</f>
        <v>0</v>
      </c>
      <c r="C130" s="208" t="str">
        <f>+VLOOKUP(D130,'Plan mapping'!A:C,3,0)</f>
        <v>LIC103</v>
      </c>
      <c r="D130" s="142">
        <v>120375</v>
      </c>
      <c r="E130" t="s">
        <v>1538</v>
      </c>
      <c r="F130">
        <v>10.022600000000001</v>
      </c>
      <c r="G130">
        <v>0</v>
      </c>
      <c r="H130">
        <v>0</v>
      </c>
      <c r="I130" s="120">
        <v>43068</v>
      </c>
    </row>
    <row r="131" spans="1:9" hidden="1">
      <c r="A131" t="str">
        <f t="shared" ref="A131:A180" si="2">+C131&amp;B131</f>
        <v>LIC1030</v>
      </c>
      <c r="B131">
        <f>+VLOOKUP(D131,'Plan mapping'!A:B,2,0)</f>
        <v>0</v>
      </c>
      <c r="C131" s="208" t="str">
        <f>+VLOOKUP(D131,'Plan mapping'!A:C,3,0)</f>
        <v>LIC103</v>
      </c>
      <c r="D131" s="142">
        <v>120372</v>
      </c>
      <c r="E131" t="s">
        <v>1539</v>
      </c>
      <c r="F131">
        <v>20.518699999999999</v>
      </c>
      <c r="G131">
        <v>0</v>
      </c>
      <c r="H131">
        <v>0</v>
      </c>
      <c r="I131" s="120">
        <v>43068</v>
      </c>
    </row>
    <row r="132" spans="1:9" hidden="1">
      <c r="A132" t="str">
        <f t="shared" si="2"/>
        <v>LIC1030</v>
      </c>
      <c r="B132">
        <f>+VLOOKUP(D132,'Plan mapping'!A:B,2,0)</f>
        <v>0</v>
      </c>
      <c r="C132" s="208" t="str">
        <f>+VLOOKUP(D132,'Plan mapping'!A:C,3,0)</f>
        <v>LIC103</v>
      </c>
      <c r="D132" s="142">
        <v>109917</v>
      </c>
      <c r="E132" t="s">
        <v>1540</v>
      </c>
      <c r="F132">
        <v>10.0223</v>
      </c>
      <c r="G132">
        <v>0</v>
      </c>
      <c r="H132">
        <v>0</v>
      </c>
      <c r="I132" s="120">
        <v>43068</v>
      </c>
    </row>
    <row r="133" spans="1:9" hidden="1">
      <c r="A133" t="str">
        <f t="shared" si="2"/>
        <v>LIC1030</v>
      </c>
      <c r="B133">
        <f>+VLOOKUP(D133,'Plan mapping'!A:B,2,0)</f>
        <v>0</v>
      </c>
      <c r="C133" s="208" t="str">
        <f>+VLOOKUP(D133,'Plan mapping'!A:C,3,0)</f>
        <v>LIC103</v>
      </c>
      <c r="D133" s="142">
        <v>109916</v>
      </c>
      <c r="E133" t="s">
        <v>1541</v>
      </c>
      <c r="F133">
        <v>20.3553</v>
      </c>
      <c r="G133">
        <v>0</v>
      </c>
      <c r="H133">
        <v>0</v>
      </c>
      <c r="I133" s="120">
        <v>43068</v>
      </c>
    </row>
    <row r="134" spans="1:9" hidden="1">
      <c r="A134" t="str">
        <f t="shared" si="2"/>
        <v>LIC1600</v>
      </c>
      <c r="B134">
        <f>+VLOOKUP(D134,'Plan mapping'!A:B,2,0)</f>
        <v>0</v>
      </c>
      <c r="C134" t="str">
        <f>+VLOOKUP(D134,'Plan mapping'!A:C,3,0)</f>
        <v>LIC160</v>
      </c>
      <c r="D134" s="142">
        <v>131047</v>
      </c>
      <c r="E134" t="s">
        <v>1542</v>
      </c>
      <c r="F134">
        <v>10</v>
      </c>
      <c r="G134">
        <v>10</v>
      </c>
      <c r="H134">
        <v>10</v>
      </c>
      <c r="I134" s="120">
        <v>42990</v>
      </c>
    </row>
    <row r="135" spans="1:9" hidden="1">
      <c r="A135" t="str">
        <f t="shared" si="2"/>
        <v>LIC1600</v>
      </c>
      <c r="B135">
        <f>+VLOOKUP(D135,'Plan mapping'!A:B,2,0)</f>
        <v>0</v>
      </c>
      <c r="C135" t="str">
        <f>+VLOOKUP(D135,'Plan mapping'!A:C,3,0)</f>
        <v>LIC160</v>
      </c>
      <c r="D135" s="142">
        <v>131048</v>
      </c>
      <c r="E135" t="s">
        <v>1543</v>
      </c>
      <c r="F135">
        <v>10.999599999999999</v>
      </c>
      <c r="G135">
        <v>10.999599999999999</v>
      </c>
      <c r="H135">
        <v>10.999599999999999</v>
      </c>
      <c r="I135" s="120">
        <v>42990</v>
      </c>
    </row>
    <row r="136" spans="1:9" hidden="1">
      <c r="A136" t="str">
        <f t="shared" si="2"/>
        <v>LIC1600</v>
      </c>
      <c r="B136">
        <f>+VLOOKUP(D136,'Plan mapping'!A:B,2,0)</f>
        <v>0</v>
      </c>
      <c r="C136" t="str">
        <f>+VLOOKUP(D136,'Plan mapping'!A:C,3,0)</f>
        <v>LIC160</v>
      </c>
      <c r="D136" s="142">
        <v>131049</v>
      </c>
      <c r="E136" t="s">
        <v>1544</v>
      </c>
      <c r="F136">
        <v>10</v>
      </c>
      <c r="G136">
        <v>10</v>
      </c>
      <c r="H136">
        <v>10</v>
      </c>
      <c r="I136" s="120">
        <v>42990</v>
      </c>
    </row>
    <row r="137" spans="1:9" hidden="1">
      <c r="A137" t="str">
        <f t="shared" si="2"/>
        <v>LIC1600</v>
      </c>
      <c r="B137">
        <f>+VLOOKUP(D137,'Plan mapping'!A:B,2,0)</f>
        <v>0</v>
      </c>
      <c r="C137" t="str">
        <f>+VLOOKUP(D137,'Plan mapping'!A:C,3,0)</f>
        <v>LIC160</v>
      </c>
      <c r="D137" s="142">
        <v>131050</v>
      </c>
      <c r="E137" t="s">
        <v>1545</v>
      </c>
      <c r="F137">
        <v>10.896599999999999</v>
      </c>
      <c r="G137">
        <v>10.896599999999999</v>
      </c>
      <c r="H137">
        <v>10.896599999999999</v>
      </c>
      <c r="I137" s="120">
        <v>42990</v>
      </c>
    </row>
    <row r="138" spans="1:9" hidden="1">
      <c r="A138" t="str">
        <f t="shared" si="2"/>
        <v>LIC1650</v>
      </c>
      <c r="B138">
        <f>+VLOOKUP(D138,'Plan mapping'!A:B,2,0)</f>
        <v>0</v>
      </c>
      <c r="C138" s="208" t="str">
        <f>+VLOOKUP(D138,'Plan mapping'!A:C,3,0)</f>
        <v>LIC165</v>
      </c>
      <c r="D138" s="142">
        <v>132913</v>
      </c>
      <c r="E138" t="s">
        <v>1546</v>
      </c>
      <c r="F138">
        <v>11.656499999999999</v>
      </c>
      <c r="G138">
        <v>11.656499999999999</v>
      </c>
      <c r="H138">
        <v>11.656499999999999</v>
      </c>
      <c r="I138" s="120">
        <v>43073</v>
      </c>
    </row>
    <row r="139" spans="1:9" hidden="1">
      <c r="A139" t="str">
        <f t="shared" si="2"/>
        <v>LIC1650</v>
      </c>
      <c r="B139">
        <f>+VLOOKUP(D139,'Plan mapping'!A:B,2,0)</f>
        <v>0</v>
      </c>
      <c r="C139" s="208" t="str">
        <f>+VLOOKUP(D139,'Plan mapping'!A:C,3,0)</f>
        <v>LIC165</v>
      </c>
      <c r="D139" s="142">
        <v>132916</v>
      </c>
      <c r="E139" t="s">
        <v>1547</v>
      </c>
      <c r="F139">
        <v>11.656599999999999</v>
      </c>
      <c r="G139">
        <v>11.656599999999999</v>
      </c>
      <c r="H139">
        <v>11.656599999999999</v>
      </c>
      <c r="I139" s="120">
        <v>43073</v>
      </c>
    </row>
    <row r="140" spans="1:9" hidden="1">
      <c r="A140" t="str">
        <f t="shared" si="2"/>
        <v>LIC1650</v>
      </c>
      <c r="B140">
        <f>+VLOOKUP(D140,'Plan mapping'!A:B,2,0)</f>
        <v>0</v>
      </c>
      <c r="C140" s="208" t="str">
        <f>+VLOOKUP(D140,'Plan mapping'!A:C,3,0)</f>
        <v>LIC165</v>
      </c>
      <c r="D140" s="142">
        <v>132914</v>
      </c>
      <c r="E140" t="s">
        <v>1548</v>
      </c>
      <c r="F140">
        <v>11.4848</v>
      </c>
      <c r="G140">
        <v>11.4848</v>
      </c>
      <c r="H140">
        <v>11.4848</v>
      </c>
      <c r="I140" s="120">
        <v>43073</v>
      </c>
    </row>
    <row r="141" spans="1:9" hidden="1">
      <c r="A141" t="str">
        <f t="shared" si="2"/>
        <v>LIC1650</v>
      </c>
      <c r="B141">
        <f>+VLOOKUP(D141,'Plan mapping'!A:B,2,0)</f>
        <v>0</v>
      </c>
      <c r="C141" s="208" t="str">
        <f>+VLOOKUP(D141,'Plan mapping'!A:C,3,0)</f>
        <v>LIC165</v>
      </c>
      <c r="D141" s="142">
        <v>132915</v>
      </c>
      <c r="E141" t="s">
        <v>1549</v>
      </c>
      <c r="F141">
        <v>11.4848</v>
      </c>
      <c r="G141">
        <v>11.4848</v>
      </c>
      <c r="H141">
        <v>11.4848</v>
      </c>
      <c r="I141" s="120">
        <v>43073</v>
      </c>
    </row>
    <row r="142" spans="1:9" hidden="1">
      <c r="A142" t="str">
        <f t="shared" si="2"/>
        <v>LIC1690</v>
      </c>
      <c r="B142">
        <f>+VLOOKUP(D142,'Plan mapping'!A:B,2,0)</f>
        <v>0</v>
      </c>
      <c r="C142" s="208" t="str">
        <f>+VLOOKUP(D142,'Plan mapping'!A:C,3,0)</f>
        <v>LIC169</v>
      </c>
      <c r="D142" s="142">
        <v>133550</v>
      </c>
      <c r="E142" t="s">
        <v>1550</v>
      </c>
      <c r="F142">
        <v>10</v>
      </c>
      <c r="G142">
        <v>10</v>
      </c>
      <c r="H142">
        <v>10</v>
      </c>
      <c r="I142" s="120">
        <v>43136</v>
      </c>
    </row>
    <row r="143" spans="1:9" hidden="1">
      <c r="A143" t="str">
        <f t="shared" si="2"/>
        <v>LIC1690</v>
      </c>
      <c r="B143">
        <f>+VLOOKUP(D143,'Plan mapping'!A:B,2,0)</f>
        <v>0</v>
      </c>
      <c r="C143" s="208" t="str">
        <f>+VLOOKUP(D143,'Plan mapping'!A:C,3,0)</f>
        <v>LIC169</v>
      </c>
      <c r="D143" s="142">
        <v>133581</v>
      </c>
      <c r="E143" t="s">
        <v>1551</v>
      </c>
      <c r="F143">
        <v>11.667</v>
      </c>
      <c r="G143">
        <v>11.667</v>
      </c>
      <c r="H143">
        <v>11.667</v>
      </c>
      <c r="I143" s="120">
        <v>43136</v>
      </c>
    </row>
    <row r="144" spans="1:9" hidden="1">
      <c r="A144" t="str">
        <f t="shared" si="2"/>
        <v>LIC1690</v>
      </c>
      <c r="B144">
        <f>+VLOOKUP(D144,'Plan mapping'!A:B,2,0)</f>
        <v>0</v>
      </c>
      <c r="C144" s="208" t="str">
        <f>+VLOOKUP(D144,'Plan mapping'!A:C,3,0)</f>
        <v>LIC169</v>
      </c>
      <c r="D144" s="142">
        <v>133582</v>
      </c>
      <c r="E144" t="s">
        <v>1552</v>
      </c>
      <c r="F144">
        <v>10</v>
      </c>
      <c r="G144">
        <v>10</v>
      </c>
      <c r="H144">
        <v>10</v>
      </c>
      <c r="I144" s="120">
        <v>43136</v>
      </c>
    </row>
    <row r="145" spans="1:9" hidden="1">
      <c r="A145" t="str">
        <f t="shared" si="2"/>
        <v>LIC1690</v>
      </c>
      <c r="B145">
        <f>+VLOOKUP(D145,'Plan mapping'!A:B,2,0)</f>
        <v>0</v>
      </c>
      <c r="C145" s="208" t="str">
        <f>+VLOOKUP(D145,'Plan mapping'!A:C,3,0)</f>
        <v>LIC169</v>
      </c>
      <c r="D145" s="142">
        <v>133583</v>
      </c>
      <c r="E145" t="s">
        <v>1553</v>
      </c>
      <c r="F145">
        <v>11.6554</v>
      </c>
      <c r="G145">
        <v>11.6554</v>
      </c>
      <c r="H145">
        <v>11.6554</v>
      </c>
      <c r="I145" s="120">
        <v>43136</v>
      </c>
    </row>
    <row r="146" spans="1:9">
      <c r="A146" t="str">
        <f t="shared" si="2"/>
        <v>LIC142ZG</v>
      </c>
      <c r="B146" t="str">
        <f>+VLOOKUP(D146,'Plan mapping'!A:B,2,0)</f>
        <v>ZG</v>
      </c>
      <c r="C146" t="str">
        <f>+VLOOKUP(D146,'Plan mapping'!A:C,3,0)</f>
        <v>LIC142</v>
      </c>
      <c r="D146" s="142">
        <v>126380</v>
      </c>
      <c r="E146" t="s">
        <v>414</v>
      </c>
      <c r="F146" s="209">
        <v>13.481</v>
      </c>
      <c r="G146">
        <v>13.481</v>
      </c>
      <c r="H146">
        <v>13.481</v>
      </c>
      <c r="I146" s="120">
        <v>43187</v>
      </c>
    </row>
    <row r="147" spans="1:9">
      <c r="A147" t="str">
        <f t="shared" si="2"/>
        <v>LIC142RD</v>
      </c>
      <c r="B147" t="str">
        <f>+VLOOKUP(D147,'Plan mapping'!A:B,2,0)</f>
        <v>RD</v>
      </c>
      <c r="C147" t="str">
        <f>+VLOOKUP(D147,'Plan mapping'!A:C,3,0)</f>
        <v>LIC142</v>
      </c>
      <c r="D147" s="142">
        <v>126382</v>
      </c>
      <c r="E147" t="s">
        <v>415</v>
      </c>
      <c r="F147" s="209">
        <v>10.5297</v>
      </c>
      <c r="G147">
        <v>10.5297</v>
      </c>
      <c r="H147">
        <v>10.5297</v>
      </c>
      <c r="I147" s="120">
        <v>43187</v>
      </c>
    </row>
    <row r="148" spans="1:9">
      <c r="A148" t="str">
        <f t="shared" si="2"/>
        <v>LIC142RG</v>
      </c>
      <c r="B148" t="str">
        <f>+VLOOKUP(D148,'Plan mapping'!A:B,2,0)</f>
        <v>RG</v>
      </c>
      <c r="C148" t="str">
        <f>+VLOOKUP(D148,'Plan mapping'!A:C,3,0)</f>
        <v>LIC142</v>
      </c>
      <c r="D148" s="142">
        <v>126381</v>
      </c>
      <c r="E148" t="s">
        <v>416</v>
      </c>
      <c r="F148" s="209">
        <v>13.201700000000001</v>
      </c>
      <c r="G148">
        <v>13.201700000000001</v>
      </c>
      <c r="H148">
        <v>13.201700000000001</v>
      </c>
      <c r="I148" s="120">
        <v>43187</v>
      </c>
    </row>
    <row r="149" spans="1:9" hidden="1">
      <c r="A149" t="str">
        <f t="shared" si="2"/>
        <v>LIC1580</v>
      </c>
      <c r="B149">
        <f>+VLOOKUP(D149,'Plan mapping'!A:B,2,0)</f>
        <v>0</v>
      </c>
      <c r="C149" t="str">
        <f>+VLOOKUP(D149,'Plan mapping'!A:C,3,0)</f>
        <v>LIC158</v>
      </c>
      <c r="D149" s="142">
        <v>130359</v>
      </c>
      <c r="E149" t="s">
        <v>1554</v>
      </c>
      <c r="F149">
        <v>12.3682</v>
      </c>
      <c r="G149">
        <v>12.3682</v>
      </c>
      <c r="H149">
        <v>12.3682</v>
      </c>
      <c r="I149" s="120">
        <v>42991</v>
      </c>
    </row>
    <row r="150" spans="1:9" hidden="1">
      <c r="A150" t="str">
        <f t="shared" si="2"/>
        <v>LIC1580</v>
      </c>
      <c r="B150">
        <f>+VLOOKUP(D150,'Plan mapping'!A:B,2,0)</f>
        <v>0</v>
      </c>
      <c r="C150" t="str">
        <f>+VLOOKUP(D150,'Plan mapping'!A:C,3,0)</f>
        <v>LIC158</v>
      </c>
      <c r="D150" s="142">
        <v>130364</v>
      </c>
      <c r="E150" t="s">
        <v>1555</v>
      </c>
      <c r="F150">
        <v>10</v>
      </c>
      <c r="G150">
        <v>10</v>
      </c>
      <c r="H150">
        <v>10</v>
      </c>
      <c r="I150" s="120">
        <v>42991</v>
      </c>
    </row>
    <row r="151" spans="1:9" hidden="1">
      <c r="A151" t="str">
        <f t="shared" si="2"/>
        <v>LIC1580</v>
      </c>
      <c r="B151">
        <f>+VLOOKUP(D151,'Plan mapping'!A:B,2,0)</f>
        <v>0</v>
      </c>
      <c r="C151" t="str">
        <f>+VLOOKUP(D151,'Plan mapping'!A:C,3,0)</f>
        <v>LIC158</v>
      </c>
      <c r="D151" s="142">
        <v>130365</v>
      </c>
      <c r="E151" t="s">
        <v>1556</v>
      </c>
      <c r="F151">
        <v>12.2797</v>
      </c>
      <c r="G151">
        <v>12.2797</v>
      </c>
      <c r="H151">
        <v>12.2797</v>
      </c>
      <c r="I151" s="120">
        <v>42991</v>
      </c>
    </row>
    <row r="152" spans="1:9" hidden="1">
      <c r="A152" t="str">
        <f t="shared" si="2"/>
        <v>LIC1620</v>
      </c>
      <c r="B152">
        <f>+VLOOKUP(D152,'Plan mapping'!A:B,2,0)</f>
        <v>0</v>
      </c>
      <c r="C152" s="208" t="str">
        <f>+VLOOKUP(D152,'Plan mapping'!A:C,3,0)</f>
        <v>LIC162</v>
      </c>
      <c r="D152" s="142">
        <v>131404</v>
      </c>
      <c r="E152" t="s">
        <v>1557</v>
      </c>
      <c r="F152">
        <v>10</v>
      </c>
      <c r="G152">
        <v>10</v>
      </c>
      <c r="H152">
        <v>10</v>
      </c>
      <c r="I152" s="120">
        <v>43069</v>
      </c>
    </row>
    <row r="153" spans="1:9" hidden="1">
      <c r="A153" t="str">
        <f t="shared" si="2"/>
        <v>LIC1620</v>
      </c>
      <c r="B153">
        <f>+VLOOKUP(D153,'Plan mapping'!A:B,2,0)</f>
        <v>0</v>
      </c>
      <c r="C153" s="208" t="str">
        <f>+VLOOKUP(D153,'Plan mapping'!A:C,3,0)</f>
        <v>LIC162</v>
      </c>
      <c r="D153" s="142">
        <v>131405</v>
      </c>
      <c r="E153" t="s">
        <v>1558</v>
      </c>
      <c r="F153">
        <v>12.235300000000001</v>
      </c>
      <c r="G153">
        <v>12.235300000000001</v>
      </c>
      <c r="H153">
        <v>12.235300000000001</v>
      </c>
      <c r="I153" s="120">
        <v>43069</v>
      </c>
    </row>
    <row r="154" spans="1:9" hidden="1">
      <c r="A154" t="str">
        <f t="shared" si="2"/>
        <v>LIC1620</v>
      </c>
      <c r="B154">
        <f>+VLOOKUP(D154,'Plan mapping'!A:B,2,0)</f>
        <v>0</v>
      </c>
      <c r="C154" s="208" t="str">
        <f>+VLOOKUP(D154,'Plan mapping'!A:C,3,0)</f>
        <v>LIC162</v>
      </c>
      <c r="D154" s="142">
        <v>131406</v>
      </c>
      <c r="E154" t="s">
        <v>1559</v>
      </c>
      <c r="F154">
        <v>10</v>
      </c>
      <c r="G154">
        <v>10</v>
      </c>
      <c r="H154">
        <v>10</v>
      </c>
      <c r="I154" s="120">
        <v>43069</v>
      </c>
    </row>
    <row r="155" spans="1:9" hidden="1">
      <c r="A155" t="str">
        <f t="shared" si="2"/>
        <v>LIC1620</v>
      </c>
      <c r="B155">
        <f>+VLOOKUP(D155,'Plan mapping'!A:B,2,0)</f>
        <v>0</v>
      </c>
      <c r="C155" s="208" t="str">
        <f>+VLOOKUP(D155,'Plan mapping'!A:C,3,0)</f>
        <v>LIC162</v>
      </c>
      <c r="D155" s="142">
        <v>131407</v>
      </c>
      <c r="E155" t="s">
        <v>1560</v>
      </c>
      <c r="F155">
        <v>12.1715</v>
      </c>
      <c r="G155">
        <v>12.1715</v>
      </c>
      <c r="H155">
        <v>12.1715</v>
      </c>
      <c r="I155" s="120">
        <v>43069</v>
      </c>
    </row>
    <row r="156" spans="1:9">
      <c r="A156" t="str">
        <f t="shared" si="2"/>
        <v>LIC172ZD</v>
      </c>
      <c r="B156" t="str">
        <f>+VLOOKUP(D156,'Plan mapping'!A:B,2,0)</f>
        <v>ZD</v>
      </c>
      <c r="C156" t="str">
        <f>+VLOOKUP(D156,'Plan mapping'!A:C,3,0)</f>
        <v>LIC172</v>
      </c>
      <c r="D156" s="142">
        <v>134727</v>
      </c>
      <c r="E156" t="s">
        <v>417</v>
      </c>
      <c r="F156" s="209">
        <v>12.174200000000001</v>
      </c>
      <c r="G156">
        <v>12.174200000000001</v>
      </c>
      <c r="H156">
        <v>12.174200000000001</v>
      </c>
      <c r="I156" s="120">
        <v>43187</v>
      </c>
    </row>
    <row r="157" spans="1:9">
      <c r="A157" t="str">
        <f t="shared" si="2"/>
        <v>LIC172ZG</v>
      </c>
      <c r="B157" t="str">
        <f>+VLOOKUP(D157,'Plan mapping'!A:B,2,0)</f>
        <v>ZG</v>
      </c>
      <c r="C157" t="str">
        <f>+VLOOKUP(D157,'Plan mapping'!A:C,3,0)</f>
        <v>LIC172</v>
      </c>
      <c r="D157" s="142">
        <v>134726</v>
      </c>
      <c r="E157" t="s">
        <v>418</v>
      </c>
      <c r="F157" s="209">
        <v>12.174200000000001</v>
      </c>
      <c r="G157">
        <v>12.174200000000001</v>
      </c>
      <c r="H157">
        <v>12.174200000000001</v>
      </c>
      <c r="I157" s="120">
        <v>43187</v>
      </c>
    </row>
    <row r="158" spans="1:9">
      <c r="A158" t="str">
        <f t="shared" si="2"/>
        <v>LIC172RD</v>
      </c>
      <c r="B158" t="str">
        <f>+VLOOKUP(D158,'Plan mapping'!A:B,2,0)</f>
        <v>RD</v>
      </c>
      <c r="C158" t="str">
        <f>+VLOOKUP(D158,'Plan mapping'!A:C,3,0)</f>
        <v>LIC172</v>
      </c>
      <c r="D158" s="142">
        <v>134729</v>
      </c>
      <c r="E158" t="s">
        <v>419</v>
      </c>
      <c r="F158" s="209">
        <v>11.7942</v>
      </c>
      <c r="G158">
        <v>11.7942</v>
      </c>
      <c r="H158">
        <v>11.7942</v>
      </c>
      <c r="I158" s="120">
        <v>43187</v>
      </c>
    </row>
    <row r="159" spans="1:9">
      <c r="A159" t="str">
        <f t="shared" si="2"/>
        <v>LIC172RG</v>
      </c>
      <c r="B159" t="str">
        <f>+VLOOKUP(D159,'Plan mapping'!A:B,2,0)</f>
        <v>RG</v>
      </c>
      <c r="C159" t="str">
        <f>+VLOOKUP(D159,'Plan mapping'!A:C,3,0)</f>
        <v>LIC172</v>
      </c>
      <c r="D159" s="142">
        <v>134728</v>
      </c>
      <c r="E159" t="s">
        <v>420</v>
      </c>
      <c r="F159" s="209">
        <v>11.7942</v>
      </c>
      <c r="G159">
        <v>11.7942</v>
      </c>
      <c r="H159">
        <v>11.7942</v>
      </c>
      <c r="I159" s="120">
        <v>43187</v>
      </c>
    </row>
    <row r="160" spans="1:9">
      <c r="A160" t="str">
        <f t="shared" si="2"/>
        <v>LIC173ZD</v>
      </c>
      <c r="B160" t="str">
        <f>+VLOOKUP(D160,'Plan mapping'!A:B,2,0)</f>
        <v>ZD</v>
      </c>
      <c r="C160" t="str">
        <f>+VLOOKUP(D160,'Plan mapping'!A:C,3,0)</f>
        <v>LIC173</v>
      </c>
      <c r="D160" s="142">
        <v>135345</v>
      </c>
      <c r="E160" t="s">
        <v>421</v>
      </c>
      <c r="F160" s="209">
        <v>12.0687</v>
      </c>
      <c r="G160">
        <v>12.0687</v>
      </c>
      <c r="H160">
        <v>12.0687</v>
      </c>
      <c r="I160" s="120">
        <v>43187</v>
      </c>
    </row>
    <row r="161" spans="1:9">
      <c r="A161" t="str">
        <f t="shared" si="2"/>
        <v>LIC173ZG</v>
      </c>
      <c r="B161" t="str">
        <f>+VLOOKUP(D161,'Plan mapping'!A:B,2,0)</f>
        <v>ZG</v>
      </c>
      <c r="C161" t="str">
        <f>+VLOOKUP(D161,'Plan mapping'!A:C,3,0)</f>
        <v>LIC173</v>
      </c>
      <c r="D161" s="142">
        <v>135346</v>
      </c>
      <c r="E161" t="s">
        <v>422</v>
      </c>
      <c r="F161" s="209">
        <v>12.0686</v>
      </c>
      <c r="G161">
        <v>12.0686</v>
      </c>
      <c r="H161">
        <v>12.0686</v>
      </c>
      <c r="I161" s="120">
        <v>43187</v>
      </c>
    </row>
    <row r="162" spans="1:9">
      <c r="A162" t="str">
        <f t="shared" si="2"/>
        <v>LIC173RD</v>
      </c>
      <c r="B162" t="str">
        <f>+VLOOKUP(D162,'Plan mapping'!A:B,2,0)</f>
        <v>RD</v>
      </c>
      <c r="C162" t="str">
        <f>+VLOOKUP(D162,'Plan mapping'!A:C,3,0)</f>
        <v>LIC173</v>
      </c>
      <c r="D162" s="142">
        <v>135347</v>
      </c>
      <c r="E162" t="s">
        <v>423</v>
      </c>
      <c r="F162" s="209">
        <v>11.750999999999999</v>
      </c>
      <c r="G162">
        <v>11.750999999999999</v>
      </c>
      <c r="H162">
        <v>11.750999999999999</v>
      </c>
      <c r="I162" s="120">
        <v>43187</v>
      </c>
    </row>
    <row r="163" spans="1:9">
      <c r="A163" t="str">
        <f t="shared" si="2"/>
        <v>LIC173RG</v>
      </c>
      <c r="B163" t="str">
        <f>+VLOOKUP(D163,'Plan mapping'!A:B,2,0)</f>
        <v>RG</v>
      </c>
      <c r="C163" t="str">
        <f>+VLOOKUP(D163,'Plan mapping'!A:C,3,0)</f>
        <v>LIC173</v>
      </c>
      <c r="D163" s="142">
        <v>135348</v>
      </c>
      <c r="E163" t="s">
        <v>424</v>
      </c>
      <c r="F163" s="209">
        <v>11.750999999999999</v>
      </c>
      <c r="G163">
        <v>11.750999999999999</v>
      </c>
      <c r="H163">
        <v>11.750999999999999</v>
      </c>
      <c r="I163" s="120">
        <v>43187</v>
      </c>
    </row>
    <row r="164" spans="1:9">
      <c r="A164" t="str">
        <f t="shared" si="2"/>
        <v>LIC174ZD</v>
      </c>
      <c r="B164" t="str">
        <f>+VLOOKUP(D164,'Plan mapping'!A:B,2,0)</f>
        <v>ZD</v>
      </c>
      <c r="C164" t="str">
        <f>+VLOOKUP(D164,'Plan mapping'!A:C,3,0)</f>
        <v>LIC174</v>
      </c>
      <c r="D164" s="142">
        <v>135588</v>
      </c>
      <c r="E164" t="s">
        <v>425</v>
      </c>
      <c r="F164" s="209">
        <v>12.105</v>
      </c>
      <c r="G164">
        <v>12.105</v>
      </c>
      <c r="H164">
        <v>12.105</v>
      </c>
      <c r="I164" s="120">
        <v>43187</v>
      </c>
    </row>
    <row r="165" spans="1:9">
      <c r="A165" t="str">
        <f t="shared" si="2"/>
        <v>LIC174ZG</v>
      </c>
      <c r="B165" t="str">
        <f>+VLOOKUP(D165,'Plan mapping'!A:B,2,0)</f>
        <v>ZG</v>
      </c>
      <c r="C165" t="str">
        <f>+VLOOKUP(D165,'Plan mapping'!A:C,3,0)</f>
        <v>LIC174</v>
      </c>
      <c r="D165" s="142">
        <v>135589</v>
      </c>
      <c r="E165" t="s">
        <v>426</v>
      </c>
      <c r="F165" s="209">
        <v>12.1051</v>
      </c>
      <c r="G165">
        <v>12.1051</v>
      </c>
      <c r="H165">
        <v>12.1051</v>
      </c>
      <c r="I165" s="120">
        <v>43187</v>
      </c>
    </row>
    <row r="166" spans="1:9">
      <c r="A166" t="str">
        <f t="shared" si="2"/>
        <v>LIC174RD</v>
      </c>
      <c r="B166" t="str">
        <f>+VLOOKUP(D166,'Plan mapping'!A:B,2,0)</f>
        <v>RD</v>
      </c>
      <c r="C166" t="str">
        <f>+VLOOKUP(D166,'Plan mapping'!A:C,3,0)</f>
        <v>LIC174</v>
      </c>
      <c r="D166" s="142">
        <v>135590</v>
      </c>
      <c r="E166" t="s">
        <v>427</v>
      </c>
      <c r="F166" s="209">
        <v>11.8079</v>
      </c>
      <c r="G166">
        <v>11.8079</v>
      </c>
      <c r="H166">
        <v>11.8079</v>
      </c>
      <c r="I166" s="120">
        <v>43187</v>
      </c>
    </row>
    <row r="167" spans="1:9">
      <c r="A167" t="str">
        <f t="shared" si="2"/>
        <v>LIC174RG</v>
      </c>
      <c r="B167" t="str">
        <f>+VLOOKUP(D167,'Plan mapping'!A:B,2,0)</f>
        <v>RG</v>
      </c>
      <c r="C167" t="str">
        <f>+VLOOKUP(D167,'Plan mapping'!A:C,3,0)</f>
        <v>LIC174</v>
      </c>
      <c r="D167" s="142">
        <v>135591</v>
      </c>
      <c r="E167" t="s">
        <v>428</v>
      </c>
      <c r="F167" s="209">
        <v>11.8079</v>
      </c>
      <c r="G167">
        <v>11.8079</v>
      </c>
      <c r="H167">
        <v>11.8079</v>
      </c>
      <c r="I167" s="120">
        <v>43187</v>
      </c>
    </row>
    <row r="168" spans="1:9" hidden="1">
      <c r="A168" t="str">
        <f t="shared" si="2"/>
        <v>LIC1570</v>
      </c>
      <c r="B168">
        <f>+VLOOKUP(D168,'Plan mapping'!A:B,2,0)</f>
        <v>0</v>
      </c>
      <c r="C168" t="str">
        <f>+VLOOKUP(D168,'Plan mapping'!A:C,3,0)</f>
        <v>LIC157</v>
      </c>
      <c r="D168" s="142">
        <v>130350</v>
      </c>
      <c r="E168" t="s">
        <v>1561</v>
      </c>
      <c r="F168">
        <v>12.7423</v>
      </c>
      <c r="G168">
        <v>0</v>
      </c>
      <c r="H168">
        <v>0</v>
      </c>
      <c r="I168" s="120">
        <v>42933</v>
      </c>
    </row>
    <row r="169" spans="1:9" hidden="1">
      <c r="A169" t="str">
        <f t="shared" si="2"/>
        <v>LIC1570</v>
      </c>
      <c r="B169">
        <f>+VLOOKUP(D169,'Plan mapping'!A:B,2,0)</f>
        <v>0</v>
      </c>
      <c r="C169" t="str">
        <f>+VLOOKUP(D169,'Plan mapping'!A:C,3,0)</f>
        <v>LIC157</v>
      </c>
      <c r="D169" s="142">
        <v>130352</v>
      </c>
      <c r="E169" t="s">
        <v>1562</v>
      </c>
      <c r="F169">
        <v>10</v>
      </c>
      <c r="G169">
        <v>0</v>
      </c>
      <c r="H169">
        <v>0</v>
      </c>
      <c r="I169" s="120">
        <v>42933</v>
      </c>
    </row>
    <row r="170" spans="1:9" hidden="1">
      <c r="A170" t="str">
        <f t="shared" si="2"/>
        <v>LIC1570</v>
      </c>
      <c r="B170">
        <f>+VLOOKUP(D170,'Plan mapping'!A:B,2,0)</f>
        <v>0</v>
      </c>
      <c r="C170" t="str">
        <f>+VLOOKUP(D170,'Plan mapping'!A:C,3,0)</f>
        <v>LIC157</v>
      </c>
      <c r="D170" s="142">
        <v>130351</v>
      </c>
      <c r="E170" t="s">
        <v>1563</v>
      </c>
      <c r="F170">
        <v>12.715199999999999</v>
      </c>
      <c r="G170">
        <v>0</v>
      </c>
      <c r="H170">
        <v>0</v>
      </c>
      <c r="I170" s="120">
        <v>42933</v>
      </c>
    </row>
    <row r="171" spans="1:9" hidden="1">
      <c r="A171" t="str">
        <f t="shared" si="2"/>
        <v>LIC1630</v>
      </c>
      <c r="B171">
        <f>+VLOOKUP(D171,'Plan mapping'!A:B,2,0)</f>
        <v>0</v>
      </c>
      <c r="C171" s="208" t="str">
        <f>+VLOOKUP(D171,'Plan mapping'!A:C,3,0)</f>
        <v>LIC163</v>
      </c>
      <c r="D171" s="142">
        <v>131542</v>
      </c>
      <c r="E171" t="s">
        <v>1564</v>
      </c>
      <c r="F171">
        <v>12.8658</v>
      </c>
      <c r="G171">
        <v>0</v>
      </c>
      <c r="H171">
        <v>0</v>
      </c>
      <c r="I171" s="120">
        <v>43031</v>
      </c>
    </row>
    <row r="172" spans="1:9" hidden="1">
      <c r="A172" t="str">
        <f t="shared" si="2"/>
        <v>LIC1630</v>
      </c>
      <c r="B172">
        <f>+VLOOKUP(D172,'Plan mapping'!A:B,2,0)</f>
        <v>0</v>
      </c>
      <c r="C172" s="208" t="str">
        <f>+VLOOKUP(D172,'Plan mapping'!A:C,3,0)</f>
        <v>LIC163</v>
      </c>
      <c r="D172" s="142">
        <v>131543</v>
      </c>
      <c r="E172" t="s">
        <v>1565</v>
      </c>
      <c r="F172">
        <v>10</v>
      </c>
      <c r="G172">
        <v>0</v>
      </c>
      <c r="H172">
        <v>0</v>
      </c>
      <c r="I172" s="120">
        <v>43031</v>
      </c>
    </row>
    <row r="173" spans="1:9" hidden="1">
      <c r="A173" t="str">
        <f t="shared" si="2"/>
        <v>LIC1630</v>
      </c>
      <c r="B173">
        <f>+VLOOKUP(D173,'Plan mapping'!A:B,2,0)</f>
        <v>0</v>
      </c>
      <c r="C173" s="208" t="str">
        <f>+VLOOKUP(D173,'Plan mapping'!A:C,3,0)</f>
        <v>LIC163</v>
      </c>
      <c r="D173" s="142">
        <v>131544</v>
      </c>
      <c r="E173" t="s">
        <v>1566</v>
      </c>
      <c r="F173">
        <v>12.6945</v>
      </c>
      <c r="G173">
        <v>0</v>
      </c>
      <c r="H173">
        <v>0</v>
      </c>
      <c r="I173" s="120">
        <v>43031</v>
      </c>
    </row>
    <row r="174" spans="1:9" hidden="1">
      <c r="A174" t="str">
        <f t="shared" si="2"/>
        <v>LIC1640</v>
      </c>
      <c r="B174">
        <f>+VLOOKUP(D174,'Plan mapping'!A:B,2,0)</f>
        <v>0</v>
      </c>
      <c r="C174" s="208" t="str">
        <f>+VLOOKUP(D174,'Plan mapping'!A:C,3,0)</f>
        <v>LIC164</v>
      </c>
      <c r="D174" s="142">
        <v>132911</v>
      </c>
      <c r="E174" t="s">
        <v>1567</v>
      </c>
      <c r="F174">
        <v>10</v>
      </c>
      <c r="G174">
        <v>0</v>
      </c>
      <c r="H174">
        <v>0</v>
      </c>
      <c r="I174" s="120">
        <v>43055</v>
      </c>
    </row>
    <row r="175" spans="1:9" hidden="1">
      <c r="A175" t="str">
        <f t="shared" si="2"/>
        <v>LIC1640</v>
      </c>
      <c r="B175">
        <f>+VLOOKUP(D175,'Plan mapping'!A:B,2,0)</f>
        <v>0</v>
      </c>
      <c r="C175" s="208" t="str">
        <f>+VLOOKUP(D175,'Plan mapping'!A:C,3,0)</f>
        <v>LIC164</v>
      </c>
      <c r="D175" s="142">
        <v>132909</v>
      </c>
      <c r="E175" t="s">
        <v>1568</v>
      </c>
      <c r="F175">
        <v>12.7447</v>
      </c>
      <c r="G175">
        <v>0</v>
      </c>
      <c r="H175">
        <v>0</v>
      </c>
      <c r="I175" s="120">
        <v>43055</v>
      </c>
    </row>
    <row r="176" spans="1:9" hidden="1">
      <c r="A176" t="str">
        <f t="shared" si="2"/>
        <v>LIC1640</v>
      </c>
      <c r="B176">
        <f>+VLOOKUP(D176,'Plan mapping'!A:B,2,0)</f>
        <v>0</v>
      </c>
      <c r="C176" s="208" t="str">
        <f>+VLOOKUP(D176,'Plan mapping'!A:C,3,0)</f>
        <v>LIC164</v>
      </c>
      <c r="D176" s="142">
        <v>132910</v>
      </c>
      <c r="E176" t="s">
        <v>1569</v>
      </c>
      <c r="F176">
        <v>10</v>
      </c>
      <c r="G176">
        <v>0</v>
      </c>
      <c r="H176">
        <v>0</v>
      </c>
      <c r="I176" s="120">
        <v>43055</v>
      </c>
    </row>
    <row r="177" spans="1:9" hidden="1">
      <c r="A177" t="str">
        <f t="shared" si="2"/>
        <v>LIC1670</v>
      </c>
      <c r="B177">
        <f>+VLOOKUP(D177,'Plan mapping'!A:B,2,0)</f>
        <v>0</v>
      </c>
      <c r="C177" s="208" t="str">
        <f>+VLOOKUP(D177,'Plan mapping'!A:C,3,0)</f>
        <v>LIC167</v>
      </c>
      <c r="D177" s="142">
        <v>132912</v>
      </c>
      <c r="E177" t="s">
        <v>1570</v>
      </c>
      <c r="F177">
        <v>12.5909</v>
      </c>
      <c r="G177">
        <v>0</v>
      </c>
      <c r="H177">
        <v>0</v>
      </c>
      <c r="I177" s="120">
        <v>43055</v>
      </c>
    </row>
    <row r="178" spans="1:9" hidden="1">
      <c r="A178" t="str">
        <f t="shared" si="2"/>
        <v>LIC1670</v>
      </c>
      <c r="B178">
        <f>+VLOOKUP(D178,'Plan mapping'!A:B,2,0)</f>
        <v>0</v>
      </c>
      <c r="C178" s="208" t="str">
        <f>+VLOOKUP(D178,'Plan mapping'!A:C,3,0)</f>
        <v>LIC167</v>
      </c>
      <c r="D178" s="142">
        <v>133225</v>
      </c>
      <c r="E178" t="s">
        <v>1571</v>
      </c>
      <c r="F178">
        <v>12.819900000000001</v>
      </c>
      <c r="G178">
        <v>0</v>
      </c>
      <c r="H178">
        <v>0</v>
      </c>
      <c r="I178" s="120">
        <v>43082</v>
      </c>
    </row>
    <row r="179" spans="1:9" hidden="1">
      <c r="A179" t="str">
        <f t="shared" si="2"/>
        <v>LIC1670</v>
      </c>
      <c r="B179">
        <f>+VLOOKUP(D179,'Plan mapping'!A:B,2,0)</f>
        <v>0</v>
      </c>
      <c r="C179" s="208" t="str">
        <f>+VLOOKUP(D179,'Plan mapping'!A:C,3,0)</f>
        <v>LIC167</v>
      </c>
      <c r="D179" s="142">
        <v>133226</v>
      </c>
      <c r="E179" t="s">
        <v>1572</v>
      </c>
      <c r="F179">
        <v>10</v>
      </c>
      <c r="G179">
        <v>0</v>
      </c>
      <c r="H179">
        <v>0</v>
      </c>
      <c r="I179" s="120">
        <v>43082</v>
      </c>
    </row>
    <row r="180" spans="1:9" hidden="1">
      <c r="A180" t="str">
        <f t="shared" si="2"/>
        <v>LIC1670</v>
      </c>
      <c r="B180">
        <f>+VLOOKUP(D180,'Plan mapping'!A:B,2,0)</f>
        <v>0</v>
      </c>
      <c r="C180" s="208" t="str">
        <f>+VLOOKUP(D180,'Plan mapping'!A:C,3,0)</f>
        <v>LIC167</v>
      </c>
      <c r="D180" s="142">
        <v>133227</v>
      </c>
      <c r="E180" t="s">
        <v>1573</v>
      </c>
      <c r="F180">
        <v>12.586</v>
      </c>
      <c r="G180">
        <v>0</v>
      </c>
      <c r="H180">
        <v>0</v>
      </c>
      <c r="I180" s="120">
        <v>43082</v>
      </c>
    </row>
  </sheetData>
  <autoFilter ref="A1:I180" xr:uid="{00000000-0009-0000-0000-000001000000}">
    <filterColumn colId="8">
      <filters>
        <dateGroupItem year="2018" month="3" dateTimeGrouping="month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BB168"/>
  <sheetViews>
    <sheetView tabSelected="1" topLeftCell="C1" zoomScaleNormal="100" zoomScaleSheetLayoutView="115" workbookViewId="0">
      <pane xSplit="2" ySplit="5" topLeftCell="E6" activePane="bottomRight" state="frozen"/>
      <selection activeCell="AT83" sqref="AT83"/>
      <selection pane="topRight" activeCell="AT83" sqref="AT83"/>
      <selection pane="bottomLeft" activeCell="AT83" sqref="AT83"/>
      <selection pane="bottomRight" activeCell="C1" sqref="C1"/>
    </sheetView>
  </sheetViews>
  <sheetFormatPr defaultColWidth="0" defaultRowHeight="12.6" customHeight="1" zeroHeight="1"/>
  <cols>
    <col min="1" max="2" width="0" style="1" hidden="1" customWidth="1"/>
    <col min="3" max="3" width="5.28515625" style="7" customWidth="1"/>
    <col min="4" max="4" width="67.28515625" style="7" customWidth="1"/>
    <col min="5" max="23" width="20.42578125" style="7" customWidth="1"/>
    <col min="24" max="26" width="20.42578125" style="7" hidden="1" customWidth="1"/>
    <col min="27" max="27" width="20.42578125" style="7" customWidth="1"/>
    <col min="28" max="35" width="20.42578125" style="7" hidden="1" customWidth="1"/>
    <col min="36" max="50" width="20.42578125" style="7" customWidth="1"/>
    <col min="51" max="51" width="9.140625" style="7" hidden="1" customWidth="1"/>
    <col min="52" max="52" width="16.42578125" style="7" hidden="1" customWidth="1"/>
    <col min="53" max="53" width="17.5703125" style="7" hidden="1" customWidth="1"/>
    <col min="54" max="54" width="18.28515625" style="7" hidden="1" customWidth="1"/>
    <col min="55" max="16384" width="9.140625" style="7" hidden="1"/>
  </cols>
  <sheetData>
    <row r="1" spans="1:54" ht="12.75" customHeight="1">
      <c r="C1" s="2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2"/>
      <c r="Q1" s="2"/>
      <c r="R1" s="6"/>
      <c r="S1" s="2"/>
      <c r="T1" s="2"/>
      <c r="U1" s="2"/>
      <c r="V1" s="2"/>
      <c r="W1" s="2"/>
      <c r="AB1" s="2"/>
      <c r="AC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4" ht="12.75" customHeight="1">
      <c r="C2" s="2"/>
      <c r="D2" s="3" t="s">
        <v>288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2"/>
      <c r="T2" s="2"/>
      <c r="U2" s="2"/>
      <c r="V2" s="2"/>
      <c r="W2" s="2"/>
      <c r="AA2" s="2"/>
      <c r="AB2" s="2"/>
      <c r="AC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4" ht="12.75" customHeight="1">
      <c r="C3" s="2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4" s="1" customFormat="1" ht="12.75" customHeight="1" thickBot="1">
      <c r="C4" s="76"/>
      <c r="D4" s="31" t="s">
        <v>2</v>
      </c>
      <c r="E4" s="31" t="s">
        <v>3</v>
      </c>
      <c r="F4" s="31" t="s">
        <v>4</v>
      </c>
      <c r="G4" s="31" t="s">
        <v>5</v>
      </c>
      <c r="H4" s="31" t="s">
        <v>6</v>
      </c>
      <c r="I4" s="31" t="s">
        <v>7</v>
      </c>
      <c r="J4" s="31" t="s">
        <v>8</v>
      </c>
      <c r="K4" s="31" t="s">
        <v>9</v>
      </c>
      <c r="L4" s="31" t="s">
        <v>10</v>
      </c>
      <c r="M4" s="31" t="s">
        <v>11</v>
      </c>
      <c r="N4" s="31" t="s">
        <v>12</v>
      </c>
      <c r="O4" s="31" t="s">
        <v>13</v>
      </c>
      <c r="P4" s="31" t="s">
        <v>14</v>
      </c>
      <c r="Q4" s="31" t="s">
        <v>15</v>
      </c>
      <c r="R4" s="31" t="s">
        <v>16</v>
      </c>
      <c r="S4" s="31" t="s">
        <v>17</v>
      </c>
      <c r="T4" s="31" t="s">
        <v>18</v>
      </c>
      <c r="U4" s="31" t="s">
        <v>19</v>
      </c>
      <c r="V4" s="31" t="s">
        <v>20</v>
      </c>
      <c r="W4" s="31" t="s">
        <v>21</v>
      </c>
      <c r="X4" s="31" t="s">
        <v>22</v>
      </c>
      <c r="Y4" s="31" t="s">
        <v>23</v>
      </c>
      <c r="Z4" s="31" t="s">
        <v>24</v>
      </c>
      <c r="AA4" s="31" t="s">
        <v>25</v>
      </c>
      <c r="AB4" s="31" t="s">
        <v>26</v>
      </c>
      <c r="AC4" s="31" t="s">
        <v>27</v>
      </c>
      <c r="AD4" s="31" t="s">
        <v>28</v>
      </c>
      <c r="AE4" s="31" t="s">
        <v>29</v>
      </c>
      <c r="AF4" s="31" t="s">
        <v>30</v>
      </c>
      <c r="AG4" s="31" t="s">
        <v>31</v>
      </c>
      <c r="AH4" s="31" t="s">
        <v>32</v>
      </c>
      <c r="AI4" s="31" t="s">
        <v>33</v>
      </c>
      <c r="AJ4" s="31" t="s">
        <v>34</v>
      </c>
      <c r="AK4" s="31" t="s">
        <v>35</v>
      </c>
      <c r="AL4" s="31" t="s">
        <v>36</v>
      </c>
      <c r="AM4" s="31" t="s">
        <v>37</v>
      </c>
      <c r="AN4" s="31" t="s">
        <v>38</v>
      </c>
      <c r="AO4" s="31" t="s">
        <v>39</v>
      </c>
      <c r="AP4" s="31" t="s">
        <v>40</v>
      </c>
      <c r="AQ4" s="31" t="s">
        <v>41</v>
      </c>
      <c r="AR4" s="31" t="s">
        <v>42</v>
      </c>
      <c r="AS4" s="31" t="s">
        <v>43</v>
      </c>
      <c r="AT4" s="31" t="s">
        <v>44</v>
      </c>
      <c r="AU4" s="31" t="s">
        <v>45</v>
      </c>
      <c r="AV4" s="31" t="s">
        <v>46</v>
      </c>
      <c r="AW4" s="31" t="s">
        <v>47</v>
      </c>
      <c r="AX4" s="31" t="s">
        <v>48</v>
      </c>
    </row>
    <row r="5" spans="1:54" ht="54" customHeight="1">
      <c r="C5" s="226" t="s">
        <v>49</v>
      </c>
      <c r="D5" s="225" t="s">
        <v>50</v>
      </c>
      <c r="E5" s="165" t="s">
        <v>1879</v>
      </c>
      <c r="F5" s="165" t="s">
        <v>52</v>
      </c>
      <c r="G5" s="165" t="s">
        <v>53</v>
      </c>
      <c r="H5" s="165" t="s">
        <v>54</v>
      </c>
      <c r="I5" s="165" t="s">
        <v>55</v>
      </c>
      <c r="J5" s="165" t="s">
        <v>56</v>
      </c>
      <c r="K5" s="165" t="s">
        <v>57</v>
      </c>
      <c r="L5" s="165" t="s">
        <v>1845</v>
      </c>
      <c r="M5" s="165" t="s">
        <v>1843</v>
      </c>
      <c r="N5" s="165" t="s">
        <v>60</v>
      </c>
      <c r="O5" s="165" t="s">
        <v>61</v>
      </c>
      <c r="P5" s="165" t="s">
        <v>62</v>
      </c>
      <c r="Q5" s="165" t="s">
        <v>63</v>
      </c>
      <c r="R5" s="165" t="s">
        <v>642</v>
      </c>
      <c r="S5" s="165" t="s">
        <v>765</v>
      </c>
      <c r="T5" s="165" t="s">
        <v>1846</v>
      </c>
      <c r="U5" s="165" t="s">
        <v>1847</v>
      </c>
      <c r="V5" s="165" t="s">
        <v>1848</v>
      </c>
      <c r="W5" s="165" t="s">
        <v>1849</v>
      </c>
      <c r="X5" s="166" t="s">
        <v>70</v>
      </c>
      <c r="Y5" s="166" t="s">
        <v>71</v>
      </c>
      <c r="Z5" s="166" t="s">
        <v>72</v>
      </c>
      <c r="AA5" s="166" t="s">
        <v>1850</v>
      </c>
      <c r="AB5" s="166" t="s">
        <v>74</v>
      </c>
      <c r="AC5" s="166" t="s">
        <v>75</v>
      </c>
      <c r="AD5" s="166" t="s">
        <v>76</v>
      </c>
      <c r="AE5" s="166" t="s">
        <v>77</v>
      </c>
      <c r="AF5" s="166" t="s">
        <v>78</v>
      </c>
      <c r="AG5" s="166" t="s">
        <v>79</v>
      </c>
      <c r="AH5" s="166" t="s">
        <v>80</v>
      </c>
      <c r="AI5" s="166" t="s">
        <v>81</v>
      </c>
      <c r="AJ5" s="166" t="s">
        <v>1851</v>
      </c>
      <c r="AK5" s="166" t="s">
        <v>1852</v>
      </c>
      <c r="AL5" s="166" t="s">
        <v>1853</v>
      </c>
      <c r="AM5" s="166" t="s">
        <v>1854</v>
      </c>
      <c r="AN5" s="166" t="s">
        <v>1855</v>
      </c>
      <c r="AO5" s="166" t="s">
        <v>413</v>
      </c>
      <c r="AP5" s="166" t="s">
        <v>1856</v>
      </c>
      <c r="AQ5" s="166" t="s">
        <v>774</v>
      </c>
      <c r="AR5" s="166" t="s">
        <v>1857</v>
      </c>
      <c r="AS5" s="166" t="s">
        <v>1858</v>
      </c>
      <c r="AT5" s="166" t="s">
        <v>1859</v>
      </c>
      <c r="AU5" s="166" t="s">
        <v>1860</v>
      </c>
      <c r="AV5" s="166" t="s">
        <v>94</v>
      </c>
      <c r="AW5" s="166" t="s">
        <v>95</v>
      </c>
      <c r="AX5" s="167" t="s">
        <v>1861</v>
      </c>
    </row>
    <row r="6" spans="1:54" s="2" customFormat="1" ht="12.75">
      <c r="A6" s="76"/>
      <c r="B6" s="76"/>
      <c r="C6" s="3">
        <v>1.1000000000000001</v>
      </c>
      <c r="D6" s="2" t="s">
        <v>97</v>
      </c>
      <c r="E6" s="290">
        <f>+HLOOKUP(E$4,'Sep 2017 HY'!$3:$6,4,0)</f>
        <v>143.39929543599999</v>
      </c>
      <c r="F6" s="338">
        <f>+HLOOKUP(F$4,'Sep 2017 HY'!$3:$6,4,0)</f>
        <v>86.912815453999997</v>
      </c>
      <c r="G6" s="338">
        <f>+HLOOKUP(G$4,'Sep 2017 HY'!$3:$6,4,0)</f>
        <v>91.191090527</v>
      </c>
      <c r="H6" s="338">
        <f>+HLOOKUP(H$4,'Sep 2017 HY'!$3:$6,4,0)</f>
        <v>89.205725510000008</v>
      </c>
      <c r="I6" s="338">
        <f>+HLOOKUP(I$4,'Sep 2017 HY'!$3:$6,4,0)</f>
        <v>29.356513929000002</v>
      </c>
      <c r="J6" s="338">
        <f>+HLOOKUP(J$4,'Sep 2017 HY'!$3:$6,4,0)</f>
        <v>32.894601545000008</v>
      </c>
      <c r="K6" s="338">
        <f>+HLOOKUP(K$4,'Sep 2017 HY'!$3:$6,4,0)</f>
        <v>125.872961993</v>
      </c>
      <c r="L6" s="338">
        <f>+HLOOKUP(L$4,'Sep 2017 HY'!$3:$6,4,0)</f>
        <v>26.403872796000002</v>
      </c>
      <c r="M6" s="338">
        <f>+HLOOKUP(M$4,'Sep 2017 HY'!$3:$6,4,0)</f>
        <v>11.256138394000001</v>
      </c>
      <c r="N6" s="338">
        <f>+HLOOKUP(N$4,'Sep 2017 HY'!$3:$6,4,0)</f>
        <v>4306.0745478600002</v>
      </c>
      <c r="O6" s="338">
        <f>+HLOOKUP(O$4,'Sep 2017 HY'!$3:$6,4,0)</f>
        <v>3.3724659250000002</v>
      </c>
      <c r="P6" s="338">
        <f>+HLOOKUP(P$4,'Sep 2017 HY'!$3:$6,4,0)</f>
        <v>4.6152179460000013</v>
      </c>
      <c r="Q6" s="338">
        <f>+HLOOKUP(Q$4,'Sep 2017 HY'!$3:$6,4,0)</f>
        <v>1375.898158152</v>
      </c>
      <c r="R6" s="338">
        <f>+HLOOKUP(R$4,'Sep 2017 HY'!$3:$6,4,0)</f>
        <v>129.933133849</v>
      </c>
      <c r="S6" s="338">
        <f>+HLOOKUP(S$4,'Sep 2017 HY'!$3:$6,4,0)</f>
        <v>45.646514306</v>
      </c>
      <c r="T6" s="338">
        <f>+HLOOKUP(T$4,'Sep 2017 HY'!$3:$6,4,0)</f>
        <v>2.6884355750000002</v>
      </c>
      <c r="U6" s="338">
        <f>+HLOOKUP(U$4,'Sep 2017 HY'!$3:$6,4,0)</f>
        <v>9.7387900700000003</v>
      </c>
      <c r="V6" s="338">
        <f>+HLOOKUP(V$4,'Sep 2017 HY'!$3:$6,4,0)</f>
        <v>4.3260447189999995</v>
      </c>
      <c r="W6" s="338">
        <f>+HLOOKUP(W$4,'Sep 2017 HY'!$3:$6,4,0)</f>
        <v>4.7613210230000007</v>
      </c>
      <c r="X6" s="338">
        <f>+HLOOKUP(X$4,'Sep 2017 HY'!$3:$6,4,0)</f>
        <v>0</v>
      </c>
      <c r="Y6" s="338">
        <f>+HLOOKUP(Y$4,'Sep 2017 HY'!$3:$6,4,0)</f>
        <v>0</v>
      </c>
      <c r="Z6" s="338">
        <f>+HLOOKUP(Z$4,'Sep 2017 HY'!$3:$6,4,0)</f>
        <v>0</v>
      </c>
      <c r="AA6" s="338">
        <f>+HLOOKUP(AA$4,'Sep 2017 HY'!$3:$6,4,0)</f>
        <v>15.242214612</v>
      </c>
      <c r="AB6" s="338">
        <f>+HLOOKUP(AB$4,'Sep 2017 HY'!$3:$6,4,0)</f>
        <v>0</v>
      </c>
      <c r="AC6" s="338">
        <f>+HLOOKUP(AC$4,'Sep 2017 HY'!$3:$6,4,0)</f>
        <v>0</v>
      </c>
      <c r="AD6" s="338">
        <f>+HLOOKUP(AD$4,'Sep 2017 HY'!$3:$6,4,0)</f>
        <v>0</v>
      </c>
      <c r="AE6" s="338">
        <f>+HLOOKUP(AE$4,'Sep 2017 HY'!$3:$6,4,0)</f>
        <v>0</v>
      </c>
      <c r="AF6" s="338">
        <f>+HLOOKUP(AF$4,'Sep 2017 HY'!$3:$6,4,0)</f>
        <v>0</v>
      </c>
      <c r="AG6" s="338">
        <f>+HLOOKUP(AG$4,'Sep 2017 HY'!$3:$6,4,0)</f>
        <v>0</v>
      </c>
      <c r="AH6" s="338">
        <f>+HLOOKUP(AH$4,'Sep 2017 HY'!$3:$6,4,0)</f>
        <v>0</v>
      </c>
      <c r="AI6" s="338">
        <f>+HLOOKUP(AI$4,'Sep 2017 HY'!$3:$6,4,0)</f>
        <v>0</v>
      </c>
      <c r="AJ6" s="338">
        <f>+HLOOKUP(AJ$4,'Sep 2017 HY'!$3:$6,4,0)</f>
        <v>32.622941589999996</v>
      </c>
      <c r="AK6" s="338">
        <f>+HLOOKUP(AK$4,'Sep 2017 HY'!$3:$6,4,0)</f>
        <v>70.310624149999995</v>
      </c>
      <c r="AL6" s="338">
        <f>+HLOOKUP(AL$4,'Sep 2017 HY'!$3:$6,4,0)</f>
        <v>65.295625376999993</v>
      </c>
      <c r="AM6" s="338">
        <f>+HLOOKUP(AM$4,'Sep 2017 HY'!$3:$6,4,0)</f>
        <v>34.882082630999996</v>
      </c>
      <c r="AN6" s="338">
        <f>+HLOOKUP(AN$4,'Sep 2017 HY'!$3:$6,4,0)</f>
        <v>21.548839763</v>
      </c>
      <c r="AO6" s="338">
        <f>+HLOOKUP(AO$4,'Sep 2017 HY'!$3:$6,4,0)</f>
        <v>46.125512999999998</v>
      </c>
      <c r="AP6" s="338">
        <f>+HLOOKUP(AP$4,'Sep 2017 HY'!$3:$6,4,0)</f>
        <v>33.619054990000002</v>
      </c>
      <c r="AQ6" s="338">
        <f>+HLOOKUP(AQ$4,'Sep 2017 HY'!$3:$6,4,0)</f>
        <v>147.26367874499999</v>
      </c>
      <c r="AR6" s="338">
        <f>+HLOOKUP(AR$4,'Sep 2017 HY'!$3:$6,4,0)</f>
        <v>62.774556182999994</v>
      </c>
      <c r="AS6" s="338">
        <f>+HLOOKUP(AS$4,'Sep 2017 HY'!$3:$6,4,0)</f>
        <v>43.814490449000004</v>
      </c>
      <c r="AT6" s="338">
        <f>+HLOOKUP(AT$4,'Sep 2017 HY'!$3:$6,4,0)</f>
        <v>27.523093308</v>
      </c>
      <c r="AU6" s="338">
        <f>+HLOOKUP(AU$4,'Sep 2017 HY'!$3:$6,4,0)</f>
        <v>20.543167839000002</v>
      </c>
      <c r="AV6" s="338">
        <f>+HLOOKUP(AV$4,'Sep 2017 HY'!$3:$6,4,0)</f>
        <v>42.585670999999998</v>
      </c>
      <c r="AW6" s="338">
        <f>+HLOOKUP(AW$4,'Sep 2017 HY'!$3:$6,4,0)</f>
        <v>9.6365130000000008</v>
      </c>
      <c r="AX6" s="338">
        <f>+HLOOKUP(AX$4,'Sep 2017 HY'!$3:$6,4,0)</f>
        <v>26.644241999999998</v>
      </c>
    </row>
    <row r="7" spans="1:54" s="21" customFormat="1" ht="12.75">
      <c r="A7" s="20"/>
      <c r="B7" s="20"/>
      <c r="C7" s="168">
        <v>1.2</v>
      </c>
      <c r="D7" s="171" t="s">
        <v>98</v>
      </c>
      <c r="E7" s="290">
        <f>-SUMIF('TB Mar18'!$A:$A,E$4&amp;"Unit Capital",'TB Mar18'!$AB:$AB)</f>
        <v>145.16074319000001</v>
      </c>
      <c r="F7" s="290">
        <f>-SUMIF('TB Mar18'!$A:$A,F$4&amp;"Unit Capital",'TB Mar18'!$AB:$AB)</f>
        <v>131.59567981400002</v>
      </c>
      <c r="G7" s="290">
        <f>-SUMIF('TB Mar18'!$A:$A,G$4&amp;"Unit Capital",'TB Mar18'!$AB:$AB)</f>
        <v>90.339478522999997</v>
      </c>
      <c r="H7" s="290">
        <f>-SUMIF('TB Mar18'!$A:$A,H$4&amp;"Unit Capital",'TB Mar18'!$AB:$AB)</f>
        <v>100.974623811</v>
      </c>
      <c r="I7" s="290">
        <f>-SUMIF('TB Mar18'!$A:$A,I$4&amp;"Unit Capital",'TB Mar18'!$AB:$AB)</f>
        <v>35.474167332999997</v>
      </c>
      <c r="J7" s="290">
        <f>-SUMIF('TB Mar18'!$A:$A,J$4&amp;"Unit Capital",'TB Mar18'!$AB:$AB)</f>
        <v>28.620189493999998</v>
      </c>
      <c r="K7" s="290">
        <f>-SUMIF('TB Mar18'!$A:$A,K$4&amp;"Unit Capital",'TB Mar18'!$AB:$AB)</f>
        <v>76.884566824999993</v>
      </c>
      <c r="L7" s="290">
        <f>-SUMIF('TB Mar18'!$A:$A,L$4&amp;"Unit Capital",'TB Mar18'!$AB:$AB)</f>
        <v>23.032377085</v>
      </c>
      <c r="M7" s="290">
        <f>-SUMIF('TB Mar18'!$A:$A,M$4&amp;"Unit Capital",'TB Mar18'!$AB:$AB)</f>
        <v>10.255393595999999</v>
      </c>
      <c r="N7" s="290">
        <f>-SUMIF('TB Mar18'!$A:$A,N$4&amp;"Unit Capital",'TB Mar18'!$AB:$AB)</f>
        <v>3226.8379374709998</v>
      </c>
      <c r="O7" s="290">
        <f>-SUMIF('TB Mar18'!$A:$A,O$4&amp;"Unit Capital",'TB Mar18'!$AB:$AB)</f>
        <v>3.0548468340000001</v>
      </c>
      <c r="P7" s="290">
        <f>-SUMIF('TB Mar18'!$A:$A,P$4&amp;"Unit Capital",'TB Mar18'!$AB:$AB)</f>
        <v>4.3240400979999993</v>
      </c>
      <c r="Q7" s="290">
        <f>-SUMIF('TB Mar18'!$A:$A,Q$4&amp;"Unit Capital",'TB Mar18'!$AB:$AB)</f>
        <v>877.3563755209999</v>
      </c>
      <c r="R7" s="290">
        <f>-SUMIF('TB Mar18'!$A:$A,R$4&amp;"Unit Capital",'TB Mar18'!$AB:$AB)</f>
        <v>107.489288098</v>
      </c>
      <c r="S7" s="290">
        <f>-SUMIF('TB Mar18'!$A:$A,S$4&amp;"Unit Capital",'TB Mar18'!$AB:$AB)</f>
        <v>47.626768845000001</v>
      </c>
      <c r="T7" s="290">
        <f>-SUMIF('TB Mar18'!$A:$A,T$4&amp;"Unit Capital",'TB Mar18'!$AB:$AB)</f>
        <v>0</v>
      </c>
      <c r="U7" s="290">
        <f>-SUMIF('TB Mar18'!$A:$A,U$4&amp;"Unit Capital",'TB Mar18'!$AB:$AB)</f>
        <v>0</v>
      </c>
      <c r="V7" s="290">
        <f>-SUMIF('TB Mar18'!$A:$A,V$4&amp;"Unit Capital",'TB Mar18'!$AB:$AB)</f>
        <v>0</v>
      </c>
      <c r="W7" s="290">
        <f>-SUMIF('TB Mar18'!$A:$A,W$4&amp;"Unit Capital",'TB Mar18'!$AB:$AB)</f>
        <v>0</v>
      </c>
      <c r="X7" s="290">
        <f>+SUMIF('TB Mar18'!$A:$A,X$4&amp;"Unit Capital",'TB Mar18'!$AB:$AB)</f>
        <v>0</v>
      </c>
      <c r="Y7" s="290">
        <f>+SUMIF('TB Mar18'!$A:$A,Y$4&amp;"Unit Capital",'TB Mar18'!$AB:$AB)</f>
        <v>0</v>
      </c>
      <c r="Z7" s="290">
        <f>+SUMIF('TB Mar18'!$A:$A,Z$4&amp;"Unit Capital",'TB Mar18'!$AB:$AB)</f>
        <v>0</v>
      </c>
      <c r="AA7" s="290">
        <f>-SUMIF('TB Mar18'!$A:$A,AA$4&amp;"Unit Capital",'TB Mar18'!$AB:$AB)</f>
        <v>15.242214612</v>
      </c>
      <c r="AB7" s="290">
        <f>+SUMIF('TB Mar18'!$A:$A,AB$4&amp;"Unit Capital",'TB Mar18'!$AB:$AB)</f>
        <v>0</v>
      </c>
      <c r="AC7" s="290">
        <f>+SUMIF('TB Mar18'!$A:$A,AC$4&amp;"Unit Capital",'TB Mar18'!$AB:$AB)</f>
        <v>0</v>
      </c>
      <c r="AD7" s="290">
        <f>+SUMIF('TB Mar18'!$A:$A,AD$4&amp;"Unit Capital",'TB Mar18'!$AB:$AB)</f>
        <v>0</v>
      </c>
      <c r="AE7" s="290">
        <f>+SUMIF('TB Mar18'!$A:$A,AE$4&amp;"Unit Capital",'TB Mar18'!$AB:$AB)</f>
        <v>0</v>
      </c>
      <c r="AF7" s="290">
        <f>+SUMIF('TB Mar18'!$A:$A,AF$4&amp;"Unit Capital",'TB Mar18'!$AB:$AB)</f>
        <v>0</v>
      </c>
      <c r="AG7" s="290">
        <f>+SUMIF('TB Mar18'!$A:$A,AG$4&amp;"Unit Capital",'TB Mar18'!$AB:$AB)</f>
        <v>0</v>
      </c>
      <c r="AH7" s="290">
        <f>+SUMIF('TB Mar18'!$A:$A,AH$4&amp;"Unit Capital",'TB Mar18'!$AB:$AB)</f>
        <v>0</v>
      </c>
      <c r="AI7" s="290">
        <f>+SUMIF('TB Mar18'!$A:$A,AI$4&amp;"Unit Capital",'TB Mar18'!$AB:$AB)</f>
        <v>0</v>
      </c>
      <c r="AJ7" s="290">
        <f>-SUMIF('TB Mar18'!$A:$A,AJ$4&amp;"Unit Capital",'TB Mar18'!$AB:$AB)</f>
        <v>0</v>
      </c>
      <c r="AK7" s="290">
        <f>-SUMIF('TB Mar18'!$A:$A,AK$4&amp;"Unit Capital",'TB Mar18'!$AB:$AB)</f>
        <v>0</v>
      </c>
      <c r="AL7" s="290">
        <f>-SUMIF('TB Mar18'!$A:$A,AL$4&amp;"Unit Capital",'TB Mar18'!$AB:$AB)</f>
        <v>0</v>
      </c>
      <c r="AM7" s="290">
        <f>-SUMIF('TB Mar18'!$A:$A,AM$4&amp;"Unit Capital",'TB Mar18'!$AB:$AB)</f>
        <v>0</v>
      </c>
      <c r="AN7" s="290">
        <f>-SUMIF('TB Mar18'!$A:$A,AN$4&amp;"Unit Capital",'TB Mar18'!$AB:$AB)</f>
        <v>0</v>
      </c>
      <c r="AO7" s="290">
        <f>-SUMIF('TB Mar18'!$A:$A,AO$4&amp;"Unit Capital",'TB Mar18'!$AB:$AB)</f>
        <v>42.225512999999999</v>
      </c>
      <c r="AP7" s="290">
        <f>-SUMIF('TB Mar18'!$A:$A,AP$4&amp;"Unit Capital",'TB Mar18'!$AB:$AB)</f>
        <v>0</v>
      </c>
      <c r="AQ7" s="290">
        <f>-SUMIF('TB Mar18'!$A:$A,AQ$4&amp;"Unit Capital",'TB Mar18'!$AB:$AB)</f>
        <v>198.38540896800001</v>
      </c>
      <c r="AR7" s="290">
        <f>-SUMIF('TB Mar18'!$A:$A,AR$4&amp;"Unit Capital",'TB Mar18'!$AB:$AB)</f>
        <v>61.971325200000003</v>
      </c>
      <c r="AS7" s="290">
        <f>-SUMIF('TB Mar18'!$A:$A,AS$4&amp;"Unit Capital",'TB Mar18'!$AB:$AB)</f>
        <v>43.814490449000004</v>
      </c>
      <c r="AT7" s="290">
        <f>-SUMIF('TB Mar18'!$A:$A,AT$4&amp;"Unit Capital",'TB Mar18'!$AB:$AB)</f>
        <v>27.523093308</v>
      </c>
      <c r="AU7" s="290">
        <f>-SUMIF('TB Mar18'!$A:$A,AU$4&amp;"Unit Capital",'TB Mar18'!$AB:$AB)</f>
        <v>20.543167838999999</v>
      </c>
      <c r="AV7" s="290">
        <f>-SUMIF('TB Mar18'!$A:$A,AV$4&amp;"Unit Capital",'TB Mar18'!$AB:$AB)</f>
        <v>42.835670999999998</v>
      </c>
      <c r="AW7" s="290">
        <f>-SUMIF('TB Mar18'!$A:$A,AW$4&amp;"Unit Capital",'TB Mar18'!$AB:$AB)</f>
        <v>9.6365130000000008</v>
      </c>
      <c r="AX7" s="291">
        <f>-SUMIF('TB Mar18'!$A:$A,AX$4&amp;"Unit Capital",'TB Mar18'!$AB:$AB)</f>
        <v>26.644241999999998</v>
      </c>
      <c r="AZ7" s="22">
        <v>7223.9799536459996</v>
      </c>
      <c r="BA7" s="22">
        <v>72239799536.459991</v>
      </c>
      <c r="BB7" s="22">
        <v>67645277832.93972</v>
      </c>
    </row>
    <row r="8" spans="1:54" ht="12" customHeight="1">
      <c r="C8" s="292">
        <v>2</v>
      </c>
      <c r="D8" s="171" t="s">
        <v>99</v>
      </c>
      <c r="E8" s="290">
        <f>+E11-E7</f>
        <v>103.76975697199998</v>
      </c>
      <c r="F8" s="290">
        <f t="shared" ref="F8:AX8" si="0">+F11-F7</f>
        <v>199.89161259999995</v>
      </c>
      <c r="G8" s="290">
        <f t="shared" si="0"/>
        <v>242.15292841599998</v>
      </c>
      <c r="H8" s="290">
        <f t="shared" si="0"/>
        <v>138.67952443500002</v>
      </c>
      <c r="I8" s="290">
        <f t="shared" si="0"/>
        <v>124.88525982199999</v>
      </c>
      <c r="J8" s="290">
        <f t="shared" si="0"/>
        <v>75.928702932999997</v>
      </c>
      <c r="K8" s="290">
        <f t="shared" si="0"/>
        <v>252.38408276400003</v>
      </c>
      <c r="L8" s="290">
        <f t="shared" si="0"/>
        <v>53.270278827000006</v>
      </c>
      <c r="M8" s="290">
        <f t="shared" si="0"/>
        <v>6.6866934360000005</v>
      </c>
      <c r="N8" s="290">
        <f t="shared" si="0"/>
        <v>5804.0102332950009</v>
      </c>
      <c r="O8" s="290">
        <f t="shared" si="0"/>
        <v>10.586204836</v>
      </c>
      <c r="P8" s="290">
        <f t="shared" si="0"/>
        <v>16.643534588000001</v>
      </c>
      <c r="Q8" s="290">
        <f t="shared" si="0"/>
        <v>1197.3214817280004</v>
      </c>
      <c r="R8" s="290">
        <f t="shared" si="0"/>
        <v>94.096305223999991</v>
      </c>
      <c r="S8" s="290">
        <f t="shared" si="0"/>
        <v>21.281499217999993</v>
      </c>
      <c r="T8" s="290">
        <f t="shared" si="0"/>
        <v>0</v>
      </c>
      <c r="U8" s="290">
        <f t="shared" si="0"/>
        <v>0</v>
      </c>
      <c r="V8" s="290">
        <f t="shared" si="0"/>
        <v>0</v>
      </c>
      <c r="W8" s="290">
        <f t="shared" si="0"/>
        <v>0</v>
      </c>
      <c r="X8" s="290" t="e">
        <f t="shared" si="0"/>
        <v>#N/A</v>
      </c>
      <c r="Y8" s="290" t="e">
        <f t="shared" si="0"/>
        <v>#N/A</v>
      </c>
      <c r="Z8" s="290" t="e">
        <f t="shared" si="0"/>
        <v>#N/A</v>
      </c>
      <c r="AA8" s="290">
        <f t="shared" si="0"/>
        <v>4.0930045509999982</v>
      </c>
      <c r="AB8" s="290" t="e">
        <f t="shared" si="0"/>
        <v>#N/A</v>
      </c>
      <c r="AC8" s="290" t="e">
        <f t="shared" si="0"/>
        <v>#N/A</v>
      </c>
      <c r="AD8" s="290" t="e">
        <f t="shared" si="0"/>
        <v>#N/A</v>
      </c>
      <c r="AE8" s="290" t="e">
        <f t="shared" si="0"/>
        <v>#N/A</v>
      </c>
      <c r="AF8" s="290" t="e">
        <f t="shared" si="0"/>
        <v>#N/A</v>
      </c>
      <c r="AG8" s="290" t="e">
        <f t="shared" si="0"/>
        <v>#N/A</v>
      </c>
      <c r="AH8" s="290" t="e">
        <f t="shared" si="0"/>
        <v>#N/A</v>
      </c>
      <c r="AI8" s="290" t="e">
        <f t="shared" si="0"/>
        <v>#N/A</v>
      </c>
      <c r="AJ8" s="290">
        <f t="shared" si="0"/>
        <v>0</v>
      </c>
      <c r="AK8" s="290">
        <f t="shared" si="0"/>
        <v>0</v>
      </c>
      <c r="AL8" s="290">
        <f t="shared" si="0"/>
        <v>0</v>
      </c>
      <c r="AM8" s="290">
        <f t="shared" si="0"/>
        <v>0</v>
      </c>
      <c r="AN8" s="290">
        <f t="shared" si="0"/>
        <v>0</v>
      </c>
      <c r="AO8" s="290">
        <f t="shared" si="0"/>
        <v>29.402882130000002</v>
      </c>
      <c r="AP8" s="290">
        <f t="shared" si="0"/>
        <v>0</v>
      </c>
      <c r="AQ8" s="290">
        <f t="shared" si="0"/>
        <v>86.459851399999962</v>
      </c>
      <c r="AR8" s="290">
        <f t="shared" si="0"/>
        <v>3.0975697619999991</v>
      </c>
      <c r="AS8" s="290">
        <f t="shared" si="0"/>
        <v>8.4067072739999986</v>
      </c>
      <c r="AT8" s="290">
        <f t="shared" si="0"/>
        <v>5.0938836670000001</v>
      </c>
      <c r="AU8" s="290">
        <f t="shared" si="0"/>
        <v>3.9308496250000005</v>
      </c>
      <c r="AV8" s="290">
        <f t="shared" si="0"/>
        <v>400.41011609200001</v>
      </c>
      <c r="AW8" s="290">
        <f t="shared" si="0"/>
        <v>317.14617025000001</v>
      </c>
      <c r="AX8" s="291">
        <f t="shared" si="0"/>
        <v>258.32995185799996</v>
      </c>
      <c r="AZ8" s="22">
        <v>11577.290277037615</v>
      </c>
      <c r="BB8" s="17">
        <v>0</v>
      </c>
    </row>
    <row r="9" spans="1:54" ht="12.75">
      <c r="C9" s="168"/>
      <c r="D9" s="171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293"/>
      <c r="S9" s="293"/>
      <c r="T9" s="293"/>
      <c r="U9" s="293"/>
      <c r="V9" s="293"/>
      <c r="W9" s="293"/>
      <c r="X9" s="290"/>
      <c r="Y9" s="290"/>
      <c r="Z9" s="290"/>
      <c r="AA9" s="290"/>
      <c r="AB9" s="293"/>
      <c r="AC9" s="293"/>
      <c r="AD9" s="290"/>
      <c r="AE9" s="290"/>
      <c r="AF9" s="290"/>
      <c r="AG9" s="290"/>
      <c r="AH9" s="293"/>
      <c r="AI9" s="293"/>
      <c r="AJ9" s="293"/>
      <c r="AK9" s="293"/>
      <c r="AL9" s="293"/>
      <c r="AM9" s="293"/>
      <c r="AN9" s="293"/>
      <c r="AO9" s="293"/>
      <c r="AP9" s="293"/>
      <c r="AQ9" s="293"/>
      <c r="AR9" s="293"/>
      <c r="AS9" s="293"/>
      <c r="AT9" s="293"/>
      <c r="AU9" s="293"/>
      <c r="AV9" s="293"/>
      <c r="AW9" s="293"/>
      <c r="AX9" s="294"/>
    </row>
    <row r="10" spans="1:54" ht="12.75">
      <c r="C10" s="168">
        <v>3.1</v>
      </c>
      <c r="D10" s="171" t="s">
        <v>100</v>
      </c>
      <c r="E10" s="290">
        <f>+HLOOKUP(E$4,'Sep 2017 HY'!$3:$10,8,0)</f>
        <v>237.0774634876708</v>
      </c>
      <c r="F10" s="290">
        <f>+HLOOKUP(F$4,'Sep 2017 HY'!$3:$10,8,0)</f>
        <v>224.74973728000759</v>
      </c>
      <c r="G10" s="290">
        <f>+HLOOKUP(G$4,'Sep 2017 HY'!$3:$10,8,0)</f>
        <v>329.04341169710432</v>
      </c>
      <c r="H10" s="290">
        <f>+HLOOKUP(H$4,'Sep 2017 HY'!$3:$10,8,0)</f>
        <v>214.3578412703589</v>
      </c>
      <c r="I10" s="290">
        <f>+HLOOKUP(I$4,'Sep 2017 HY'!$3:$10,8,0)</f>
        <v>123.79249697672201</v>
      </c>
      <c r="J10" s="290">
        <f>+HLOOKUP(J$4,'Sep 2017 HY'!$3:$10,8,0)</f>
        <v>112.51108274270909</v>
      </c>
      <c r="K10" s="290">
        <f>+HLOOKUP(K$4,'Sep 2017 HY'!$3:$10,8,0)</f>
        <v>531.01172403800001</v>
      </c>
      <c r="L10" s="290">
        <f>+HLOOKUP(L$4,'Sep 2017 HY'!$3:$10,8,0)</f>
        <v>88.513447800999998</v>
      </c>
      <c r="M10" s="290">
        <f>+HLOOKUP(M$4,'Sep 2017 HY'!$3:$10,8,0)</f>
        <v>19.15427043295249</v>
      </c>
      <c r="N10" s="290">
        <f>+HLOOKUP(N$4,'Sep 2017 HY'!$3:$10,8,0)</f>
        <v>11722.107778181</v>
      </c>
      <c r="O10" s="290">
        <f>+HLOOKUP(O$4,'Sep 2017 HY'!$3:$10,8,0)</f>
        <v>14.43212079544363</v>
      </c>
      <c r="P10" s="290">
        <f>+HLOOKUP(P$4,'Sep 2017 HY'!$3:$10,8,0)</f>
        <v>21.694257651648112</v>
      </c>
      <c r="Q10" s="290">
        <f>+HLOOKUP(Q$4,'Sep 2017 HY'!$3:$10,8,0)</f>
        <v>3030.4000623679999</v>
      </c>
      <c r="R10" s="290">
        <f>+HLOOKUP(R$4,'Sep 2017 HY'!$3:$10,8,0)</f>
        <v>237.85645873899998</v>
      </c>
      <c r="S10" s="290">
        <f>+HLOOKUP(S$4,'Sep 2017 HY'!$3:$10,8,0)</f>
        <v>62.67357519636456</v>
      </c>
      <c r="T10" s="290">
        <f>+HLOOKUP(T$4,'Sep 2017 HY'!$3:$10,8,0)</f>
        <v>4.8018449049999994</v>
      </c>
      <c r="U10" s="290">
        <f>+HLOOKUP(U$4,'Sep 2017 HY'!$3:$10,8,0)</f>
        <v>16.223741265000001</v>
      </c>
      <c r="V10" s="290">
        <f>+HLOOKUP(V$4,'Sep 2017 HY'!$3:$10,8,0)</f>
        <v>7.9979465279999999</v>
      </c>
      <c r="W10" s="290">
        <f>+HLOOKUP(W$4,'Sep 2017 HY'!$3:$10,8,0)</f>
        <v>8.0137409709999989</v>
      </c>
      <c r="X10" s="290">
        <f>+HLOOKUP(X$4,'Sep 2017 HY'!$3:$10,8,0)</f>
        <v>0</v>
      </c>
      <c r="Y10" s="290">
        <f>+HLOOKUP(Y$4,'Sep 2017 HY'!$3:$10,8,0)</f>
        <v>0</v>
      </c>
      <c r="Z10" s="290">
        <f>+HLOOKUP(Z$4,'Sep 2017 HY'!$3:$10,8,0)</f>
        <v>0</v>
      </c>
      <c r="AA10" s="290">
        <f>+HLOOKUP(AA$4,'Sep 2017 HY'!$3:$10,8,0)</f>
        <v>19.080414052999998</v>
      </c>
      <c r="AB10" s="290">
        <f>+HLOOKUP(AB$4,'Sep 2017 HY'!$3:$10,8,0)</f>
        <v>0</v>
      </c>
      <c r="AC10" s="290">
        <f>+HLOOKUP(AC$4,'Sep 2017 HY'!$3:$10,8,0)</f>
        <v>0</v>
      </c>
      <c r="AD10" s="290">
        <f>+HLOOKUP(AD$4,'Sep 2017 HY'!$3:$10,8,0)</f>
        <v>0</v>
      </c>
      <c r="AE10" s="290">
        <f>+HLOOKUP(AE$4,'Sep 2017 HY'!$3:$10,8,0)</f>
        <v>0</v>
      </c>
      <c r="AF10" s="290">
        <f>+HLOOKUP(AF$4,'Sep 2017 HY'!$3:$10,8,0)</f>
        <v>0</v>
      </c>
      <c r="AG10" s="290">
        <f>+HLOOKUP(AG$4,'Sep 2017 HY'!$3:$10,8,0)</f>
        <v>0</v>
      </c>
      <c r="AH10" s="290">
        <f>+HLOOKUP(AH$4,'Sep 2017 HY'!$3:$10,8,0)</f>
        <v>0</v>
      </c>
      <c r="AI10" s="290">
        <f>+HLOOKUP(AI$4,'Sep 2017 HY'!$3:$10,8,0)</f>
        <v>0</v>
      </c>
      <c r="AJ10" s="290">
        <f>+HLOOKUP(AJ$4,'Sep 2017 HY'!$3:$10,8,0)</f>
        <v>39.120125286000004</v>
      </c>
      <c r="AK10" s="290">
        <f>+HLOOKUP(AK$4,'Sep 2017 HY'!$3:$10,8,0)</f>
        <v>89.941296101000006</v>
      </c>
      <c r="AL10" s="290">
        <f>+HLOOKUP(AL$4,'Sep 2017 HY'!$3:$10,8,0)</f>
        <v>82.319202700999995</v>
      </c>
      <c r="AM10" s="290">
        <f>+HLOOKUP(AM$4,'Sep 2017 HY'!$3:$10,8,0)</f>
        <v>35.942097331885222</v>
      </c>
      <c r="AN10" s="290">
        <f>+HLOOKUP(AN$4,'Sep 2017 HY'!$3:$10,8,0)</f>
        <v>27.094446917999999</v>
      </c>
      <c r="AO10" s="290">
        <f>+HLOOKUP(AO$4,'Sep 2017 HY'!$3:$10,8,0)</f>
        <v>79.09050655499999</v>
      </c>
      <c r="AP10" s="290">
        <f>+HLOOKUP(AP$4,'Sep 2017 HY'!$3:$10,8,0)</f>
        <v>34.610532090765709</v>
      </c>
      <c r="AQ10" s="290">
        <f>+HLOOKUP(AQ$4,'Sep 2017 HY'!$3:$10,8,0)</f>
        <v>202.5764973597899</v>
      </c>
      <c r="AR10" s="290">
        <f>+HLOOKUP(AR$4,'Sep 2017 HY'!$3:$10,8,0)</f>
        <v>69.249735271193941</v>
      </c>
      <c r="AS10" s="290">
        <f>+HLOOKUP(AS$4,'Sep 2017 HY'!$3:$10,8,0)</f>
        <v>51.169706910999999</v>
      </c>
      <c r="AT10" s="290">
        <f>+HLOOKUP(AT$4,'Sep 2017 HY'!$3:$10,8,0)</f>
        <v>32.054241814000001</v>
      </c>
      <c r="AU10" s="290">
        <f>+HLOOKUP(AU$4,'Sep 2017 HY'!$3:$10,8,0)</f>
        <v>24.072661434</v>
      </c>
      <c r="AV10" s="290">
        <f>+HLOOKUP(AV$4,'Sep 2017 HY'!$3:$10,8,0)</f>
        <v>424.72208068800001</v>
      </c>
      <c r="AW10" s="290">
        <f>+HLOOKUP(AW$4,'Sep 2017 HY'!$3:$10,8,0)</f>
        <v>309.06901466900001</v>
      </c>
      <c r="AX10" s="291">
        <f>+HLOOKUP(AX$4,'Sep 2017 HY'!$3:$10,8,0)</f>
        <v>274.74466917299998</v>
      </c>
    </row>
    <row r="11" spans="1:54" s="21" customFormat="1" ht="12.75" customHeight="1">
      <c r="A11" s="20"/>
      <c r="B11" s="20"/>
      <c r="C11" s="168">
        <v>3.2</v>
      </c>
      <c r="D11" s="171" t="s">
        <v>101</v>
      </c>
      <c r="E11" s="290">
        <f>+VLOOKUP(E$4,'SIM NAV 31 03 2018'!$A:$AL,38,0)</f>
        <v>248.93050016199999</v>
      </c>
      <c r="F11" s="290">
        <f>+VLOOKUP(F$4,'SIM NAV 31 03 2018'!$A:$AL,38,0)</f>
        <v>331.48729241399997</v>
      </c>
      <c r="G11" s="290">
        <f>+VLOOKUP(G$4,'SIM NAV 31 03 2018'!$A:$AL,38,0)</f>
        <v>332.49240693899998</v>
      </c>
      <c r="H11" s="290">
        <f>+VLOOKUP(H$4,'SIM NAV 31 03 2018'!$A:$AL,38,0)</f>
        <v>239.65414824600001</v>
      </c>
      <c r="I11" s="290">
        <f>+VLOOKUP(I$4,'SIM NAV 31 03 2018'!$A:$AL,38,0)</f>
        <v>160.35942715499999</v>
      </c>
      <c r="J11" s="290">
        <f>+VLOOKUP(J$4,'SIM NAV 31 03 2018'!$A:$AL,38,0)</f>
        <v>104.548892427</v>
      </c>
      <c r="K11" s="290">
        <f>+VLOOKUP(K$4,'SIM NAV 31 03 2018'!$A:$AL,38,0)</f>
        <v>329.26864958900001</v>
      </c>
      <c r="L11" s="290">
        <f>+VLOOKUP(L$4,'SIM NAV 31 03 2018'!$A:$AL,38,0)</f>
        <v>76.302655912000006</v>
      </c>
      <c r="M11" s="290">
        <f>+VLOOKUP(M$4,'SIM NAV 31 03 2018'!$A:$AL,38,0)</f>
        <v>16.942087032</v>
      </c>
      <c r="N11" s="290">
        <f>+VLOOKUP(N$4,'SIM NAV 31 03 2018'!$A:$AL,38,0)</f>
        <v>9030.8481707660012</v>
      </c>
      <c r="O11" s="290">
        <f>+VLOOKUP(O$4,'SIM NAV 31 03 2018'!$A:$AL,38,0)</f>
        <v>13.64105167</v>
      </c>
      <c r="P11" s="290">
        <f>+VLOOKUP(P$4,'SIM NAV 31 03 2018'!$A:$AL,38,0)</f>
        <v>20.967574686000003</v>
      </c>
      <c r="Q11" s="290">
        <f>+VLOOKUP(Q$4,'SIM NAV 31 03 2018'!$A:$AL,38,0)</f>
        <v>2074.6778572490002</v>
      </c>
      <c r="R11" s="290">
        <f>+VLOOKUP(R$4,'SIM NAV 31 03 2018'!$A:$AL,38,0)</f>
        <v>201.58559332199999</v>
      </c>
      <c r="S11" s="290">
        <f>+VLOOKUP(S$4,'SIM NAV 31 03 2018'!$A:$AL,38,0)</f>
        <v>68.908268062999994</v>
      </c>
      <c r="T11" s="290">
        <v>0</v>
      </c>
      <c r="U11" s="290">
        <v>0</v>
      </c>
      <c r="V11" s="290">
        <v>0</v>
      </c>
      <c r="W11" s="290">
        <v>0</v>
      </c>
      <c r="X11" s="290" t="e">
        <f>+VLOOKUP(X$4,'SIM NAV 31 03 2018'!$A:$AL,38,0)</f>
        <v>#N/A</v>
      </c>
      <c r="Y11" s="290" t="e">
        <f>+VLOOKUP(Y$4,'SIM NAV 31 03 2018'!$A:$AL,38,0)</f>
        <v>#N/A</v>
      </c>
      <c r="Z11" s="290" t="e">
        <f>+VLOOKUP(Z$4,'SIM NAV 31 03 2018'!$A:$AL,38,0)</f>
        <v>#N/A</v>
      </c>
      <c r="AA11" s="290">
        <f>+VLOOKUP(AA$4,'SIM NAV 31 03 2018'!$A:$AL,38,0)</f>
        <v>19.335219162999998</v>
      </c>
      <c r="AB11" s="290" t="e">
        <f>+VLOOKUP(AB$4,'SIM NAV 31 03 2018'!$A:$AL,38,0)</f>
        <v>#N/A</v>
      </c>
      <c r="AC11" s="290" t="e">
        <f>+VLOOKUP(AC$4,'SIM NAV 31 03 2018'!$A:$AL,38,0)</f>
        <v>#N/A</v>
      </c>
      <c r="AD11" s="290" t="e">
        <f>+VLOOKUP(AD$4,'SIM NAV 31 03 2018'!$A:$AL,38,0)</f>
        <v>#N/A</v>
      </c>
      <c r="AE11" s="290" t="e">
        <f>+VLOOKUP(AE$4,'SIM NAV 31 03 2018'!$A:$AL,38,0)</f>
        <v>#N/A</v>
      </c>
      <c r="AF11" s="290" t="e">
        <f>+VLOOKUP(AF$4,'SIM NAV 31 03 2018'!$A:$AL,38,0)</f>
        <v>#N/A</v>
      </c>
      <c r="AG11" s="290" t="e">
        <f>+VLOOKUP(AG$4,'SIM NAV 31 03 2018'!$A:$AL,38,0)</f>
        <v>#N/A</v>
      </c>
      <c r="AH11" s="290" t="e">
        <f>+VLOOKUP(AH$4,'SIM NAV 31 03 2018'!$A:$AL,38,0)</f>
        <v>#N/A</v>
      </c>
      <c r="AI11" s="290" t="e">
        <f>+VLOOKUP(AI$4,'SIM NAV 31 03 2018'!$A:$AL,38,0)</f>
        <v>#N/A</v>
      </c>
      <c r="AJ11" s="290">
        <v>0</v>
      </c>
      <c r="AK11" s="290">
        <v>0</v>
      </c>
      <c r="AL11" s="290">
        <v>0</v>
      </c>
      <c r="AM11" s="290">
        <v>0</v>
      </c>
      <c r="AN11" s="290">
        <v>0</v>
      </c>
      <c r="AO11" s="290">
        <f>+VLOOKUP(AO$4,'SIM NAV 31 03 2018'!$A:$AL,38,0)</f>
        <v>71.628395130000001</v>
      </c>
      <c r="AP11" s="290">
        <f>+VLOOKUP(AP$4,'SIM NAV 31 03 2018'!$A:$AL,38,0)</f>
        <v>0</v>
      </c>
      <c r="AQ11" s="290">
        <f>+VLOOKUP(AQ$4,'SIM NAV 31 03 2018'!$A:$AL,38,0)</f>
        <v>284.84526036799997</v>
      </c>
      <c r="AR11" s="290">
        <f>+VLOOKUP(AR$4,'SIM NAV 31 03 2018'!$A:$AL,38,0)</f>
        <v>65.068894962000002</v>
      </c>
      <c r="AS11" s="290">
        <f>+VLOOKUP(AS$4,'SIM NAV 31 03 2018'!$A:$AL,38,0)</f>
        <v>52.221197723000003</v>
      </c>
      <c r="AT11" s="290">
        <f>+VLOOKUP(AT$4,'SIM NAV 31 03 2018'!$A:$AL,38,0)</f>
        <v>32.616976975</v>
      </c>
      <c r="AU11" s="290">
        <f>+VLOOKUP(AU$4,'SIM NAV 31 03 2018'!$A:$AL,38,0)</f>
        <v>24.474017463999999</v>
      </c>
      <c r="AV11" s="290">
        <f>+VLOOKUP(AV$4,'SIM NAV 31 03 2018'!$A:$AL,38,0)</f>
        <v>443.245787092</v>
      </c>
      <c r="AW11" s="290">
        <f>+VLOOKUP(AW$4,'SIM NAV 31 03 2018'!$A:$AL,38,0)</f>
        <v>326.78268324999999</v>
      </c>
      <c r="AX11" s="291">
        <f>+VLOOKUP(AX$4,'SIM NAV 31 03 2018'!$A:$AL,38,0)</f>
        <v>284.97419385799998</v>
      </c>
      <c r="AZ11" s="22">
        <v>18801.270230683614</v>
      </c>
      <c r="BA11" s="22">
        <v>188012702306.83615</v>
      </c>
      <c r="BB11" s="22">
        <v>0</v>
      </c>
    </row>
    <row r="12" spans="1:54" ht="12.75" customHeight="1">
      <c r="C12" s="168"/>
      <c r="D12" s="169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1"/>
      <c r="Y12" s="171"/>
      <c r="Z12" s="171"/>
      <c r="AA12" s="171"/>
      <c r="AB12" s="170"/>
      <c r="AC12" s="170"/>
      <c r="AD12" s="171"/>
      <c r="AE12" s="171"/>
      <c r="AF12" s="171"/>
      <c r="AG12" s="171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0"/>
      <c r="AX12" s="172"/>
    </row>
    <row r="13" spans="1:54" ht="12.75" customHeight="1">
      <c r="C13" s="168">
        <v>4.0999999999999996</v>
      </c>
      <c r="D13" s="169" t="s">
        <v>1710</v>
      </c>
      <c r="E13" s="173"/>
      <c r="F13" s="174"/>
      <c r="G13" s="174"/>
      <c r="H13" s="174"/>
      <c r="I13" s="174"/>
      <c r="J13" s="175"/>
      <c r="K13" s="174"/>
      <c r="L13" s="175"/>
      <c r="M13" s="173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1"/>
      <c r="Y13" s="171"/>
      <c r="Z13" s="171"/>
      <c r="AA13" s="171"/>
      <c r="AB13" s="174"/>
      <c r="AC13" s="174"/>
      <c r="AD13" s="171"/>
      <c r="AE13" s="171"/>
      <c r="AF13" s="171"/>
      <c r="AG13" s="171"/>
      <c r="AH13" s="174"/>
      <c r="AI13" s="174"/>
      <c r="AJ13" s="174"/>
      <c r="AK13" s="174"/>
      <c r="AL13" s="174"/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6"/>
    </row>
    <row r="14" spans="1:54" ht="12.75" customHeight="1">
      <c r="C14" s="295" t="s">
        <v>103</v>
      </c>
      <c r="D14" s="296" t="s">
        <v>104</v>
      </c>
      <c r="E14" s="297">
        <f>+HLOOKUP(E$4,'Sep 2017 HY'!$3:$30,28,0)</f>
        <v>16.523199999999999</v>
      </c>
      <c r="F14" s="297">
        <f>+HLOOKUP(F$4,'Sep 2017 HY'!$3:$30,28,0)</f>
        <v>14.3344</v>
      </c>
      <c r="G14" s="297">
        <f>+HLOOKUP(G$4,'Sep 2017 HY'!$3:$30,28,0)</f>
        <v>13.611599999999999</v>
      </c>
      <c r="H14" s="297">
        <f>+HLOOKUP(H$4,'Sep 2017 HY'!$3:$30,28,0)</f>
        <v>17.276599999999998</v>
      </c>
      <c r="I14" s="297">
        <f>+HLOOKUP(I$4,'Sep 2017 HY'!$3:$30,28,0)</f>
        <v>17.209199999999999</v>
      </c>
      <c r="J14" s="297">
        <f>+HLOOKUP(J$4,'Sep 2017 HY'!$3:$30,28,0)</f>
        <v>0</v>
      </c>
      <c r="K14" s="297">
        <f>+HLOOKUP(K$4,'Sep 2017 HY'!$3:$30,28,0)</f>
        <v>10.468999999999999</v>
      </c>
      <c r="L14" s="297">
        <f>+HLOOKUP(L$4,'Sep 2017 HY'!$3:$30,28,0)</f>
        <v>10.800599999999999</v>
      </c>
      <c r="M14" s="297">
        <f>+HLOOKUP(M$4,'Sep 2017 HY'!$3:$30,28,0)</f>
        <v>0</v>
      </c>
      <c r="N14" s="297">
        <f>+HLOOKUP(N$4,'Sep 2017 HY'!$3:$30,28,0)</f>
        <v>1098</v>
      </c>
      <c r="O14" s="297">
        <f>+HLOOKUP(O$4,'Sep 2017 HY'!$3:$30,28,0)</f>
        <v>19.954799999999999</v>
      </c>
      <c r="P14" s="297">
        <f>+HLOOKUP(P$4,'Sep 2017 HY'!$3:$30,28,0)</f>
        <v>19.9922</v>
      </c>
      <c r="Q14" s="297">
        <f>+HLOOKUP(Q$4,'Sep 2017 HY'!$3:$30,28,0)</f>
        <v>10.161099999999999</v>
      </c>
      <c r="R14" s="297">
        <f>+HLOOKUP(R$4,'Sep 2017 HY'!$3:$30,28,0)</f>
        <v>10.127599999999999</v>
      </c>
      <c r="S14" s="297">
        <f>+HLOOKUP(S$4,'Sep 2017 HY'!$3:$30,28,0)</f>
        <v>13.6235</v>
      </c>
      <c r="T14" s="297">
        <f>+HLOOKUP(T$4,'Sep 2017 HY'!$3:$30,28,0)</f>
        <v>10.0642</v>
      </c>
      <c r="U14" s="297">
        <f>+HLOOKUP(U$4,'Sep 2017 HY'!$3:$30,28,0)</f>
        <v>10.027200000000001</v>
      </c>
      <c r="V14" s="297">
        <f>+HLOOKUP(V$4,'Sep 2017 HY'!$3:$30,28,0)</f>
        <v>10.391999999999999</v>
      </c>
      <c r="W14" s="297">
        <f>+HLOOKUP(W$4,'Sep 2017 HY'!$3:$30,28,0)</f>
        <v>10.065099999999999</v>
      </c>
      <c r="X14" s="297">
        <f>+HLOOKUP(X$4,'Sep 2017 HY'!$3:$13,11,0)</f>
        <v>0</v>
      </c>
      <c r="Y14" s="297">
        <f>+HLOOKUP(Y$4,'Sep 2017 HY'!$3:$13,11,0)</f>
        <v>0</v>
      </c>
      <c r="Z14" s="297">
        <f>+HLOOKUP(Z$4,'Sep 2017 HY'!$3:$13,11,0)</f>
        <v>0</v>
      </c>
      <c r="AA14" s="297">
        <f>+HLOOKUP(AA$4,'Sep 2017 HY'!$3:$30,28,0)</f>
        <v>10.3917</v>
      </c>
      <c r="AB14" s="297">
        <f>+HLOOKUP(AB$4,'Sep 2017 HY'!$3:$13,11,0)</f>
        <v>0</v>
      </c>
      <c r="AC14" s="297">
        <f>+HLOOKUP(AC$4,'Sep 2017 HY'!$3:$13,11,0)</f>
        <v>12.250400000000001</v>
      </c>
      <c r="AD14" s="297">
        <f>+HLOOKUP(AD$4,'Sep 2017 HY'!$3:$13,11,0)</f>
        <v>0</v>
      </c>
      <c r="AE14" s="297">
        <f>+HLOOKUP(AE$4,'Sep 2017 HY'!$3:$13,11,0)</f>
        <v>0</v>
      </c>
      <c r="AF14" s="297">
        <f>+HLOOKUP(AF$4,'Sep 2017 HY'!$3:$13,11,0)</f>
        <v>0</v>
      </c>
      <c r="AG14" s="297">
        <f>+HLOOKUP(AG$4,'Sep 2017 HY'!$3:$13,11,0)</f>
        <v>11.471399999999999</v>
      </c>
      <c r="AH14" s="297">
        <f>+HLOOKUP(AH$4,'Sep 2017 HY'!$3:$13,11,0)</f>
        <v>11.9796</v>
      </c>
      <c r="AI14" s="297">
        <f>+HLOOKUP(AI$4,'Sep 2017 HY'!$3:$13,11,0)</f>
        <v>10.951599999999999</v>
      </c>
      <c r="AJ14" s="297">
        <f>+HLOOKUP(AJ$4,'Sep 2017 HY'!$3:$30,28,0)</f>
        <v>11.9716</v>
      </c>
      <c r="AK14" s="297">
        <f>+HLOOKUP(AK$4,'Sep 2017 HY'!$3:$30,28,0)</f>
        <v>12.650600000000001</v>
      </c>
      <c r="AL14" s="297">
        <f>+HLOOKUP(AL$4,'Sep 2017 HY'!$3:$30,28,0)</f>
        <v>12.499599999999999</v>
      </c>
      <c r="AM14" s="297">
        <f>+HLOOKUP(AM$4,'Sep 2017 HY'!$3:$30,28,0)</f>
        <v>10.2613</v>
      </c>
      <c r="AN14" s="297">
        <f>+HLOOKUP(AN$4,'Sep 2017 HY'!$3:$30,28,0)</f>
        <v>12.449199999999999</v>
      </c>
      <c r="AO14" s="297">
        <f>+HLOOKUP(AO$4,'Sep 2017 HY'!$3:$30,28,0)</f>
        <v>0</v>
      </c>
      <c r="AP14" s="297">
        <f>+HLOOKUP(AP$4,'Sep 2017 HY'!$3:$30,28,0)</f>
        <v>10.293100000000001</v>
      </c>
      <c r="AQ14" s="297">
        <f>+HLOOKUP(AQ$4,'Sep 2017 HY'!$3:$30,28,0)</f>
        <v>13.214</v>
      </c>
      <c r="AR14" s="297">
        <f>+HLOOKUP(AR$4,'Sep 2017 HY'!$3:$30,28,0)</f>
        <v>11.003500000000001</v>
      </c>
      <c r="AS14" s="297">
        <f>+HLOOKUP(AS$4,'Sep 2017 HY'!$3:$30,28,0)</f>
        <v>11.580399999999999</v>
      </c>
      <c r="AT14" s="297">
        <f>+HLOOKUP(AT$4,'Sep 2017 HY'!$3:$30,28,0)</f>
        <v>11.5685</v>
      </c>
      <c r="AU14" s="297">
        <f>+HLOOKUP(AU$4,'Sep 2017 HY'!$3:$30,28,0)</f>
        <v>11.6364</v>
      </c>
      <c r="AV14" s="297">
        <f>+HLOOKUP(AV$4,'Sep 2017 HY'!$3:$30,28,0)</f>
        <v>0</v>
      </c>
      <c r="AW14" s="297">
        <f>+HLOOKUP(AW$4,'Sep 2017 HY'!$3:$30,28,0)</f>
        <v>0</v>
      </c>
      <c r="AX14" s="298">
        <f>+HLOOKUP(AX$4,'Sep 2017 HY'!$3:$30,28,0)</f>
        <v>0</v>
      </c>
    </row>
    <row r="15" spans="1:54" ht="12.75" customHeight="1">
      <c r="C15" s="295" t="s">
        <v>105</v>
      </c>
      <c r="D15" s="296" t="s">
        <v>106</v>
      </c>
      <c r="E15" s="297">
        <f>+HLOOKUP(E$4,'Sep 2017 HY'!$3:$31,29,0)</f>
        <v>0</v>
      </c>
      <c r="F15" s="297">
        <f>+HLOOKUP(F$4,'Sep 2017 HY'!$3:$31,29,0)</f>
        <v>91.341300000000004</v>
      </c>
      <c r="G15" s="297">
        <f>+HLOOKUP(G$4,'Sep 2017 HY'!$3:$31,29,0)</f>
        <v>41.590499999999999</v>
      </c>
      <c r="H15" s="297">
        <f>+HLOOKUP(H$4,'Sep 2017 HY'!$3:$31,29,0)</f>
        <v>24.021999999999998</v>
      </c>
      <c r="I15" s="297">
        <f>+HLOOKUP(I$4,'Sep 2017 HY'!$3:$31,29,0)</f>
        <v>58.623100000000001</v>
      </c>
      <c r="J15" s="297">
        <f>+HLOOKUP(J$4,'Sep 2017 HY'!$3:$31,29,0)</f>
        <v>50.503</v>
      </c>
      <c r="K15" s="297">
        <f>+HLOOKUP(K$4,'Sep 2017 HY'!$3:$31,29,0)</f>
        <v>46.063499999999998</v>
      </c>
      <c r="L15" s="297">
        <f>+HLOOKUP(L$4,'Sep 2017 HY'!$3:$31,29,0)</f>
        <v>36.937600000000003</v>
      </c>
      <c r="M15" s="297">
        <f>+HLOOKUP(M$4,'Sep 2017 HY'!$3:$31,29,0)</f>
        <v>16.960899999999999</v>
      </c>
      <c r="N15" s="297">
        <f>+HLOOKUP(N$4,'Sep 2017 HY'!$3:$31,29,0)</f>
        <v>3034.2006999999999</v>
      </c>
      <c r="O15" s="297">
        <f>+HLOOKUP(O$4,'Sep 2017 HY'!$3:$31,29,0)</f>
        <v>58.217199999999998</v>
      </c>
      <c r="P15" s="297">
        <f>+HLOOKUP(P$4,'Sep 2017 HY'!$3:$31,29,0)</f>
        <v>54.198799999999999</v>
      </c>
      <c r="Q15" s="297">
        <f>+HLOOKUP(Q$4,'Sep 2017 HY'!$3:$31,29,0)</f>
        <v>25.7317</v>
      </c>
      <c r="R15" s="297">
        <f>+HLOOKUP(R$4,'Sep 2017 HY'!$3:$31,29,0)</f>
        <v>21.196100000000001</v>
      </c>
      <c r="S15" s="297">
        <f>+HLOOKUP(S$4,'Sep 2017 HY'!$3:$31,29,0)</f>
        <v>13.6227</v>
      </c>
      <c r="T15" s="297">
        <f>+HLOOKUP(T$4,'Sep 2017 HY'!$3:$31,29,0)</f>
        <v>20.497900000000001</v>
      </c>
      <c r="U15" s="297">
        <f>+HLOOKUP(U$4,'Sep 2017 HY'!$3:$31,29,0)</f>
        <v>20.2713</v>
      </c>
      <c r="V15" s="297">
        <f>+HLOOKUP(V$4,'Sep 2017 HY'!$3:$31,29,0)</f>
        <v>20.180099999999999</v>
      </c>
      <c r="W15" s="297">
        <f>+HLOOKUP(W$4,'Sep 2017 HY'!$3:$31,29,0)</f>
        <v>20.179400000000001</v>
      </c>
      <c r="X15" s="297">
        <f>+'Sep 2017 HY'!X31</f>
        <v>0</v>
      </c>
      <c r="Y15" s="297">
        <f>+'Sep 2017 HY'!Y31</f>
        <v>0</v>
      </c>
      <c r="Z15" s="297">
        <f>+'Sep 2017 HY'!Z31</f>
        <v>0</v>
      </c>
      <c r="AA15" s="297">
        <f>+HLOOKUP(AA$4,'Sep 2017 HY'!$3:$31,29,0)</f>
        <v>13.028600000000001</v>
      </c>
      <c r="AB15" s="297">
        <f>+'Sep 2017 HY'!AB31</f>
        <v>0</v>
      </c>
      <c r="AC15" s="297">
        <f>+'Sep 2017 HY'!AC31</f>
        <v>0</v>
      </c>
      <c r="AD15" s="297">
        <f>+'Sep 2017 HY'!AD31</f>
        <v>0</v>
      </c>
      <c r="AE15" s="297">
        <f>+'Sep 2017 HY'!AE31</f>
        <v>0</v>
      </c>
      <c r="AF15" s="297">
        <f>+'Sep 2017 HY'!AF31</f>
        <v>0</v>
      </c>
      <c r="AG15" s="297">
        <f>+'Sep 2017 HY'!AG31</f>
        <v>0</v>
      </c>
      <c r="AH15" s="297">
        <f>+'Sep 2017 HY'!AH31</f>
        <v>0</v>
      </c>
      <c r="AI15" s="297">
        <f>+'Sep 2017 HY'!AI31</f>
        <v>0</v>
      </c>
      <c r="AJ15" s="297">
        <f>+HLOOKUP(AJ$4,'Sep 2017 HY'!$3:$31,29,0)</f>
        <v>11.9716</v>
      </c>
      <c r="AK15" s="297">
        <f>+HLOOKUP(AK$4,'Sep 2017 HY'!$3:$31,29,0)</f>
        <v>12.650600000000001</v>
      </c>
      <c r="AL15" s="297">
        <f>+HLOOKUP(AL$4,'Sep 2017 HY'!$3:$31,29,0)</f>
        <v>12.499599999999999</v>
      </c>
      <c r="AM15" s="297">
        <f>+HLOOKUP(AM$4,'Sep 2017 HY'!$3:$31,29,0)</f>
        <v>10.261200000000001</v>
      </c>
      <c r="AN15" s="297">
        <f>+HLOOKUP(AN$4,'Sep 2017 HY'!$3:$31,29,0)</f>
        <v>12.449199999999999</v>
      </c>
      <c r="AO15" s="297">
        <f>+HLOOKUP(AO$4,'Sep 2017 HY'!$3:$31,29,0)</f>
        <v>17.143699999999999</v>
      </c>
      <c r="AP15" s="297">
        <f>+HLOOKUP(AP$4,'Sep 2017 HY'!$3:$31,29,0)</f>
        <v>10.292999999999999</v>
      </c>
      <c r="AQ15" s="297">
        <f>+HLOOKUP(AQ$4,'Sep 2017 HY'!$3:$31,29,0)</f>
        <v>13.7149</v>
      </c>
      <c r="AR15" s="297">
        <f>+HLOOKUP(AR$4,'Sep 2017 HY'!$3:$31,29,0)</f>
        <v>11.0045</v>
      </c>
      <c r="AS15" s="297">
        <f>+HLOOKUP(AS$4,'Sep 2017 HY'!$3:$31,29,0)</f>
        <v>11.580399999999999</v>
      </c>
      <c r="AT15" s="297">
        <f>+HLOOKUP(AT$4,'Sep 2017 HY'!$3:$31,29,0)</f>
        <v>11.5684</v>
      </c>
      <c r="AU15" s="297">
        <f>+HLOOKUP(AU$4,'Sep 2017 HY'!$3:$31,29,0)</f>
        <v>11.6364</v>
      </c>
      <c r="AV15" s="297">
        <f>+HLOOKUP(AV$4,'Sep 2017 HY'!$3:$31,29,0)</f>
        <v>99.733800000000002</v>
      </c>
      <c r="AW15" s="297">
        <f>+HLOOKUP(AW$4,'Sep 2017 HY'!$3:$31,29,0)</f>
        <v>320.7278</v>
      </c>
      <c r="AX15" s="298">
        <f>+HLOOKUP(AX$4,'Sep 2017 HY'!$3:$31,29,0)</f>
        <v>103.11669999999999</v>
      </c>
    </row>
    <row r="16" spans="1:54" ht="12.75" customHeight="1">
      <c r="C16" s="295" t="s">
        <v>107</v>
      </c>
      <c r="D16" s="296" t="s">
        <v>108</v>
      </c>
      <c r="E16" s="297">
        <f>+HLOOKUP(E$4,'Sep 2017 HY'!$3:$32,30,0)</f>
        <v>17.041399999999999</v>
      </c>
      <c r="F16" s="297">
        <f>+HLOOKUP(F$4,'Sep 2017 HY'!$3:$32,30,0)</f>
        <v>14.8591</v>
      </c>
      <c r="G16" s="297">
        <f>+HLOOKUP(G$4,'Sep 2017 HY'!$3:$32,30,0)</f>
        <v>16.525200000000002</v>
      </c>
      <c r="H16" s="297">
        <f>+HLOOKUP(H$4,'Sep 2017 HY'!$3:$32,30,0)</f>
        <v>19.303799999999999</v>
      </c>
      <c r="I16" s="297">
        <f>+HLOOKUP(I$4,'Sep 2017 HY'!$3:$32,30,0)</f>
        <v>17.963699999999999</v>
      </c>
      <c r="J16" s="297">
        <f>+HLOOKUP(J$4,'Sep 2017 HY'!$3:$32,30,0)</f>
        <v>0</v>
      </c>
      <c r="K16" s="297">
        <f>+HLOOKUP(K$4,'Sep 2017 HY'!$3:$32,30,0)</f>
        <v>11.4009</v>
      </c>
      <c r="L16" s="297">
        <f>+HLOOKUP(L$4,'Sep 2017 HY'!$3:$32,30,0)</f>
        <v>11.270099999999999</v>
      </c>
      <c r="M16" s="297">
        <f>+HLOOKUP(M$4,'Sep 2017 HY'!$3:$32,30,0)</f>
        <v>0</v>
      </c>
      <c r="N16" s="297">
        <f>+HLOOKUP(N$4,'Sep 2017 HY'!$3:$32,30,0)</f>
        <v>1098</v>
      </c>
      <c r="O16" s="297">
        <f>+HLOOKUP(O$4,'Sep 2017 HY'!$3:$32,30,0)</f>
        <v>20.038900000000002</v>
      </c>
      <c r="P16" s="297">
        <f>+HLOOKUP(P$4,'Sep 2017 HY'!$3:$32,30,0)</f>
        <v>20.453499999999998</v>
      </c>
      <c r="Q16" s="297">
        <f>+HLOOKUP(Q$4,'Sep 2017 HY'!$3:$32,30,0)</f>
        <v>10.1</v>
      </c>
      <c r="R16" s="297">
        <f>+HLOOKUP(R$4,'Sep 2017 HY'!$3:$32,30,0)</f>
        <v>10.2475</v>
      </c>
      <c r="S16" s="297">
        <f>+HLOOKUP(S$4,'Sep 2017 HY'!$3:$32,30,0)</f>
        <v>14.1495</v>
      </c>
      <c r="T16" s="297">
        <f>+HLOOKUP(T$4,'Sep 2017 HY'!$3:$32,30,0)</f>
        <v>10.0657</v>
      </c>
      <c r="U16" s="297">
        <f>+HLOOKUP(U$4,'Sep 2017 HY'!$3:$32,30,0)</f>
        <v>10.028</v>
      </c>
      <c r="V16" s="297">
        <f>+HLOOKUP(V$4,'Sep 2017 HY'!$3:$32,30,0)</f>
        <v>0</v>
      </c>
      <c r="W16" s="297">
        <f>+HLOOKUP(W$4,'Sep 2017 HY'!$3:$32,30,0)</f>
        <v>10.067500000000001</v>
      </c>
      <c r="X16" s="297">
        <f>+'Sep 2017 HY'!X32</f>
        <v>0</v>
      </c>
      <c r="Y16" s="297">
        <f>+'Sep 2017 HY'!Y32</f>
        <v>0</v>
      </c>
      <c r="Z16" s="297">
        <f>+'Sep 2017 HY'!Z32</f>
        <v>0</v>
      </c>
      <c r="AA16" s="297">
        <f>+HLOOKUP(AA$4,'Sep 2017 HY'!$3:$32,30,0)</f>
        <v>0</v>
      </c>
      <c r="AB16" s="297">
        <f>+'Sep 2017 HY'!AB32</f>
        <v>0</v>
      </c>
      <c r="AC16" s="297">
        <f>+'Sep 2017 HY'!AC32</f>
        <v>0</v>
      </c>
      <c r="AD16" s="297">
        <f>+'Sep 2017 HY'!AD32</f>
        <v>0</v>
      </c>
      <c r="AE16" s="297">
        <f>+'Sep 2017 HY'!AE32</f>
        <v>0</v>
      </c>
      <c r="AF16" s="297">
        <f>+'Sep 2017 HY'!AF32</f>
        <v>0</v>
      </c>
      <c r="AG16" s="297">
        <f>+'Sep 2017 HY'!AG32</f>
        <v>0</v>
      </c>
      <c r="AH16" s="297">
        <f>+'Sep 2017 HY'!AH32</f>
        <v>0</v>
      </c>
      <c r="AI16" s="297">
        <f>+'Sep 2017 HY'!AI32</f>
        <v>0</v>
      </c>
      <c r="AJ16" s="297">
        <f>+HLOOKUP(AJ$4,'Sep 2017 HY'!$3:$32,30,0)</f>
        <v>12.0336</v>
      </c>
      <c r="AK16" s="297">
        <f>+HLOOKUP(AK$4,'Sep 2017 HY'!$3:$32,30,0)</f>
        <v>0</v>
      </c>
      <c r="AL16" s="297">
        <f>+HLOOKUP(AL$4,'Sep 2017 HY'!$3:$32,30,0)</f>
        <v>12.645799999999999</v>
      </c>
      <c r="AM16" s="297">
        <f>+HLOOKUP(AM$4,'Sep 2017 HY'!$3:$32,30,0)</f>
        <v>10.4056</v>
      </c>
      <c r="AN16" s="297">
        <f>+HLOOKUP(AN$4,'Sep 2017 HY'!$3:$32,30,0)</f>
        <v>0</v>
      </c>
      <c r="AO16" s="297">
        <f>+HLOOKUP(AO$4,'Sep 2017 HY'!$3:$32,30,0)</f>
        <v>0</v>
      </c>
      <c r="AP16" s="297">
        <f>+HLOOKUP(AP$4,'Sep 2017 HY'!$3:$32,30,0)</f>
        <v>10.3019</v>
      </c>
      <c r="AQ16" s="297">
        <f>+HLOOKUP(AQ$4,'Sep 2017 HY'!$3:$32,30,0)</f>
        <v>13.575799999999999</v>
      </c>
      <c r="AR16" s="297">
        <f>+HLOOKUP(AR$4,'Sep 2017 HY'!$3:$32,30,0)</f>
        <v>11.2281</v>
      </c>
      <c r="AS16" s="297">
        <f>+HLOOKUP(AS$4,'Sep 2017 HY'!$3:$32,30,0)</f>
        <v>11.8848</v>
      </c>
      <c r="AT16" s="297">
        <f>+HLOOKUP(AT$4,'Sep 2017 HY'!$3:$32,30,0)</f>
        <v>11.8209</v>
      </c>
      <c r="AU16" s="297">
        <f>+HLOOKUP(AU$4,'Sep 2017 HY'!$3:$32,30,0)</f>
        <v>11.869300000000001</v>
      </c>
      <c r="AV16" s="297">
        <f>+HLOOKUP(AV$4,'Sep 2017 HY'!$3:$32,30,0)</f>
        <v>0</v>
      </c>
      <c r="AW16" s="297">
        <f>+HLOOKUP(AW$4,'Sep 2017 HY'!$3:$32,30,0)</f>
        <v>0</v>
      </c>
      <c r="AX16" s="298">
        <f>+HLOOKUP(AX$4,'Sep 2017 HY'!$3:$32,30,0)</f>
        <v>0</v>
      </c>
    </row>
    <row r="17" spans="3:53" ht="12.75" customHeight="1">
      <c r="C17" s="295" t="s">
        <v>109</v>
      </c>
      <c r="D17" s="171" t="s">
        <v>110</v>
      </c>
      <c r="E17" s="297">
        <f>+HLOOKUP(E$4,'Sep 2017 HY'!$3:$33,31,0)</f>
        <v>0</v>
      </c>
      <c r="F17" s="297">
        <f>+HLOOKUP(F$4,'Sep 2017 HY'!$3:$33,31,0)</f>
        <v>94.641400000000004</v>
      </c>
      <c r="G17" s="297">
        <f>+HLOOKUP(G$4,'Sep 2017 HY'!$3:$33,31,0)</f>
        <v>42.848100000000002</v>
      </c>
      <c r="H17" s="297">
        <f>+HLOOKUP(H$4,'Sep 2017 HY'!$3:$33,31,0)</f>
        <v>24.9664</v>
      </c>
      <c r="I17" s="297">
        <f>+HLOOKUP(I$4,'Sep 2017 HY'!$3:$33,31,0)</f>
        <v>61.085700000000003</v>
      </c>
      <c r="J17" s="297">
        <f>+HLOOKUP(J$4,'Sep 2017 HY'!$3:$33,31,0)</f>
        <v>52.190800000000003</v>
      </c>
      <c r="K17" s="297">
        <f>+HLOOKUP(K$4,'Sep 2017 HY'!$3:$33,31,0)</f>
        <v>47.196599999999997</v>
      </c>
      <c r="L17" s="297">
        <f>+HLOOKUP(L$4,'Sep 2017 HY'!$3:$33,31,0)</f>
        <v>38.360999999999997</v>
      </c>
      <c r="M17" s="297">
        <f>+HLOOKUP(M$4,'Sep 2017 HY'!$3:$33,31,0)</f>
        <v>17.722999999999999</v>
      </c>
      <c r="N17" s="297">
        <f>+HLOOKUP(N$4,'Sep 2017 HY'!$3:$33,31,0)</f>
        <v>3047.2959000000001</v>
      </c>
      <c r="O17" s="297">
        <f>+HLOOKUP(O$4,'Sep 2017 HY'!$3:$33,31,0)</f>
        <v>59.693399999999997</v>
      </c>
      <c r="P17" s="297">
        <f>+HLOOKUP(P$4,'Sep 2017 HY'!$3:$33,31,0)</f>
        <v>55.516399999999997</v>
      </c>
      <c r="Q17" s="297">
        <f>+HLOOKUP(Q$4,'Sep 2017 HY'!$3:$33,31,0)</f>
        <v>26.689</v>
      </c>
      <c r="R17" s="297">
        <f>+HLOOKUP(R$4,'Sep 2017 HY'!$3:$33,31,0)</f>
        <v>21.9177</v>
      </c>
      <c r="S17" s="297">
        <f>+HLOOKUP(S$4,'Sep 2017 HY'!$3:$33,31,0)</f>
        <v>14.231400000000001</v>
      </c>
      <c r="T17" s="297">
        <f>+HLOOKUP(T$4,'Sep 2017 HY'!$3:$33,31,0)</f>
        <v>20.590900000000001</v>
      </c>
      <c r="U17" s="297">
        <f>+HLOOKUP(U$4,'Sep 2017 HY'!$3:$33,31,0)</f>
        <v>20.3705</v>
      </c>
      <c r="V17" s="297">
        <f>+HLOOKUP(V$4,'Sep 2017 HY'!$3:$33,31,0)</f>
        <v>20.340900000000001</v>
      </c>
      <c r="W17" s="297">
        <f>+HLOOKUP(W$4,'Sep 2017 HY'!$3:$33,31,0)</f>
        <v>20.332599999999999</v>
      </c>
      <c r="X17" s="297">
        <f>+'Sep 2017 HY'!X33</f>
        <v>0</v>
      </c>
      <c r="Y17" s="297">
        <f>+'Sep 2017 HY'!Y33</f>
        <v>0</v>
      </c>
      <c r="Z17" s="297">
        <f>+'Sep 2017 HY'!Z33</f>
        <v>0</v>
      </c>
      <c r="AA17" s="297">
        <f>+HLOOKUP(AA$4,'Sep 2017 HY'!$3:$33,31,0)</f>
        <v>13.2715</v>
      </c>
      <c r="AB17" s="297">
        <f>+'Sep 2017 HY'!AB33</f>
        <v>0</v>
      </c>
      <c r="AC17" s="297">
        <f>+'Sep 2017 HY'!AC33</f>
        <v>0</v>
      </c>
      <c r="AD17" s="297">
        <f>+'Sep 2017 HY'!AD33</f>
        <v>0</v>
      </c>
      <c r="AE17" s="297">
        <f>+'Sep 2017 HY'!AE33</f>
        <v>0</v>
      </c>
      <c r="AF17" s="297">
        <f>+'Sep 2017 HY'!AF33</f>
        <v>0</v>
      </c>
      <c r="AG17" s="297">
        <f>+'Sep 2017 HY'!AG33</f>
        <v>0</v>
      </c>
      <c r="AH17" s="297">
        <f>+'Sep 2017 HY'!AH33</f>
        <v>0</v>
      </c>
      <c r="AI17" s="297">
        <f>+'Sep 2017 HY'!AI33</f>
        <v>0</v>
      </c>
      <c r="AJ17" s="297">
        <f>+HLOOKUP(AJ$4,'Sep 2017 HY'!$3:$33,31,0)</f>
        <v>12.0334</v>
      </c>
      <c r="AK17" s="297">
        <f>+HLOOKUP(AK$4,'Sep 2017 HY'!$3:$33,31,0)</f>
        <v>12.8177</v>
      </c>
      <c r="AL17" s="297">
        <f>+HLOOKUP(AL$4,'Sep 2017 HY'!$3:$33,31,0)</f>
        <v>12.645799999999999</v>
      </c>
      <c r="AM17" s="297">
        <f>+HLOOKUP(AM$4,'Sep 2017 HY'!$3:$33,31,0)</f>
        <v>10.4057</v>
      </c>
      <c r="AN17" s="297">
        <f>+HLOOKUP(AN$4,'Sep 2017 HY'!$3:$33,31,0)</f>
        <v>12.6648</v>
      </c>
      <c r="AO17" s="297">
        <f>+HLOOKUP(AO$4,'Sep 2017 HY'!$3:$33,31,0)</f>
        <v>0</v>
      </c>
      <c r="AP17" s="297">
        <f>+HLOOKUP(AP$4,'Sep 2017 HY'!$3:$33,31,0)</f>
        <v>10.302199999999999</v>
      </c>
      <c r="AQ17" s="297">
        <f>+HLOOKUP(AQ$4,'Sep 2017 HY'!$3:$33,31,0)</f>
        <v>14.084</v>
      </c>
      <c r="AR17" s="297">
        <f>+HLOOKUP(AR$4,'Sep 2017 HY'!$3:$33,31,0)</f>
        <v>11.2392</v>
      </c>
      <c r="AS17" s="297">
        <f>+HLOOKUP(AS$4,'Sep 2017 HY'!$3:$33,31,0)</f>
        <v>11.8848</v>
      </c>
      <c r="AT17" s="297">
        <f>+HLOOKUP(AT$4,'Sep 2017 HY'!$3:$33,31,0)</f>
        <v>11.8209</v>
      </c>
      <c r="AU17" s="297">
        <f>+HLOOKUP(AU$4,'Sep 2017 HY'!$3:$33,31,0)</f>
        <v>11.869300000000001</v>
      </c>
      <c r="AV17" s="297">
        <f>+HLOOKUP(AV$4,'Sep 2017 HY'!$3:$33,31,0)</f>
        <v>0</v>
      </c>
      <c r="AW17" s="297">
        <f>+HLOOKUP(AW$4,'Sep 2017 HY'!$3:$33,31,0)</f>
        <v>0</v>
      </c>
      <c r="AX17" s="298">
        <f>+HLOOKUP(AX$4,'Sep 2017 HY'!$3:$33,31,0)</f>
        <v>0</v>
      </c>
    </row>
    <row r="18" spans="3:53" ht="12.75">
      <c r="C18" s="295" t="s">
        <v>111</v>
      </c>
      <c r="D18" s="171" t="s">
        <v>112</v>
      </c>
      <c r="E18" s="297">
        <f>+HLOOKUP(E$4,'Sep 2017 HY'!$3:$34,32,0)</f>
        <v>0</v>
      </c>
      <c r="F18" s="297">
        <f>+HLOOKUP(F$4,'Sep 2017 HY'!$3:$34,32,0)</f>
        <v>0</v>
      </c>
      <c r="G18" s="297">
        <f>+HLOOKUP(G$4,'Sep 2017 HY'!$3:$34,32,0)</f>
        <v>0</v>
      </c>
      <c r="H18" s="297">
        <f>+HLOOKUP(H$4,'Sep 2017 HY'!$3:$34,32,0)</f>
        <v>0</v>
      </c>
      <c r="I18" s="297">
        <f>+HLOOKUP(I$4,'Sep 2017 HY'!$3:$34,32,0)</f>
        <v>0</v>
      </c>
      <c r="J18" s="297">
        <f>+HLOOKUP(J$4,'Sep 2017 HY'!$3:$34,32,0)</f>
        <v>10.5047</v>
      </c>
      <c r="K18" s="297">
        <f>+HLOOKUP(K$4,'Sep 2017 HY'!$3:$34,32,0)</f>
        <v>0</v>
      </c>
      <c r="L18" s="297">
        <f>+HLOOKUP(L$4,'Sep 2017 HY'!$3:$34,32,0)</f>
        <v>0</v>
      </c>
      <c r="M18" s="297">
        <f>+HLOOKUP(M$4,'Sep 2017 HY'!$3:$34,32,0)</f>
        <v>0</v>
      </c>
      <c r="N18" s="297">
        <f>+HLOOKUP(N$4,'Sep 2017 HY'!$3:$34,32,0)</f>
        <v>0</v>
      </c>
      <c r="O18" s="297">
        <f>+HLOOKUP(O$4,'Sep 2017 HY'!$3:$34,32,0)</f>
        <v>0</v>
      </c>
      <c r="P18" s="297">
        <f>+HLOOKUP(P$4,'Sep 2017 HY'!$3:$34,32,0)</f>
        <v>0</v>
      </c>
      <c r="Q18" s="297">
        <f>+HLOOKUP(Q$4,'Sep 2017 HY'!$3:$34,32,0)</f>
        <v>10.1203</v>
      </c>
      <c r="R18" s="297">
        <f>+HLOOKUP(R$4,'Sep 2017 HY'!$3:$34,32,0)</f>
        <v>10.1006</v>
      </c>
      <c r="S18" s="297">
        <f>+HLOOKUP(S$4,'Sep 2017 HY'!$3:$34,32,0)</f>
        <v>0</v>
      </c>
      <c r="T18" s="297">
        <f>+HLOOKUP(T$4,'Sep 2017 HY'!$3:$34,32,0)</f>
        <v>0</v>
      </c>
      <c r="U18" s="297">
        <f>+HLOOKUP(U$4,'Sep 2017 HY'!$3:$34,32,0)</f>
        <v>0</v>
      </c>
      <c r="V18" s="297">
        <f>+HLOOKUP(V$4,'Sep 2017 HY'!$3:$34,32,0)</f>
        <v>0</v>
      </c>
      <c r="W18" s="297">
        <f>+HLOOKUP(W$4,'Sep 2017 HY'!$3:$34,32,0)</f>
        <v>0</v>
      </c>
      <c r="X18" s="297">
        <f>+'Sep 2017 HY'!X34</f>
        <v>0</v>
      </c>
      <c r="Y18" s="297">
        <f>+'Sep 2017 HY'!Y34</f>
        <v>0</v>
      </c>
      <c r="Z18" s="297">
        <f>+'Sep 2017 HY'!Z34</f>
        <v>0</v>
      </c>
      <c r="AA18" s="297">
        <f>+HLOOKUP(AA$4,'Sep 2017 HY'!$3:$34,32,0)</f>
        <v>0</v>
      </c>
      <c r="AB18" s="297">
        <f>+'Sep 2017 HY'!AB34</f>
        <v>0</v>
      </c>
      <c r="AC18" s="297">
        <f>+'Sep 2017 HY'!AC34</f>
        <v>0</v>
      </c>
      <c r="AD18" s="297">
        <f>+'Sep 2017 HY'!AD34</f>
        <v>0</v>
      </c>
      <c r="AE18" s="297">
        <f>+'Sep 2017 HY'!AE34</f>
        <v>0</v>
      </c>
      <c r="AF18" s="297">
        <f>+'Sep 2017 HY'!AF34</f>
        <v>0</v>
      </c>
      <c r="AG18" s="297">
        <f>+'Sep 2017 HY'!AG34</f>
        <v>0</v>
      </c>
      <c r="AH18" s="297">
        <f>+'Sep 2017 HY'!AH34</f>
        <v>0</v>
      </c>
      <c r="AI18" s="297">
        <f>+'Sep 2017 HY'!AI34</f>
        <v>0</v>
      </c>
      <c r="AJ18" s="297">
        <f>+HLOOKUP(AJ$4,'Sep 2017 HY'!$3:$34,32,0)</f>
        <v>0</v>
      </c>
      <c r="AK18" s="297">
        <f>+HLOOKUP(AK$4,'Sep 2017 HY'!$3:$34,32,0)</f>
        <v>0</v>
      </c>
      <c r="AL18" s="297">
        <f>+HLOOKUP(AL$4,'Sep 2017 HY'!$3:$34,32,0)</f>
        <v>0</v>
      </c>
      <c r="AM18" s="297">
        <f>+HLOOKUP(AM$4,'Sep 2017 HY'!$3:$34,32,0)</f>
        <v>0</v>
      </c>
      <c r="AN18" s="297">
        <f>+HLOOKUP(AN$4,'Sep 2017 HY'!$3:$34,32,0)</f>
        <v>0</v>
      </c>
      <c r="AO18" s="297">
        <f>+HLOOKUP(AO$4,'Sep 2017 HY'!$3:$34,32,0)</f>
        <v>0</v>
      </c>
      <c r="AP18" s="297">
        <f>+HLOOKUP(AP$4,'Sep 2017 HY'!$3:$34,32,0)</f>
        <v>0</v>
      </c>
      <c r="AQ18" s="297">
        <f>+HLOOKUP(AQ$4,'Sep 2017 HY'!$3:$34,32,0)</f>
        <v>0</v>
      </c>
      <c r="AR18" s="297">
        <f>+HLOOKUP(AR$4,'Sep 2017 HY'!$3:$34,32,0)</f>
        <v>0</v>
      </c>
      <c r="AS18" s="297">
        <f>+HLOOKUP(AS$4,'Sep 2017 HY'!$3:$34,32,0)</f>
        <v>0</v>
      </c>
      <c r="AT18" s="297">
        <f>+HLOOKUP(AT$4,'Sep 2017 HY'!$3:$34,32,0)</f>
        <v>0</v>
      </c>
      <c r="AU18" s="297">
        <f>+HLOOKUP(AU$4,'Sep 2017 HY'!$3:$34,32,0)</f>
        <v>0</v>
      </c>
      <c r="AV18" s="297">
        <f>+HLOOKUP(AV$4,'Sep 2017 HY'!$3:$34,32,0)</f>
        <v>0</v>
      </c>
      <c r="AW18" s="297">
        <f>+HLOOKUP(AW$4,'Sep 2017 HY'!$3:$34,32,0)</f>
        <v>0</v>
      </c>
      <c r="AX18" s="298">
        <f>+HLOOKUP(AX$4,'Sep 2017 HY'!$3:$34,32,0)</f>
        <v>0</v>
      </c>
    </row>
    <row r="19" spans="3:53" ht="12.75">
      <c r="C19" s="295" t="s">
        <v>113</v>
      </c>
      <c r="D19" s="171" t="s">
        <v>114</v>
      </c>
      <c r="E19" s="297">
        <f>+HLOOKUP(E$4,'Sep 2017 HY'!$3:$35,33,0)</f>
        <v>0</v>
      </c>
      <c r="F19" s="297">
        <f>+HLOOKUP(F$4,'Sep 2017 HY'!$3:$35,33,0)</f>
        <v>0</v>
      </c>
      <c r="G19" s="297">
        <f>+HLOOKUP(G$4,'Sep 2017 HY'!$3:$35,33,0)</f>
        <v>0</v>
      </c>
      <c r="H19" s="297">
        <f>+HLOOKUP(H$4,'Sep 2017 HY'!$3:$35,33,0)</f>
        <v>0</v>
      </c>
      <c r="I19" s="297">
        <f>+HLOOKUP(I$4,'Sep 2017 HY'!$3:$35,33,0)</f>
        <v>0</v>
      </c>
      <c r="J19" s="297">
        <f>+HLOOKUP(J$4,'Sep 2017 HY'!$3:$35,33,0)</f>
        <v>10.6462</v>
      </c>
      <c r="K19" s="297">
        <f>+HLOOKUP(K$4,'Sep 2017 HY'!$3:$35,33,0)</f>
        <v>0</v>
      </c>
      <c r="L19" s="297">
        <f>+HLOOKUP(L$4,'Sep 2017 HY'!$3:$35,33,0)</f>
        <v>0</v>
      </c>
      <c r="M19" s="297">
        <f>+HLOOKUP(M$4,'Sep 2017 HY'!$3:$35,33,0)</f>
        <v>0</v>
      </c>
      <c r="N19" s="297">
        <f>+HLOOKUP(N$4,'Sep 2017 HY'!$3:$35,33,0)</f>
        <v>0</v>
      </c>
      <c r="O19" s="297">
        <f>+HLOOKUP(O$4,'Sep 2017 HY'!$3:$35,33,0)</f>
        <v>0</v>
      </c>
      <c r="P19" s="297">
        <f>+HLOOKUP(P$4,'Sep 2017 HY'!$3:$35,33,0)</f>
        <v>0</v>
      </c>
      <c r="Q19" s="297">
        <f>+HLOOKUP(Q$4,'Sep 2017 HY'!$3:$35,33,0)</f>
        <v>0</v>
      </c>
      <c r="R19" s="297">
        <f>+HLOOKUP(R$4,'Sep 2017 HY'!$3:$35,33,0)</f>
        <v>0</v>
      </c>
      <c r="S19" s="297">
        <f>+HLOOKUP(S$4,'Sep 2017 HY'!$3:$35,33,0)</f>
        <v>0</v>
      </c>
      <c r="T19" s="297">
        <f>+HLOOKUP(T$4,'Sep 2017 HY'!$3:$35,33,0)</f>
        <v>0</v>
      </c>
      <c r="U19" s="297">
        <f>+HLOOKUP(U$4,'Sep 2017 HY'!$3:$35,33,0)</f>
        <v>0</v>
      </c>
      <c r="V19" s="297">
        <f>+HLOOKUP(V$4,'Sep 2017 HY'!$3:$35,33,0)</f>
        <v>0</v>
      </c>
      <c r="W19" s="297">
        <f>+HLOOKUP(W$4,'Sep 2017 HY'!$3:$35,33,0)</f>
        <v>0</v>
      </c>
      <c r="X19" s="297">
        <f>+'Sep 2017 HY'!X35</f>
        <v>0</v>
      </c>
      <c r="Y19" s="297">
        <f>+'Sep 2017 HY'!Y35</f>
        <v>0</v>
      </c>
      <c r="Z19" s="297">
        <f>+'Sep 2017 HY'!Z35</f>
        <v>0</v>
      </c>
      <c r="AA19" s="297">
        <f>+HLOOKUP(AA$4,'Sep 2017 HY'!$3:$35,33,0)</f>
        <v>0</v>
      </c>
      <c r="AB19" s="297">
        <f>+'Sep 2017 HY'!AB35</f>
        <v>0</v>
      </c>
      <c r="AC19" s="297">
        <f>+'Sep 2017 HY'!AC35</f>
        <v>0</v>
      </c>
      <c r="AD19" s="297">
        <f>+'Sep 2017 HY'!AD35</f>
        <v>0</v>
      </c>
      <c r="AE19" s="297">
        <f>+'Sep 2017 HY'!AE35</f>
        <v>0</v>
      </c>
      <c r="AF19" s="297">
        <f>+'Sep 2017 HY'!AF35</f>
        <v>0</v>
      </c>
      <c r="AG19" s="297">
        <f>+'Sep 2017 HY'!AG35</f>
        <v>0</v>
      </c>
      <c r="AH19" s="297">
        <f>+'Sep 2017 HY'!AH35</f>
        <v>0</v>
      </c>
      <c r="AI19" s="297">
        <f>+'Sep 2017 HY'!AI35</f>
        <v>0</v>
      </c>
      <c r="AJ19" s="297">
        <f>+HLOOKUP(AJ$4,'Sep 2017 HY'!$3:$35,33,0)</f>
        <v>0</v>
      </c>
      <c r="AK19" s="297">
        <f>+HLOOKUP(AK$4,'Sep 2017 HY'!$3:$35,33,0)</f>
        <v>0</v>
      </c>
      <c r="AL19" s="297">
        <f>+HLOOKUP(AL$4,'Sep 2017 HY'!$3:$35,33,0)</f>
        <v>0</v>
      </c>
      <c r="AM19" s="297">
        <f>+HLOOKUP(AM$4,'Sep 2017 HY'!$3:$35,33,0)</f>
        <v>0</v>
      </c>
      <c r="AN19" s="297">
        <f>+HLOOKUP(AN$4,'Sep 2017 HY'!$3:$35,33,0)</f>
        <v>0</v>
      </c>
      <c r="AO19" s="297">
        <f>+HLOOKUP(AO$4,'Sep 2017 HY'!$3:$35,33,0)</f>
        <v>0</v>
      </c>
      <c r="AP19" s="297">
        <f>+HLOOKUP(AP$4,'Sep 2017 HY'!$3:$35,33,0)</f>
        <v>0</v>
      </c>
      <c r="AQ19" s="297">
        <f>+HLOOKUP(AQ$4,'Sep 2017 HY'!$3:$35,33,0)</f>
        <v>0</v>
      </c>
      <c r="AR19" s="297">
        <f>+HLOOKUP(AR$4,'Sep 2017 HY'!$3:$35,33,0)</f>
        <v>0</v>
      </c>
      <c r="AS19" s="297">
        <f>+HLOOKUP(AS$4,'Sep 2017 HY'!$3:$35,33,0)</f>
        <v>0</v>
      </c>
      <c r="AT19" s="297">
        <f>+HLOOKUP(AT$4,'Sep 2017 HY'!$3:$35,33,0)</f>
        <v>0</v>
      </c>
      <c r="AU19" s="297">
        <f>+HLOOKUP(AU$4,'Sep 2017 HY'!$3:$35,33,0)</f>
        <v>0</v>
      </c>
      <c r="AV19" s="297">
        <f>+HLOOKUP(AV$4,'Sep 2017 HY'!$3:$35,33,0)</f>
        <v>0</v>
      </c>
      <c r="AW19" s="297">
        <f>+HLOOKUP(AW$4,'Sep 2017 HY'!$3:$35,33,0)</f>
        <v>0</v>
      </c>
      <c r="AX19" s="298">
        <f>+HLOOKUP(AX$4,'Sep 2017 HY'!$3:$35,33,0)</f>
        <v>0</v>
      </c>
    </row>
    <row r="20" spans="3:53" ht="12.75">
      <c r="C20" s="295" t="s">
        <v>115</v>
      </c>
      <c r="D20" s="171" t="s">
        <v>116</v>
      </c>
      <c r="E20" s="297">
        <f>+HLOOKUP(E$4,'Sep 2017 HY'!$3:$36,34,0)</f>
        <v>0</v>
      </c>
      <c r="F20" s="297">
        <f>+HLOOKUP(F$4,'Sep 2017 HY'!$3:$36,34,0)</f>
        <v>0</v>
      </c>
      <c r="G20" s="297">
        <f>+HLOOKUP(G$4,'Sep 2017 HY'!$3:$36,34,0)</f>
        <v>0</v>
      </c>
      <c r="H20" s="297">
        <f>+HLOOKUP(H$4,'Sep 2017 HY'!$3:$36,34,0)</f>
        <v>0</v>
      </c>
      <c r="I20" s="297">
        <f>+HLOOKUP(I$4,'Sep 2017 HY'!$3:$36,34,0)</f>
        <v>0</v>
      </c>
      <c r="J20" s="297">
        <f>+HLOOKUP(J$4,'Sep 2017 HY'!$3:$36,34,0)</f>
        <v>11.5512</v>
      </c>
      <c r="K20" s="297">
        <f>+HLOOKUP(K$4,'Sep 2017 HY'!$3:$36,34,0)</f>
        <v>0</v>
      </c>
      <c r="L20" s="297">
        <f>+HLOOKUP(L$4,'Sep 2017 HY'!$3:$36,34,0)</f>
        <v>0</v>
      </c>
      <c r="M20" s="297">
        <f>+HLOOKUP(M$4,'Sep 2017 HY'!$3:$36,34,0)</f>
        <v>0</v>
      </c>
      <c r="N20" s="297">
        <f>+HLOOKUP(N$4,'Sep 2017 HY'!$3:$36,34,0)</f>
        <v>0</v>
      </c>
      <c r="O20" s="297">
        <f>+HLOOKUP(O$4,'Sep 2017 HY'!$3:$36,34,0)</f>
        <v>0</v>
      </c>
      <c r="P20" s="297">
        <f>+HLOOKUP(P$4,'Sep 2017 HY'!$3:$36,34,0)</f>
        <v>0</v>
      </c>
      <c r="Q20" s="297">
        <f>+HLOOKUP(Q$4,'Sep 2017 HY'!$3:$36,34,0)</f>
        <v>0</v>
      </c>
      <c r="R20" s="297">
        <f>+HLOOKUP(R$4,'Sep 2017 HY'!$3:$36,34,0)</f>
        <v>0</v>
      </c>
      <c r="S20" s="297">
        <f>+HLOOKUP(S$4,'Sep 2017 HY'!$3:$36,34,0)</f>
        <v>0</v>
      </c>
      <c r="T20" s="297">
        <f>+HLOOKUP(T$4,'Sep 2017 HY'!$3:$36,34,0)</f>
        <v>0</v>
      </c>
      <c r="U20" s="297">
        <f>+HLOOKUP(U$4,'Sep 2017 HY'!$3:$36,34,0)</f>
        <v>0</v>
      </c>
      <c r="V20" s="297">
        <f>+HLOOKUP(V$4,'Sep 2017 HY'!$3:$36,34,0)</f>
        <v>0</v>
      </c>
      <c r="W20" s="297">
        <f>+HLOOKUP(W$4,'Sep 2017 HY'!$3:$36,34,0)</f>
        <v>0</v>
      </c>
      <c r="X20" s="297">
        <f>+'Sep 2017 HY'!X36</f>
        <v>0</v>
      </c>
      <c r="Y20" s="297">
        <f>+'Sep 2017 HY'!Y36</f>
        <v>0</v>
      </c>
      <c r="Z20" s="297">
        <f>+'Sep 2017 HY'!Z36</f>
        <v>0</v>
      </c>
      <c r="AA20" s="297">
        <f>+HLOOKUP(AA$4,'Sep 2017 HY'!$3:$36,34,0)</f>
        <v>0</v>
      </c>
      <c r="AB20" s="297">
        <f>+'Sep 2017 HY'!AB36</f>
        <v>0</v>
      </c>
      <c r="AC20" s="297">
        <f>+'Sep 2017 HY'!AC36</f>
        <v>0</v>
      </c>
      <c r="AD20" s="297">
        <f>+'Sep 2017 HY'!AD36</f>
        <v>0</v>
      </c>
      <c r="AE20" s="297">
        <f>+'Sep 2017 HY'!AE36</f>
        <v>0</v>
      </c>
      <c r="AF20" s="297">
        <f>+'Sep 2017 HY'!AF36</f>
        <v>0</v>
      </c>
      <c r="AG20" s="297">
        <f>+'Sep 2017 HY'!AG36</f>
        <v>0</v>
      </c>
      <c r="AH20" s="297">
        <f>+'Sep 2017 HY'!AH36</f>
        <v>0</v>
      </c>
      <c r="AI20" s="297">
        <f>+'Sep 2017 HY'!AI36</f>
        <v>0</v>
      </c>
      <c r="AJ20" s="297">
        <f>+HLOOKUP(AJ$4,'Sep 2017 HY'!$3:$36,34,0)</f>
        <v>0</v>
      </c>
      <c r="AK20" s="297">
        <f>+HLOOKUP(AK$4,'Sep 2017 HY'!$3:$36,34,0)</f>
        <v>0</v>
      </c>
      <c r="AL20" s="297">
        <f>+HLOOKUP(AL$4,'Sep 2017 HY'!$3:$36,34,0)</f>
        <v>0</v>
      </c>
      <c r="AM20" s="297">
        <f>+HLOOKUP(AM$4,'Sep 2017 HY'!$3:$36,34,0)</f>
        <v>0</v>
      </c>
      <c r="AN20" s="297">
        <f>+HLOOKUP(AN$4,'Sep 2017 HY'!$3:$36,34,0)</f>
        <v>0</v>
      </c>
      <c r="AO20" s="297">
        <f>+HLOOKUP(AO$4,'Sep 2017 HY'!$3:$36,34,0)</f>
        <v>0</v>
      </c>
      <c r="AP20" s="297">
        <f>+HLOOKUP(AP$4,'Sep 2017 HY'!$3:$36,34,0)</f>
        <v>0</v>
      </c>
      <c r="AQ20" s="297">
        <f>+HLOOKUP(AQ$4,'Sep 2017 HY'!$3:$36,34,0)</f>
        <v>0</v>
      </c>
      <c r="AR20" s="297">
        <f>+HLOOKUP(AR$4,'Sep 2017 HY'!$3:$36,34,0)</f>
        <v>0</v>
      </c>
      <c r="AS20" s="297">
        <f>+HLOOKUP(AS$4,'Sep 2017 HY'!$3:$36,34,0)</f>
        <v>0</v>
      </c>
      <c r="AT20" s="297">
        <f>+HLOOKUP(AT$4,'Sep 2017 HY'!$3:$36,34,0)</f>
        <v>0</v>
      </c>
      <c r="AU20" s="297">
        <f>+HLOOKUP(AU$4,'Sep 2017 HY'!$3:$36,34,0)</f>
        <v>0</v>
      </c>
      <c r="AV20" s="297">
        <f>+HLOOKUP(AV$4,'Sep 2017 HY'!$3:$36,34,0)</f>
        <v>0</v>
      </c>
      <c r="AW20" s="297">
        <f>+HLOOKUP(AW$4,'Sep 2017 HY'!$3:$36,34,0)</f>
        <v>0</v>
      </c>
      <c r="AX20" s="298">
        <f>+HLOOKUP(AX$4,'Sep 2017 HY'!$3:$36,34,0)</f>
        <v>0</v>
      </c>
    </row>
    <row r="21" spans="3:53" ht="12.75">
      <c r="C21" s="295" t="s">
        <v>117</v>
      </c>
      <c r="D21" s="171" t="s">
        <v>118</v>
      </c>
      <c r="E21" s="297">
        <f>+HLOOKUP(E$4,'Sep 2017 HY'!$3:$37,35,0)</f>
        <v>0</v>
      </c>
      <c r="F21" s="297">
        <f>+HLOOKUP(F$4,'Sep 2017 HY'!$3:$37,35,0)</f>
        <v>0</v>
      </c>
      <c r="G21" s="297">
        <f>+HLOOKUP(G$4,'Sep 2017 HY'!$3:$37,35,0)</f>
        <v>0</v>
      </c>
      <c r="H21" s="297">
        <f>+HLOOKUP(H$4,'Sep 2017 HY'!$3:$37,35,0)</f>
        <v>0</v>
      </c>
      <c r="I21" s="297">
        <f>+HLOOKUP(I$4,'Sep 2017 HY'!$3:$37,35,0)</f>
        <v>0</v>
      </c>
      <c r="J21" s="297">
        <f>+HLOOKUP(J$4,'Sep 2017 HY'!$3:$37,35,0)</f>
        <v>10.5863</v>
      </c>
      <c r="K21" s="297">
        <f>+HLOOKUP(K$4,'Sep 2017 HY'!$3:$37,35,0)</f>
        <v>0</v>
      </c>
      <c r="L21" s="297">
        <f>+HLOOKUP(L$4,'Sep 2017 HY'!$3:$37,35,0)</f>
        <v>0</v>
      </c>
      <c r="M21" s="297">
        <f>+HLOOKUP(M$4,'Sep 2017 HY'!$3:$37,35,0)</f>
        <v>0</v>
      </c>
      <c r="N21" s="297">
        <f>+HLOOKUP(N$4,'Sep 2017 HY'!$3:$37,35,0)</f>
        <v>0</v>
      </c>
      <c r="O21" s="297">
        <f>+HLOOKUP(O$4,'Sep 2017 HY'!$3:$37,35,0)</f>
        <v>0</v>
      </c>
      <c r="P21" s="297">
        <f>+HLOOKUP(P$4,'Sep 2017 HY'!$3:$37,35,0)</f>
        <v>0</v>
      </c>
      <c r="Q21" s="297">
        <f>+HLOOKUP(Q$4,'Sep 2017 HY'!$3:$37,35,0)</f>
        <v>13.965999999999999</v>
      </c>
      <c r="R21" s="297">
        <f>+HLOOKUP(R$4,'Sep 2017 HY'!$3:$37,35,0)</f>
        <v>10.2181</v>
      </c>
      <c r="S21" s="297">
        <f>+HLOOKUP(S$4,'Sep 2017 HY'!$3:$37,35,0)</f>
        <v>0</v>
      </c>
      <c r="T21" s="297">
        <f>+HLOOKUP(T$4,'Sep 2017 HY'!$3:$37,35,0)</f>
        <v>0</v>
      </c>
      <c r="U21" s="297">
        <f>+HLOOKUP(U$4,'Sep 2017 HY'!$3:$37,35,0)</f>
        <v>0</v>
      </c>
      <c r="V21" s="297">
        <f>+HLOOKUP(V$4,'Sep 2017 HY'!$3:$37,35,0)</f>
        <v>0</v>
      </c>
      <c r="W21" s="297">
        <f>+HLOOKUP(W$4,'Sep 2017 HY'!$3:$37,35,0)</f>
        <v>0</v>
      </c>
      <c r="X21" s="297">
        <f>+'Sep 2017 HY'!X37</f>
        <v>0</v>
      </c>
      <c r="Y21" s="297">
        <f>+'Sep 2017 HY'!Y37</f>
        <v>0</v>
      </c>
      <c r="Z21" s="297">
        <f>+'Sep 2017 HY'!Z37</f>
        <v>0</v>
      </c>
      <c r="AA21" s="297">
        <f>+HLOOKUP(AA$4,'Sep 2017 HY'!$3:$37,35,0)</f>
        <v>0</v>
      </c>
      <c r="AB21" s="297">
        <f>+'Sep 2017 HY'!AB37</f>
        <v>0</v>
      </c>
      <c r="AC21" s="297">
        <f>+'Sep 2017 HY'!AC37</f>
        <v>0</v>
      </c>
      <c r="AD21" s="297">
        <f>+'Sep 2017 HY'!AD37</f>
        <v>0</v>
      </c>
      <c r="AE21" s="297">
        <f>+'Sep 2017 HY'!AE37</f>
        <v>0</v>
      </c>
      <c r="AF21" s="297">
        <f>+'Sep 2017 HY'!AF37</f>
        <v>0</v>
      </c>
      <c r="AG21" s="297">
        <f>+'Sep 2017 HY'!AG37</f>
        <v>0</v>
      </c>
      <c r="AH21" s="297">
        <f>+'Sep 2017 HY'!AH37</f>
        <v>0</v>
      </c>
      <c r="AI21" s="297">
        <f>+'Sep 2017 HY'!AI37</f>
        <v>0</v>
      </c>
      <c r="AJ21" s="297">
        <f>+HLOOKUP(AJ$4,'Sep 2017 HY'!$3:$37,35,0)</f>
        <v>0</v>
      </c>
      <c r="AK21" s="297">
        <f>+HLOOKUP(AK$4,'Sep 2017 HY'!$3:$37,35,0)</f>
        <v>0</v>
      </c>
      <c r="AL21" s="297">
        <f>+HLOOKUP(AL$4,'Sep 2017 HY'!$3:$37,35,0)</f>
        <v>0</v>
      </c>
      <c r="AM21" s="297">
        <f>+HLOOKUP(AM$4,'Sep 2017 HY'!$3:$37,35,0)</f>
        <v>0</v>
      </c>
      <c r="AN21" s="297">
        <f>+HLOOKUP(AN$4,'Sep 2017 HY'!$3:$37,35,0)</f>
        <v>0</v>
      </c>
      <c r="AO21" s="297">
        <f>+HLOOKUP(AO$4,'Sep 2017 HY'!$3:$37,35,0)</f>
        <v>0</v>
      </c>
      <c r="AP21" s="297">
        <f>+HLOOKUP(AP$4,'Sep 2017 HY'!$3:$37,35,0)</f>
        <v>0</v>
      </c>
      <c r="AQ21" s="297">
        <f>+HLOOKUP(AQ$4,'Sep 2017 HY'!$3:$37,35,0)</f>
        <v>0</v>
      </c>
      <c r="AR21" s="297">
        <f>+HLOOKUP(AR$4,'Sep 2017 HY'!$3:$37,35,0)</f>
        <v>0</v>
      </c>
      <c r="AS21" s="297">
        <f>+HLOOKUP(AS$4,'Sep 2017 HY'!$3:$37,35,0)</f>
        <v>0</v>
      </c>
      <c r="AT21" s="297">
        <f>+HLOOKUP(AT$4,'Sep 2017 HY'!$3:$37,35,0)</f>
        <v>0</v>
      </c>
      <c r="AU21" s="297">
        <f>+HLOOKUP(AU$4,'Sep 2017 HY'!$3:$37,35,0)</f>
        <v>0</v>
      </c>
      <c r="AV21" s="297">
        <f>+HLOOKUP(AV$4,'Sep 2017 HY'!$3:$37,35,0)</f>
        <v>0</v>
      </c>
      <c r="AW21" s="297">
        <f>+HLOOKUP(AW$4,'Sep 2017 HY'!$3:$37,35,0)</f>
        <v>0</v>
      </c>
      <c r="AX21" s="298">
        <f>+HLOOKUP(AX$4,'Sep 2017 HY'!$3:$37,35,0)</f>
        <v>0</v>
      </c>
    </row>
    <row r="22" spans="3:53" ht="12.75">
      <c r="C22" s="295" t="s">
        <v>119</v>
      </c>
      <c r="D22" s="171" t="s">
        <v>120</v>
      </c>
      <c r="E22" s="297">
        <f>+HLOOKUP(E$4,'Sep 2017 HY'!$3:$38,36,0)</f>
        <v>0</v>
      </c>
      <c r="F22" s="297">
        <f>+HLOOKUP(F$4,'Sep 2017 HY'!$3:$38,36,0)</f>
        <v>0</v>
      </c>
      <c r="G22" s="297">
        <f>+HLOOKUP(G$4,'Sep 2017 HY'!$3:$38,36,0)</f>
        <v>0</v>
      </c>
      <c r="H22" s="297">
        <f>+HLOOKUP(H$4,'Sep 2017 HY'!$3:$38,36,0)</f>
        <v>0</v>
      </c>
      <c r="I22" s="297">
        <f>+HLOOKUP(I$4,'Sep 2017 HY'!$3:$38,36,0)</f>
        <v>0</v>
      </c>
      <c r="J22" s="297">
        <f>+HLOOKUP(J$4,'Sep 2017 HY'!$3:$38,36,0)</f>
        <v>11.069800000000001</v>
      </c>
      <c r="K22" s="297">
        <f>+HLOOKUP(K$4,'Sep 2017 HY'!$3:$38,36,0)</f>
        <v>0</v>
      </c>
      <c r="L22" s="297">
        <f>+HLOOKUP(L$4,'Sep 2017 HY'!$3:$38,36,0)</f>
        <v>0</v>
      </c>
      <c r="M22" s="297">
        <f>+HLOOKUP(M$4,'Sep 2017 HY'!$3:$38,36,0)</f>
        <v>0</v>
      </c>
      <c r="N22" s="297">
        <f>+HLOOKUP(N$4,'Sep 2017 HY'!$3:$38,36,0)</f>
        <v>0</v>
      </c>
      <c r="O22" s="297">
        <f>+HLOOKUP(O$4,'Sep 2017 HY'!$3:$38,36,0)</f>
        <v>0</v>
      </c>
      <c r="P22" s="297">
        <f>+HLOOKUP(P$4,'Sep 2017 HY'!$3:$38,36,0)</f>
        <v>0</v>
      </c>
      <c r="Q22" s="297">
        <f>+HLOOKUP(Q$4,'Sep 2017 HY'!$3:$38,36,0)</f>
        <v>0</v>
      </c>
      <c r="R22" s="297">
        <f>+HLOOKUP(R$4,'Sep 2017 HY'!$3:$38,36,0)</f>
        <v>0</v>
      </c>
      <c r="S22" s="297">
        <f>+HLOOKUP(S$4,'Sep 2017 HY'!$3:$38,36,0)</f>
        <v>0</v>
      </c>
      <c r="T22" s="297">
        <f>+HLOOKUP(T$4,'Sep 2017 HY'!$3:$38,36,0)</f>
        <v>0</v>
      </c>
      <c r="U22" s="297">
        <f>+HLOOKUP(U$4,'Sep 2017 HY'!$3:$38,36,0)</f>
        <v>0</v>
      </c>
      <c r="V22" s="297">
        <f>+HLOOKUP(V$4,'Sep 2017 HY'!$3:$38,36,0)</f>
        <v>0</v>
      </c>
      <c r="W22" s="297">
        <f>+HLOOKUP(W$4,'Sep 2017 HY'!$3:$38,36,0)</f>
        <v>0</v>
      </c>
      <c r="X22" s="297">
        <f>+'Sep 2017 HY'!X38</f>
        <v>0</v>
      </c>
      <c r="Y22" s="297">
        <f>+'Sep 2017 HY'!Y38</f>
        <v>0</v>
      </c>
      <c r="Z22" s="297">
        <f>+'Sep 2017 HY'!Z38</f>
        <v>0</v>
      </c>
      <c r="AA22" s="297">
        <f>+HLOOKUP(AA$4,'Sep 2017 HY'!$3:$38,36,0)</f>
        <v>0</v>
      </c>
      <c r="AB22" s="297">
        <f>+'Sep 2017 HY'!AB38</f>
        <v>0</v>
      </c>
      <c r="AC22" s="297">
        <f>+'Sep 2017 HY'!AC38</f>
        <v>0</v>
      </c>
      <c r="AD22" s="297">
        <f>+'Sep 2017 HY'!AD38</f>
        <v>0</v>
      </c>
      <c r="AE22" s="297">
        <f>+'Sep 2017 HY'!AE38</f>
        <v>0</v>
      </c>
      <c r="AF22" s="297">
        <f>+'Sep 2017 HY'!AF38</f>
        <v>0</v>
      </c>
      <c r="AG22" s="297">
        <f>+'Sep 2017 HY'!AG38</f>
        <v>0</v>
      </c>
      <c r="AH22" s="297">
        <f>+'Sep 2017 HY'!AH38</f>
        <v>0</v>
      </c>
      <c r="AI22" s="297">
        <f>+'Sep 2017 HY'!AI38</f>
        <v>0</v>
      </c>
      <c r="AJ22" s="297">
        <f>+HLOOKUP(AJ$4,'Sep 2017 HY'!$3:$38,36,0)</f>
        <v>0</v>
      </c>
      <c r="AK22" s="297">
        <f>+HLOOKUP(AK$4,'Sep 2017 HY'!$3:$38,36,0)</f>
        <v>0</v>
      </c>
      <c r="AL22" s="297">
        <f>+HLOOKUP(AL$4,'Sep 2017 HY'!$3:$38,36,0)</f>
        <v>0</v>
      </c>
      <c r="AM22" s="297">
        <f>+HLOOKUP(AM$4,'Sep 2017 HY'!$3:$38,36,0)</f>
        <v>0</v>
      </c>
      <c r="AN22" s="297">
        <f>+HLOOKUP(AN$4,'Sep 2017 HY'!$3:$38,36,0)</f>
        <v>0</v>
      </c>
      <c r="AO22" s="297">
        <f>+HLOOKUP(AO$4,'Sep 2017 HY'!$3:$38,36,0)</f>
        <v>0</v>
      </c>
      <c r="AP22" s="297">
        <f>+HLOOKUP(AP$4,'Sep 2017 HY'!$3:$38,36,0)</f>
        <v>0</v>
      </c>
      <c r="AQ22" s="297">
        <f>+HLOOKUP(AQ$4,'Sep 2017 HY'!$3:$38,36,0)</f>
        <v>0</v>
      </c>
      <c r="AR22" s="297">
        <f>+HLOOKUP(AR$4,'Sep 2017 HY'!$3:$38,36,0)</f>
        <v>0</v>
      </c>
      <c r="AS22" s="297">
        <f>+HLOOKUP(AS$4,'Sep 2017 HY'!$3:$38,36,0)</f>
        <v>0</v>
      </c>
      <c r="AT22" s="297">
        <f>+HLOOKUP(AT$4,'Sep 2017 HY'!$3:$38,36,0)</f>
        <v>0</v>
      </c>
      <c r="AU22" s="297">
        <f>+HLOOKUP(AU$4,'Sep 2017 HY'!$3:$38,36,0)</f>
        <v>0</v>
      </c>
      <c r="AV22" s="297">
        <f>+HLOOKUP(AV$4,'Sep 2017 HY'!$3:$38,36,0)</f>
        <v>0</v>
      </c>
      <c r="AW22" s="297">
        <f>+HLOOKUP(AW$4,'Sep 2017 HY'!$3:$38,36,0)</f>
        <v>0</v>
      </c>
      <c r="AX22" s="298">
        <f>+HLOOKUP(AX$4,'Sep 2017 HY'!$3:$38,36,0)</f>
        <v>0</v>
      </c>
    </row>
    <row r="23" spans="3:53" ht="12.75">
      <c r="C23" s="295" t="s">
        <v>121</v>
      </c>
      <c r="D23" s="171" t="s">
        <v>122</v>
      </c>
      <c r="E23" s="297">
        <f>+HLOOKUP(E$4,'Sep 2017 HY'!$3:$39,37,0)</f>
        <v>0</v>
      </c>
      <c r="F23" s="297">
        <f>+HLOOKUP(F$4,'Sep 2017 HY'!$3:$39,37,0)</f>
        <v>0</v>
      </c>
      <c r="G23" s="297">
        <f>+HLOOKUP(G$4,'Sep 2017 HY'!$3:$39,37,0)</f>
        <v>0</v>
      </c>
      <c r="H23" s="297">
        <f>+HLOOKUP(H$4,'Sep 2017 HY'!$3:$39,37,0)</f>
        <v>0</v>
      </c>
      <c r="I23" s="297">
        <f>+HLOOKUP(I$4,'Sep 2017 HY'!$3:$39,37,0)</f>
        <v>0</v>
      </c>
      <c r="J23" s="297">
        <f>+HLOOKUP(J$4,'Sep 2017 HY'!$3:$39,37,0)</f>
        <v>11.917400000000001</v>
      </c>
      <c r="K23" s="297">
        <f>+HLOOKUP(K$4,'Sep 2017 HY'!$3:$39,37,0)</f>
        <v>0</v>
      </c>
      <c r="L23" s="297">
        <f>+HLOOKUP(L$4,'Sep 2017 HY'!$3:$39,37,0)</f>
        <v>0</v>
      </c>
      <c r="M23" s="297">
        <f>+HLOOKUP(M$4,'Sep 2017 HY'!$3:$39,37,0)</f>
        <v>0</v>
      </c>
      <c r="N23" s="297">
        <f>+HLOOKUP(N$4,'Sep 2017 HY'!$3:$39,37,0)</f>
        <v>0</v>
      </c>
      <c r="O23" s="297">
        <f>+HLOOKUP(O$4,'Sep 2017 HY'!$3:$39,37,0)</f>
        <v>0</v>
      </c>
      <c r="P23" s="297">
        <f>+HLOOKUP(P$4,'Sep 2017 HY'!$3:$39,37,0)</f>
        <v>0</v>
      </c>
      <c r="Q23" s="297">
        <f>+HLOOKUP(Q$4,'Sep 2017 HY'!$3:$39,37,0)</f>
        <v>0</v>
      </c>
      <c r="R23" s="297">
        <f>+HLOOKUP(R$4,'Sep 2017 HY'!$3:$39,37,0)</f>
        <v>0</v>
      </c>
      <c r="S23" s="297">
        <f>+HLOOKUP(S$4,'Sep 2017 HY'!$3:$39,37,0)</f>
        <v>0</v>
      </c>
      <c r="T23" s="297">
        <f>+HLOOKUP(T$4,'Sep 2017 HY'!$3:$39,37,0)</f>
        <v>0</v>
      </c>
      <c r="U23" s="297">
        <f>+HLOOKUP(U$4,'Sep 2017 HY'!$3:$39,37,0)</f>
        <v>0</v>
      </c>
      <c r="V23" s="297">
        <f>+HLOOKUP(V$4,'Sep 2017 HY'!$3:$39,37,0)</f>
        <v>0</v>
      </c>
      <c r="W23" s="297">
        <f>+HLOOKUP(W$4,'Sep 2017 HY'!$3:$39,37,0)</f>
        <v>0</v>
      </c>
      <c r="X23" s="297">
        <f>+'Sep 2017 HY'!X39</f>
        <v>0</v>
      </c>
      <c r="Y23" s="297">
        <f>+'Sep 2017 HY'!Y39</f>
        <v>0</v>
      </c>
      <c r="Z23" s="297">
        <f>+'Sep 2017 HY'!Z39</f>
        <v>0</v>
      </c>
      <c r="AA23" s="297">
        <f>+HLOOKUP(AA$4,'Sep 2017 HY'!$3:$39,37,0)</f>
        <v>0</v>
      </c>
      <c r="AB23" s="297">
        <f>+'Sep 2017 HY'!AB39</f>
        <v>0</v>
      </c>
      <c r="AC23" s="297">
        <f>+'Sep 2017 HY'!AC39</f>
        <v>0</v>
      </c>
      <c r="AD23" s="297">
        <f>+'Sep 2017 HY'!AD39</f>
        <v>0</v>
      </c>
      <c r="AE23" s="297">
        <f>+'Sep 2017 HY'!AE39</f>
        <v>0</v>
      </c>
      <c r="AF23" s="297">
        <f>+'Sep 2017 HY'!AF39</f>
        <v>0</v>
      </c>
      <c r="AG23" s="297">
        <f>+'Sep 2017 HY'!AG39</f>
        <v>0</v>
      </c>
      <c r="AH23" s="297">
        <f>+'Sep 2017 HY'!AH39</f>
        <v>0</v>
      </c>
      <c r="AI23" s="297">
        <f>+'Sep 2017 HY'!AI39</f>
        <v>0</v>
      </c>
      <c r="AJ23" s="297">
        <f>+HLOOKUP(AJ$4,'Sep 2017 HY'!$3:$39,37,0)</f>
        <v>0</v>
      </c>
      <c r="AK23" s="297">
        <f>+HLOOKUP(AK$4,'Sep 2017 HY'!$3:$39,37,0)</f>
        <v>0</v>
      </c>
      <c r="AL23" s="297">
        <f>+HLOOKUP(AL$4,'Sep 2017 HY'!$3:$39,37,0)</f>
        <v>0</v>
      </c>
      <c r="AM23" s="297">
        <f>+HLOOKUP(AM$4,'Sep 2017 HY'!$3:$39,37,0)</f>
        <v>0</v>
      </c>
      <c r="AN23" s="297">
        <f>+HLOOKUP(AN$4,'Sep 2017 HY'!$3:$39,37,0)</f>
        <v>0</v>
      </c>
      <c r="AO23" s="297">
        <f>+HLOOKUP(AO$4,'Sep 2017 HY'!$3:$39,37,0)</f>
        <v>0</v>
      </c>
      <c r="AP23" s="297">
        <f>+HLOOKUP(AP$4,'Sep 2017 HY'!$3:$39,37,0)</f>
        <v>0</v>
      </c>
      <c r="AQ23" s="297">
        <f>+HLOOKUP(AQ$4,'Sep 2017 HY'!$3:$39,37,0)</f>
        <v>0</v>
      </c>
      <c r="AR23" s="297">
        <f>+HLOOKUP(AR$4,'Sep 2017 HY'!$3:$39,37,0)</f>
        <v>0</v>
      </c>
      <c r="AS23" s="297">
        <f>+HLOOKUP(AS$4,'Sep 2017 HY'!$3:$39,37,0)</f>
        <v>0</v>
      </c>
      <c r="AT23" s="297">
        <f>+HLOOKUP(AT$4,'Sep 2017 HY'!$3:$39,37,0)</f>
        <v>0</v>
      </c>
      <c r="AU23" s="297">
        <f>+HLOOKUP(AU$4,'Sep 2017 HY'!$3:$39,37,0)</f>
        <v>0</v>
      </c>
      <c r="AV23" s="297">
        <f>+HLOOKUP(AV$4,'Sep 2017 HY'!$3:$39,37,0)</f>
        <v>0</v>
      </c>
      <c r="AW23" s="297">
        <f>+HLOOKUP(AW$4,'Sep 2017 HY'!$3:$39,37,0)</f>
        <v>0</v>
      </c>
      <c r="AX23" s="298">
        <f>+HLOOKUP(AX$4,'Sep 2017 HY'!$3:$39,37,0)</f>
        <v>0</v>
      </c>
    </row>
    <row r="24" spans="3:53" ht="12.75">
      <c r="C24" s="295" t="s">
        <v>123</v>
      </c>
      <c r="D24" s="171" t="s">
        <v>124</v>
      </c>
      <c r="E24" s="297">
        <f>+HLOOKUP(E$4,'Sep 2017 HY'!$3:$40,38,0)</f>
        <v>0</v>
      </c>
      <c r="F24" s="297">
        <f>+HLOOKUP(F$4,'Sep 2017 HY'!$3:$40,38,0)</f>
        <v>0</v>
      </c>
      <c r="G24" s="297">
        <f>+HLOOKUP(G$4,'Sep 2017 HY'!$3:$40,38,0)</f>
        <v>0</v>
      </c>
      <c r="H24" s="297">
        <f>+HLOOKUP(H$4,'Sep 2017 HY'!$3:$40,38,0)</f>
        <v>0</v>
      </c>
      <c r="I24" s="297">
        <f>+HLOOKUP(I$4,'Sep 2017 HY'!$3:$40,38,0)</f>
        <v>0</v>
      </c>
      <c r="J24" s="297">
        <f>+HLOOKUP(J$4,'Sep 2017 HY'!$3:$40,38,0)</f>
        <v>0</v>
      </c>
      <c r="K24" s="297">
        <f>+HLOOKUP(K$4,'Sep 2017 HY'!$3:$40,38,0)</f>
        <v>0</v>
      </c>
      <c r="L24" s="297">
        <f>+HLOOKUP(L$4,'Sep 2017 HY'!$3:$40,38,0)</f>
        <v>13.805</v>
      </c>
      <c r="M24" s="297">
        <f>+HLOOKUP(M$4,'Sep 2017 HY'!$3:$40,38,0)</f>
        <v>0</v>
      </c>
      <c r="N24" s="297">
        <f>+HLOOKUP(N$4,'Sep 2017 HY'!$3:$40,38,0)</f>
        <v>0</v>
      </c>
      <c r="O24" s="297">
        <f>+HLOOKUP(O$4,'Sep 2017 HY'!$3:$40,38,0)</f>
        <v>0</v>
      </c>
      <c r="P24" s="297">
        <f>+HLOOKUP(P$4,'Sep 2017 HY'!$3:$40,38,0)</f>
        <v>0</v>
      </c>
      <c r="Q24" s="297">
        <f>+HLOOKUP(Q$4,'Sep 2017 HY'!$3:$40,38,0)</f>
        <v>0</v>
      </c>
      <c r="R24" s="297">
        <f>+HLOOKUP(R$4,'Sep 2017 HY'!$3:$40,38,0)</f>
        <v>0</v>
      </c>
      <c r="S24" s="297">
        <f>+HLOOKUP(S$4,'Sep 2017 HY'!$3:$40,38,0)</f>
        <v>0</v>
      </c>
      <c r="T24" s="297">
        <f>+HLOOKUP(T$4,'Sep 2017 HY'!$3:$40,38,0)</f>
        <v>0</v>
      </c>
      <c r="U24" s="297">
        <f>+HLOOKUP(U$4,'Sep 2017 HY'!$3:$40,38,0)</f>
        <v>0</v>
      </c>
      <c r="V24" s="297">
        <f>+HLOOKUP(V$4,'Sep 2017 HY'!$3:$40,38,0)</f>
        <v>0</v>
      </c>
      <c r="W24" s="297">
        <f>+HLOOKUP(W$4,'Sep 2017 HY'!$3:$40,38,0)</f>
        <v>0</v>
      </c>
      <c r="X24" s="297">
        <f>+'Sep 2017 HY'!X40</f>
        <v>0</v>
      </c>
      <c r="Y24" s="297">
        <f>+'Sep 2017 HY'!Y40</f>
        <v>0</v>
      </c>
      <c r="Z24" s="297">
        <f>+'Sep 2017 HY'!Z40</f>
        <v>0</v>
      </c>
      <c r="AA24" s="297">
        <f>+HLOOKUP(AA$4,'Sep 2017 HY'!$3:$40,38,0)</f>
        <v>0</v>
      </c>
      <c r="AB24" s="297">
        <f>+'Sep 2017 HY'!AB40</f>
        <v>0</v>
      </c>
      <c r="AC24" s="297">
        <f>+'Sep 2017 HY'!AC40</f>
        <v>0</v>
      </c>
      <c r="AD24" s="297">
        <f>+'Sep 2017 HY'!AD40</f>
        <v>0</v>
      </c>
      <c r="AE24" s="297">
        <f>+'Sep 2017 HY'!AE40</f>
        <v>0</v>
      </c>
      <c r="AF24" s="297">
        <f>+'Sep 2017 HY'!AF40</f>
        <v>0</v>
      </c>
      <c r="AG24" s="297">
        <f>+'Sep 2017 HY'!AG40</f>
        <v>0</v>
      </c>
      <c r="AH24" s="297">
        <f>+'Sep 2017 HY'!AH40</f>
        <v>0</v>
      </c>
      <c r="AI24" s="297">
        <f>+'Sep 2017 HY'!AI40</f>
        <v>0</v>
      </c>
      <c r="AJ24" s="297">
        <f>+HLOOKUP(AJ$4,'Sep 2017 HY'!$3:$40,38,0)</f>
        <v>0</v>
      </c>
      <c r="AK24" s="297">
        <f>+HLOOKUP(AK$4,'Sep 2017 HY'!$3:$40,38,0)</f>
        <v>0</v>
      </c>
      <c r="AL24" s="297">
        <f>+HLOOKUP(AL$4,'Sep 2017 HY'!$3:$40,38,0)</f>
        <v>0</v>
      </c>
      <c r="AM24" s="297">
        <f>+HLOOKUP(AM$4,'Sep 2017 HY'!$3:$40,38,0)</f>
        <v>0</v>
      </c>
      <c r="AN24" s="297">
        <f>+HLOOKUP(AN$4,'Sep 2017 HY'!$3:$40,38,0)</f>
        <v>0</v>
      </c>
      <c r="AO24" s="297">
        <f>+HLOOKUP(AO$4,'Sep 2017 HY'!$3:$40,38,0)</f>
        <v>0</v>
      </c>
      <c r="AP24" s="297">
        <f>+HLOOKUP(AP$4,'Sep 2017 HY'!$3:$40,38,0)</f>
        <v>0</v>
      </c>
      <c r="AQ24" s="297">
        <f>+HLOOKUP(AQ$4,'Sep 2017 HY'!$3:$40,38,0)</f>
        <v>0</v>
      </c>
      <c r="AR24" s="297">
        <f>+HLOOKUP(AR$4,'Sep 2017 HY'!$3:$40,38,0)</f>
        <v>0</v>
      </c>
      <c r="AS24" s="297">
        <f>+HLOOKUP(AS$4,'Sep 2017 HY'!$3:$40,38,0)</f>
        <v>0</v>
      </c>
      <c r="AT24" s="297">
        <f>+HLOOKUP(AT$4,'Sep 2017 HY'!$3:$40,38,0)</f>
        <v>0</v>
      </c>
      <c r="AU24" s="297">
        <f>+HLOOKUP(AU$4,'Sep 2017 HY'!$3:$40,38,0)</f>
        <v>0</v>
      </c>
      <c r="AV24" s="297">
        <f>+HLOOKUP(AV$4,'Sep 2017 HY'!$3:$40,38,0)</f>
        <v>0</v>
      </c>
      <c r="AW24" s="297">
        <f>+HLOOKUP(AW$4,'Sep 2017 HY'!$3:$40,38,0)</f>
        <v>0</v>
      </c>
      <c r="AX24" s="298">
        <f>+HLOOKUP(AX$4,'Sep 2017 HY'!$3:$40,38,0)</f>
        <v>0</v>
      </c>
    </row>
    <row r="25" spans="3:53" ht="12.75">
      <c r="C25" s="295" t="s">
        <v>125</v>
      </c>
      <c r="D25" s="171" t="s">
        <v>126</v>
      </c>
      <c r="E25" s="297">
        <f>+HLOOKUP(E$4,'Sep 2017 HY'!$3:$41,39,0)</f>
        <v>0</v>
      </c>
      <c r="F25" s="297">
        <f>+HLOOKUP(F$4,'Sep 2017 HY'!$3:$41,39,0)</f>
        <v>0</v>
      </c>
      <c r="G25" s="297">
        <f>+HLOOKUP(G$4,'Sep 2017 HY'!$3:$41,39,0)</f>
        <v>0</v>
      </c>
      <c r="H25" s="297">
        <f>+HLOOKUP(H$4,'Sep 2017 HY'!$3:$41,39,0)</f>
        <v>0</v>
      </c>
      <c r="I25" s="297">
        <f>+HLOOKUP(I$4,'Sep 2017 HY'!$3:$41,39,0)</f>
        <v>0</v>
      </c>
      <c r="J25" s="297">
        <f>+HLOOKUP(J$4,'Sep 2017 HY'!$3:$41,39,0)</f>
        <v>0</v>
      </c>
      <c r="K25" s="297">
        <f>+HLOOKUP(K$4,'Sep 2017 HY'!$3:$41,39,0)</f>
        <v>0</v>
      </c>
      <c r="L25" s="297">
        <f>+HLOOKUP(L$4,'Sep 2017 HY'!$3:$41,39,0)</f>
        <v>21.3337</v>
      </c>
      <c r="M25" s="297">
        <f>+HLOOKUP(M$4,'Sep 2017 HY'!$3:$41,39,0)</f>
        <v>0</v>
      </c>
      <c r="N25" s="297">
        <f>+HLOOKUP(N$4,'Sep 2017 HY'!$3:$41,39,0)</f>
        <v>0</v>
      </c>
      <c r="O25" s="297">
        <f>+HLOOKUP(O$4,'Sep 2017 HY'!$3:$41,39,0)</f>
        <v>0</v>
      </c>
      <c r="P25" s="297">
        <f>+HLOOKUP(P$4,'Sep 2017 HY'!$3:$41,39,0)</f>
        <v>0</v>
      </c>
      <c r="Q25" s="297">
        <f>+HLOOKUP(Q$4,'Sep 2017 HY'!$3:$41,39,0)</f>
        <v>0</v>
      </c>
      <c r="R25" s="297">
        <f>+HLOOKUP(R$4,'Sep 2017 HY'!$3:$41,39,0)</f>
        <v>0</v>
      </c>
      <c r="S25" s="297">
        <f>+HLOOKUP(S$4,'Sep 2017 HY'!$3:$41,39,0)</f>
        <v>0</v>
      </c>
      <c r="T25" s="297">
        <f>+HLOOKUP(T$4,'Sep 2017 HY'!$3:$41,39,0)</f>
        <v>0</v>
      </c>
      <c r="U25" s="297">
        <f>+HLOOKUP(U$4,'Sep 2017 HY'!$3:$41,39,0)</f>
        <v>0</v>
      </c>
      <c r="V25" s="297">
        <f>+HLOOKUP(V$4,'Sep 2017 HY'!$3:$41,39,0)</f>
        <v>0</v>
      </c>
      <c r="W25" s="297">
        <f>+HLOOKUP(W$4,'Sep 2017 HY'!$3:$41,39,0)</f>
        <v>0</v>
      </c>
      <c r="X25" s="297">
        <f>+'Sep 2017 HY'!X41</f>
        <v>0</v>
      </c>
      <c r="Y25" s="297">
        <f>+'Sep 2017 HY'!Y41</f>
        <v>0</v>
      </c>
      <c r="Z25" s="297">
        <f>+'Sep 2017 HY'!Z41</f>
        <v>0</v>
      </c>
      <c r="AA25" s="297">
        <f>+HLOOKUP(AA$4,'Sep 2017 HY'!$3:$41,39,0)</f>
        <v>0</v>
      </c>
      <c r="AB25" s="297">
        <f>+'Sep 2017 HY'!AB41</f>
        <v>0</v>
      </c>
      <c r="AC25" s="297">
        <f>+'Sep 2017 HY'!AC41</f>
        <v>0</v>
      </c>
      <c r="AD25" s="297">
        <f>+'Sep 2017 HY'!AD41</f>
        <v>0</v>
      </c>
      <c r="AE25" s="297">
        <f>+'Sep 2017 HY'!AE41</f>
        <v>0</v>
      </c>
      <c r="AF25" s="297">
        <f>+'Sep 2017 HY'!AF41</f>
        <v>0</v>
      </c>
      <c r="AG25" s="297">
        <f>+'Sep 2017 HY'!AG41</f>
        <v>0</v>
      </c>
      <c r="AH25" s="297">
        <f>+'Sep 2017 HY'!AH41</f>
        <v>0</v>
      </c>
      <c r="AI25" s="297">
        <f>+'Sep 2017 HY'!AI41</f>
        <v>0</v>
      </c>
      <c r="AJ25" s="297">
        <f>+HLOOKUP(AJ$4,'Sep 2017 HY'!$3:$41,39,0)</f>
        <v>0</v>
      </c>
      <c r="AK25" s="297">
        <f>+HLOOKUP(AK$4,'Sep 2017 HY'!$3:$41,39,0)</f>
        <v>0</v>
      </c>
      <c r="AL25" s="297">
        <f>+HLOOKUP(AL$4,'Sep 2017 HY'!$3:$41,39,0)</f>
        <v>0</v>
      </c>
      <c r="AM25" s="297">
        <f>+HLOOKUP(AM$4,'Sep 2017 HY'!$3:$41,39,0)</f>
        <v>0</v>
      </c>
      <c r="AN25" s="297">
        <f>+HLOOKUP(AN$4,'Sep 2017 HY'!$3:$41,39,0)</f>
        <v>0</v>
      </c>
      <c r="AO25" s="297">
        <f>+HLOOKUP(AO$4,'Sep 2017 HY'!$3:$41,39,0)</f>
        <v>0</v>
      </c>
      <c r="AP25" s="297">
        <f>+HLOOKUP(AP$4,'Sep 2017 HY'!$3:$41,39,0)</f>
        <v>0</v>
      </c>
      <c r="AQ25" s="297">
        <f>+HLOOKUP(AQ$4,'Sep 2017 HY'!$3:$41,39,0)</f>
        <v>0</v>
      </c>
      <c r="AR25" s="297">
        <f>+HLOOKUP(AR$4,'Sep 2017 HY'!$3:$41,39,0)</f>
        <v>0</v>
      </c>
      <c r="AS25" s="297">
        <f>+HLOOKUP(AS$4,'Sep 2017 HY'!$3:$41,39,0)</f>
        <v>0</v>
      </c>
      <c r="AT25" s="297">
        <f>+HLOOKUP(AT$4,'Sep 2017 HY'!$3:$41,39,0)</f>
        <v>0</v>
      </c>
      <c r="AU25" s="297">
        <f>+HLOOKUP(AU$4,'Sep 2017 HY'!$3:$41,39,0)</f>
        <v>0</v>
      </c>
      <c r="AV25" s="297">
        <f>+HLOOKUP(AV$4,'Sep 2017 HY'!$3:$41,39,0)</f>
        <v>0</v>
      </c>
      <c r="AW25" s="297">
        <f>+HLOOKUP(AW$4,'Sep 2017 HY'!$3:$41,39,0)</f>
        <v>0</v>
      </c>
      <c r="AX25" s="298">
        <f>+HLOOKUP(AX$4,'Sep 2017 HY'!$3:$41,39,0)</f>
        <v>0</v>
      </c>
    </row>
    <row r="26" spans="3:53" ht="12.75">
      <c r="C26" s="295" t="s">
        <v>127</v>
      </c>
      <c r="D26" s="171" t="s">
        <v>128</v>
      </c>
      <c r="E26" s="297">
        <f>+HLOOKUP(E$4,'Sep 2017 HY'!$3:$42,40,0)</f>
        <v>0</v>
      </c>
      <c r="F26" s="297">
        <f>+HLOOKUP(F$4,'Sep 2017 HY'!$3:$42,40,0)</f>
        <v>0</v>
      </c>
      <c r="G26" s="297">
        <f>+HLOOKUP(G$4,'Sep 2017 HY'!$3:$42,40,0)</f>
        <v>0</v>
      </c>
      <c r="H26" s="297">
        <f>+HLOOKUP(H$4,'Sep 2017 HY'!$3:$42,40,0)</f>
        <v>0</v>
      </c>
      <c r="I26" s="297">
        <f>+HLOOKUP(I$4,'Sep 2017 HY'!$3:$42,40,0)</f>
        <v>0</v>
      </c>
      <c r="J26" s="297">
        <f>+HLOOKUP(J$4,'Sep 2017 HY'!$3:$42,40,0)</f>
        <v>0</v>
      </c>
      <c r="K26" s="297">
        <f>+HLOOKUP(K$4,'Sep 2017 HY'!$3:$42,40,0)</f>
        <v>0</v>
      </c>
      <c r="L26" s="297">
        <f>+HLOOKUP(L$4,'Sep 2017 HY'!$3:$42,40,0)</f>
        <v>0</v>
      </c>
      <c r="M26" s="297">
        <f>+HLOOKUP(M$4,'Sep 2017 HY'!$3:$42,40,0)</f>
        <v>0</v>
      </c>
      <c r="N26" s="297">
        <f>+HLOOKUP(N$4,'Sep 2017 HY'!$3:$42,40,0)</f>
        <v>0</v>
      </c>
      <c r="O26" s="297">
        <f>+HLOOKUP(O$4,'Sep 2017 HY'!$3:$42,40,0)</f>
        <v>0</v>
      </c>
      <c r="P26" s="297">
        <f>+HLOOKUP(P$4,'Sep 2017 HY'!$3:$42,40,0)</f>
        <v>0</v>
      </c>
      <c r="Q26" s="297">
        <f>+HLOOKUP(Q$4,'Sep 2017 HY'!$3:$42,40,0)</f>
        <v>10.139900000000001</v>
      </c>
      <c r="R26" s="297">
        <f>+HLOOKUP(R$4,'Sep 2017 HY'!$3:$42,40,0)</f>
        <v>10.1059</v>
      </c>
      <c r="S26" s="297">
        <f>+HLOOKUP(S$4,'Sep 2017 HY'!$3:$42,40,0)</f>
        <v>0</v>
      </c>
      <c r="T26" s="297">
        <f>+HLOOKUP(T$4,'Sep 2017 HY'!$3:$42,40,0)</f>
        <v>0</v>
      </c>
      <c r="U26" s="297">
        <f>+HLOOKUP(U$4,'Sep 2017 HY'!$3:$42,40,0)</f>
        <v>0</v>
      </c>
      <c r="V26" s="297">
        <f>+HLOOKUP(V$4,'Sep 2017 HY'!$3:$42,40,0)</f>
        <v>0</v>
      </c>
      <c r="W26" s="297">
        <f>+HLOOKUP(W$4,'Sep 2017 HY'!$3:$42,40,0)</f>
        <v>0</v>
      </c>
      <c r="X26" s="297">
        <f>+'Sep 2017 HY'!X42</f>
        <v>0</v>
      </c>
      <c r="Y26" s="297">
        <f>+'Sep 2017 HY'!Y42</f>
        <v>0</v>
      </c>
      <c r="Z26" s="297">
        <f>+'Sep 2017 HY'!Z42</f>
        <v>0</v>
      </c>
      <c r="AA26" s="297">
        <f>+HLOOKUP(AA$4,'Sep 2017 HY'!$3:$42,40,0)</f>
        <v>0</v>
      </c>
      <c r="AB26" s="297">
        <f>+'Sep 2017 HY'!AB42</f>
        <v>0</v>
      </c>
      <c r="AC26" s="297">
        <f>+'Sep 2017 HY'!AC42</f>
        <v>0</v>
      </c>
      <c r="AD26" s="297">
        <f>+'Sep 2017 HY'!AD42</f>
        <v>0</v>
      </c>
      <c r="AE26" s="297">
        <f>+'Sep 2017 HY'!AE42</f>
        <v>0</v>
      </c>
      <c r="AF26" s="297">
        <f>+'Sep 2017 HY'!AF42</f>
        <v>0</v>
      </c>
      <c r="AG26" s="297">
        <f>+'Sep 2017 HY'!AG42</f>
        <v>0</v>
      </c>
      <c r="AH26" s="297">
        <f>+'Sep 2017 HY'!AH42</f>
        <v>0</v>
      </c>
      <c r="AI26" s="297">
        <f>+'Sep 2017 HY'!AI42</f>
        <v>0</v>
      </c>
      <c r="AJ26" s="297">
        <f>+HLOOKUP(AJ$4,'Sep 2017 HY'!$3:$42,40,0)</f>
        <v>0</v>
      </c>
      <c r="AK26" s="297">
        <f>+HLOOKUP(AK$4,'Sep 2017 HY'!$3:$42,40,0)</f>
        <v>0</v>
      </c>
      <c r="AL26" s="297">
        <f>+HLOOKUP(AL$4,'Sep 2017 HY'!$3:$42,40,0)</f>
        <v>0</v>
      </c>
      <c r="AM26" s="297">
        <f>+HLOOKUP(AM$4,'Sep 2017 HY'!$3:$42,40,0)</f>
        <v>0</v>
      </c>
      <c r="AN26" s="297">
        <f>+HLOOKUP(AN$4,'Sep 2017 HY'!$3:$42,40,0)</f>
        <v>0</v>
      </c>
      <c r="AO26" s="297">
        <f>+HLOOKUP(AO$4,'Sep 2017 HY'!$3:$42,40,0)</f>
        <v>0</v>
      </c>
      <c r="AP26" s="297">
        <f>+HLOOKUP(AP$4,'Sep 2017 HY'!$3:$42,40,0)</f>
        <v>0</v>
      </c>
      <c r="AQ26" s="297">
        <f>+HLOOKUP(AQ$4,'Sep 2017 HY'!$3:$42,40,0)</f>
        <v>0</v>
      </c>
      <c r="AR26" s="297">
        <f>+HLOOKUP(AR$4,'Sep 2017 HY'!$3:$42,40,0)</f>
        <v>0</v>
      </c>
      <c r="AS26" s="297">
        <f>+HLOOKUP(AS$4,'Sep 2017 HY'!$3:$42,40,0)</f>
        <v>0</v>
      </c>
      <c r="AT26" s="297">
        <f>+HLOOKUP(AT$4,'Sep 2017 HY'!$3:$42,40,0)</f>
        <v>0</v>
      </c>
      <c r="AU26" s="297">
        <f>+HLOOKUP(AU$4,'Sep 2017 HY'!$3:$42,40,0)</f>
        <v>0</v>
      </c>
      <c r="AV26" s="297">
        <f>+HLOOKUP(AV$4,'Sep 2017 HY'!$3:$42,40,0)</f>
        <v>0</v>
      </c>
      <c r="AW26" s="297">
        <f>+HLOOKUP(AW$4,'Sep 2017 HY'!$3:$42,40,0)</f>
        <v>0</v>
      </c>
      <c r="AX26" s="298">
        <f>+HLOOKUP(AX$4,'Sep 2017 HY'!$3:$42,40,0)</f>
        <v>0</v>
      </c>
    </row>
    <row r="27" spans="3:53" ht="12.75">
      <c r="C27" s="295" t="s">
        <v>129</v>
      </c>
      <c r="D27" s="171" t="s">
        <v>130</v>
      </c>
      <c r="E27" s="297">
        <f>+HLOOKUP(E$4,'Sep 2017 HY'!$3:$43,41,0)</f>
        <v>0</v>
      </c>
      <c r="F27" s="297">
        <f>+HLOOKUP(F$4,'Sep 2017 HY'!$3:$43,41,0)</f>
        <v>0</v>
      </c>
      <c r="G27" s="297">
        <f>+HLOOKUP(G$4,'Sep 2017 HY'!$3:$43,41,0)</f>
        <v>0</v>
      </c>
      <c r="H27" s="297">
        <f>+HLOOKUP(H$4,'Sep 2017 HY'!$3:$43,41,0)</f>
        <v>0</v>
      </c>
      <c r="I27" s="297">
        <f>+HLOOKUP(I$4,'Sep 2017 HY'!$3:$43,41,0)</f>
        <v>0</v>
      </c>
      <c r="J27" s="297">
        <f>+HLOOKUP(J$4,'Sep 2017 HY'!$3:$43,41,0)</f>
        <v>0</v>
      </c>
      <c r="K27" s="297">
        <f>+HLOOKUP(K$4,'Sep 2017 HY'!$3:$43,41,0)</f>
        <v>0</v>
      </c>
      <c r="L27" s="297">
        <f>+HLOOKUP(L$4,'Sep 2017 HY'!$3:$43,41,0)</f>
        <v>0</v>
      </c>
      <c r="M27" s="297">
        <f>+HLOOKUP(M$4,'Sep 2017 HY'!$3:$43,41,0)</f>
        <v>0</v>
      </c>
      <c r="N27" s="297">
        <f>+HLOOKUP(N$4,'Sep 2017 HY'!$3:$43,41,0)</f>
        <v>0</v>
      </c>
      <c r="O27" s="297">
        <f>+HLOOKUP(O$4,'Sep 2017 HY'!$3:$43,41,0)</f>
        <v>0</v>
      </c>
      <c r="P27" s="297">
        <f>+HLOOKUP(P$4,'Sep 2017 HY'!$3:$43,41,0)</f>
        <v>0</v>
      </c>
      <c r="Q27" s="297">
        <f>+HLOOKUP(Q$4,'Sep 2017 HY'!$3:$43,41,0)</f>
        <v>10.5687</v>
      </c>
      <c r="R27" s="297">
        <f>+HLOOKUP(R$4,'Sep 2017 HY'!$3:$43,41,0)</f>
        <v>10.106400000000001</v>
      </c>
      <c r="S27" s="297">
        <f>+HLOOKUP(S$4,'Sep 2017 HY'!$3:$43,41,0)</f>
        <v>0</v>
      </c>
      <c r="T27" s="297">
        <f>+HLOOKUP(T$4,'Sep 2017 HY'!$3:$43,41,0)</f>
        <v>0</v>
      </c>
      <c r="U27" s="297">
        <f>+HLOOKUP(U$4,'Sep 2017 HY'!$3:$43,41,0)</f>
        <v>0</v>
      </c>
      <c r="V27" s="297">
        <f>+HLOOKUP(V$4,'Sep 2017 HY'!$3:$43,41,0)</f>
        <v>0</v>
      </c>
      <c r="W27" s="297">
        <f>+HLOOKUP(W$4,'Sep 2017 HY'!$3:$43,41,0)</f>
        <v>0</v>
      </c>
      <c r="X27" s="297">
        <f>+'Sep 2017 HY'!X43</f>
        <v>0</v>
      </c>
      <c r="Y27" s="297">
        <f>+'Sep 2017 HY'!Y43</f>
        <v>0</v>
      </c>
      <c r="Z27" s="297">
        <f>+'Sep 2017 HY'!Z43</f>
        <v>0</v>
      </c>
      <c r="AA27" s="297">
        <f>+HLOOKUP(AA$4,'Sep 2017 HY'!$3:$43,41,0)</f>
        <v>0</v>
      </c>
      <c r="AB27" s="297">
        <f>+'Sep 2017 HY'!AB43</f>
        <v>0</v>
      </c>
      <c r="AC27" s="297">
        <f>+'Sep 2017 HY'!AC43</f>
        <v>0</v>
      </c>
      <c r="AD27" s="297">
        <f>+'Sep 2017 HY'!AD43</f>
        <v>0</v>
      </c>
      <c r="AE27" s="297">
        <f>+'Sep 2017 HY'!AE43</f>
        <v>0</v>
      </c>
      <c r="AF27" s="297">
        <f>+'Sep 2017 HY'!AF43</f>
        <v>0</v>
      </c>
      <c r="AG27" s="297">
        <f>+'Sep 2017 HY'!AG43</f>
        <v>0</v>
      </c>
      <c r="AH27" s="297">
        <f>+'Sep 2017 HY'!AH43</f>
        <v>0</v>
      </c>
      <c r="AI27" s="297">
        <f>+'Sep 2017 HY'!AI43</f>
        <v>0</v>
      </c>
      <c r="AJ27" s="297">
        <f>+HLOOKUP(AJ$4,'Sep 2017 HY'!$3:$43,41,0)</f>
        <v>0</v>
      </c>
      <c r="AK27" s="297">
        <f>+HLOOKUP(AK$4,'Sep 2017 HY'!$3:$43,41,0)</f>
        <v>0</v>
      </c>
      <c r="AL27" s="297">
        <f>+HLOOKUP(AL$4,'Sep 2017 HY'!$3:$43,41,0)</f>
        <v>0</v>
      </c>
      <c r="AM27" s="297">
        <f>+HLOOKUP(AM$4,'Sep 2017 HY'!$3:$43,41,0)</f>
        <v>0</v>
      </c>
      <c r="AN27" s="297">
        <f>+HLOOKUP(AN$4,'Sep 2017 HY'!$3:$43,41,0)</f>
        <v>0</v>
      </c>
      <c r="AO27" s="297">
        <f>+HLOOKUP(AO$4,'Sep 2017 HY'!$3:$43,41,0)</f>
        <v>0</v>
      </c>
      <c r="AP27" s="297">
        <f>+HLOOKUP(AP$4,'Sep 2017 HY'!$3:$43,41,0)</f>
        <v>0</v>
      </c>
      <c r="AQ27" s="297">
        <f>+HLOOKUP(AQ$4,'Sep 2017 HY'!$3:$43,41,0)</f>
        <v>0</v>
      </c>
      <c r="AR27" s="297">
        <f>+HLOOKUP(AR$4,'Sep 2017 HY'!$3:$43,41,0)</f>
        <v>0</v>
      </c>
      <c r="AS27" s="297">
        <f>+HLOOKUP(AS$4,'Sep 2017 HY'!$3:$43,41,0)</f>
        <v>0</v>
      </c>
      <c r="AT27" s="297">
        <f>+HLOOKUP(AT$4,'Sep 2017 HY'!$3:$43,41,0)</f>
        <v>0</v>
      </c>
      <c r="AU27" s="297">
        <f>+HLOOKUP(AU$4,'Sep 2017 HY'!$3:$43,41,0)</f>
        <v>0</v>
      </c>
      <c r="AV27" s="297">
        <f>+HLOOKUP(AV$4,'Sep 2017 HY'!$3:$43,41,0)</f>
        <v>0</v>
      </c>
      <c r="AW27" s="297">
        <f>+HLOOKUP(AW$4,'Sep 2017 HY'!$3:$43,41,0)</f>
        <v>0</v>
      </c>
      <c r="AX27" s="298">
        <f>+HLOOKUP(AX$4,'Sep 2017 HY'!$3:$43,41,0)</f>
        <v>0</v>
      </c>
    </row>
    <row r="28" spans="3:53" ht="12.75">
      <c r="C28" s="168"/>
      <c r="D28" s="169"/>
      <c r="E28" s="177"/>
      <c r="F28" s="177"/>
      <c r="G28" s="177"/>
      <c r="H28" s="177"/>
      <c r="I28" s="177"/>
      <c r="J28" s="177"/>
      <c r="K28" s="177"/>
      <c r="L28" s="177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171"/>
      <c r="AM28" s="17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8"/>
    </row>
    <row r="29" spans="3:53" ht="12.75">
      <c r="C29" s="168"/>
      <c r="D29" s="169"/>
      <c r="E29" s="177"/>
      <c r="F29" s="177"/>
      <c r="G29" s="177"/>
      <c r="H29" s="177"/>
      <c r="I29" s="177"/>
      <c r="J29" s="177"/>
      <c r="K29" s="177"/>
      <c r="L29" s="177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8"/>
    </row>
    <row r="30" spans="3:53" ht="12.75">
      <c r="C30" s="168">
        <v>4.2</v>
      </c>
      <c r="D30" s="169" t="s">
        <v>1709</v>
      </c>
      <c r="E30" s="177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1"/>
      <c r="AP30" s="171"/>
      <c r="AQ30" s="171"/>
      <c r="AR30" s="171"/>
      <c r="AS30" s="171"/>
      <c r="AT30" s="171"/>
      <c r="AU30" s="171"/>
      <c r="AV30" s="171"/>
      <c r="AW30" s="171"/>
      <c r="AX30" s="178"/>
    </row>
    <row r="31" spans="3:53" ht="12.75">
      <c r="C31" s="295" t="s">
        <v>103</v>
      </c>
      <c r="D31" s="296" t="s">
        <v>104</v>
      </c>
      <c r="E31" s="297">
        <f>+IFERROR(VLOOKUP(E$4&amp;$C31,'AMFI AUM 31 March 2018'!$A:$F,6,0),0)</f>
        <v>17.1373</v>
      </c>
      <c r="F31" s="297">
        <f>+IFERROR(VLOOKUP(F$4&amp;$C31,'AMFI AUM 31 March 2018'!$A:$F,6,0),0)</f>
        <v>14.080500000000001</v>
      </c>
      <c r="G31" s="297">
        <f>+IFERROR(VLOOKUP(G$4&amp;$C31,'AMFI AUM 31 March 2018'!$A:$F,6,0),0)</f>
        <v>14.1698</v>
      </c>
      <c r="H31" s="297">
        <f>+IFERROR(VLOOKUP(H$4&amp;$C31,'AMFI AUM 31 March 2018'!$A:$F,6,0),0)</f>
        <v>16.366399999999999</v>
      </c>
      <c r="I31" s="297">
        <f>+IFERROR(VLOOKUP(I$4&amp;$C31,'AMFI AUM 31 March 2018'!$A:$F,6,0),0)</f>
        <v>17.303699999999999</v>
      </c>
      <c r="J31" s="297">
        <f>+IFERROR(VLOOKUP(J$4&amp;$C31,'AMFI AUM 31 March 2018'!$A:$F,6,0),0)</f>
        <v>0</v>
      </c>
      <c r="K31" s="297">
        <f>+IFERROR(VLOOKUP(K$4&amp;$C31,'AMFI AUM 31 March 2018'!$A:$F,6,0),0)</f>
        <v>10.0906</v>
      </c>
      <c r="L31" s="297">
        <f>+IFERROR(VLOOKUP(L$4&amp;$C31,'AMFI AUM 31 March 2018'!$A:$F,6,0),0)</f>
        <v>10.5595</v>
      </c>
      <c r="M31" s="297">
        <f>+IFERROR(VLOOKUP(M$4&amp;$C31,'AMFI AUM 31 March 2018'!$A:$F,6,0),0)</f>
        <v>0</v>
      </c>
      <c r="N31" s="297">
        <f>+IFERROR(VLOOKUP(N$4&amp;$C31,'AMFI AUM 31 March 2018'!$A:$F,6,0),0)</f>
        <v>1098</v>
      </c>
      <c r="O31" s="297">
        <f>+IFERROR(VLOOKUP(O$4&amp;$C31,'AMFI AUM 31 March 2018'!$A:$F,6,0),0)</f>
        <v>20.9255</v>
      </c>
      <c r="P31" s="297">
        <f>+IFERROR(VLOOKUP(P$4&amp;$C31,'AMFI AUM 31 March 2018'!$A:$F,6,0),0)</f>
        <v>20.495999999999999</v>
      </c>
      <c r="Q31" s="297">
        <f>+IFERROR(VLOOKUP(Q$4&amp;$C31,'AMFI AUM 31 March 2018'!$A:$F,6,0),0)</f>
        <v>10.161099999999999</v>
      </c>
      <c r="R31" s="297">
        <f>+IFERROR(VLOOKUP(R$4&amp;$C31,'AMFI AUM 31 March 2018'!$A:$F,6,0),0)</f>
        <v>10.1</v>
      </c>
      <c r="S31" s="297">
        <f>+IFERROR(VLOOKUP(S$4&amp;$C31,'AMFI AUM 31 March 2018'!$A:$F,6,0),0)</f>
        <v>14.3477</v>
      </c>
      <c r="T31" s="297">
        <f>+IFERROR(VLOOKUP(T$4&amp;$C31,'AMFI AUM 31 March 2018'!$A:$F,6,0),0)</f>
        <v>0</v>
      </c>
      <c r="U31" s="297">
        <f>+IFERROR(VLOOKUP(U$4&amp;$C31,'AMFI AUM 31 March 2018'!$A:$F,6,0),0)</f>
        <v>0</v>
      </c>
      <c r="V31" s="297">
        <f>+IFERROR(VLOOKUP(V$4&amp;$C31,'AMFI AUM 31 March 2018'!$A:$F,6,0),0)</f>
        <v>0</v>
      </c>
      <c r="W31" s="297">
        <f>+IFERROR(VLOOKUP(W$4&amp;$C31,'AMFI AUM 31 March 2018'!$A:$F,6,0),0)</f>
        <v>0</v>
      </c>
      <c r="X31" s="297">
        <v>0</v>
      </c>
      <c r="Y31" s="297">
        <v>0</v>
      </c>
      <c r="Z31" s="297">
        <v>0</v>
      </c>
      <c r="AA31" s="297">
        <f>+IFERROR(VLOOKUP(AA$4&amp;$C31,'AMFI AUM 31 March 2018'!$A:$F,6,0),0)</f>
        <v>10.5297</v>
      </c>
      <c r="AB31" s="297">
        <v>0</v>
      </c>
      <c r="AC31" s="297">
        <v>0</v>
      </c>
      <c r="AD31" s="297">
        <v>0</v>
      </c>
      <c r="AE31" s="297">
        <v>0</v>
      </c>
      <c r="AF31" s="297">
        <v>0</v>
      </c>
      <c r="AG31" s="297">
        <v>0</v>
      </c>
      <c r="AH31" s="297">
        <v>0</v>
      </c>
      <c r="AI31" s="297">
        <v>0</v>
      </c>
      <c r="AJ31" s="297">
        <f>+IFERROR(VLOOKUP(AJ$4&amp;$C31,'AMFI AUM 31 March 2018'!$A:$F,6,0),0)</f>
        <v>0</v>
      </c>
      <c r="AK31" s="297">
        <f>+IFERROR(VLOOKUP(AK$4&amp;$C31,'AMFI AUM 31 March 2018'!$A:$F,6,0),0)</f>
        <v>0</v>
      </c>
      <c r="AL31" s="297">
        <f>+IFERROR(VLOOKUP(AL$4&amp;$C31,'AMFI AUM 31 March 2018'!$A:$F,6,0),0)</f>
        <v>0</v>
      </c>
      <c r="AM31" s="297">
        <f>+IFERROR(VLOOKUP(AM$4&amp;$C31,'AMFI AUM 31 March 2018'!$A:$F,6,0),0)</f>
        <v>0</v>
      </c>
      <c r="AN31" s="297">
        <f>+IFERROR(VLOOKUP(AN$4&amp;$C31,'AMFI AUM 31 March 2018'!$A:$F,6,0),0)</f>
        <v>0</v>
      </c>
      <c r="AO31" s="297">
        <f>+IFERROR(VLOOKUP(AO$4&amp;$C31,'AMFI AUM 31 March 2018'!$A:$F,6,0),0)</f>
        <v>0</v>
      </c>
      <c r="AP31" s="297">
        <f>+IFERROR(VLOOKUP(AP$4&amp;$C31,'AMFI AUM 31 March 2018'!$A:$F,6,0),0)</f>
        <v>0</v>
      </c>
      <c r="AQ31" s="297">
        <f>+IFERROR(VLOOKUP(AQ$4&amp;$C31,'AMFI AUM 31 March 2018'!$A:$F,6,0),0)</f>
        <v>13.1798</v>
      </c>
      <c r="AR31" s="297">
        <f>+IFERROR(VLOOKUP(AR$4&amp;$C31,'AMFI AUM 31 March 2018'!$A:$F,6,0),0)</f>
        <v>10.461600000000001</v>
      </c>
      <c r="AS31" s="297">
        <f>+IFERROR(VLOOKUP(AS$4&amp;$C31,'AMFI AUM 31 March 2018'!$A:$F,6,0),0)</f>
        <v>11.7942</v>
      </c>
      <c r="AT31" s="297">
        <f>+IFERROR(VLOOKUP(AT$4&amp;$C31,'AMFI AUM 31 March 2018'!$A:$F,6,0),0)</f>
        <v>11.750999999999999</v>
      </c>
      <c r="AU31" s="297">
        <f>+IFERROR(VLOOKUP(AU$4&amp;$C31,'AMFI AUM 31 March 2018'!$A:$F,6,0),0)</f>
        <v>11.8079</v>
      </c>
      <c r="AV31" s="297">
        <f>+IFERROR(VLOOKUP(AV$4&amp;$C31,'AMFI AUM 31 March 2018'!$A:$F,6,0),0)</f>
        <v>0</v>
      </c>
      <c r="AW31" s="297">
        <f>+IFERROR(VLOOKUP(AW$4&amp;$C31,'AMFI AUM 31 March 2018'!$A:$F,6,0),0)</f>
        <v>0</v>
      </c>
      <c r="AX31" s="298">
        <f>+IFERROR(VLOOKUP(AX$4&amp;$C31,'AMFI AUM 31 March 2018'!$A:$F,6,0),0)</f>
        <v>0</v>
      </c>
      <c r="AZ31" s="34">
        <v>11224.922200000003</v>
      </c>
      <c r="BA31" s="17">
        <v>0</v>
      </c>
    </row>
    <row r="32" spans="3:53" ht="12.75">
      <c r="C32" s="295" t="s">
        <v>105</v>
      </c>
      <c r="D32" s="296" t="s">
        <v>106</v>
      </c>
      <c r="E32" s="297">
        <f>+IFERROR(VLOOKUP(E$4&amp;$C32,'AMFI AUM 31 March 2018'!$A:$F,6,0),0)</f>
        <v>0</v>
      </c>
      <c r="F32" s="297">
        <f>+IFERROR(VLOOKUP(F$4&amp;$C32,'AMFI AUM 31 March 2018'!$A:$F,6,0),0)</f>
        <v>93.944699999999997</v>
      </c>
      <c r="G32" s="297">
        <f>+IFERROR(VLOOKUP(G$4&amp;$C32,'AMFI AUM 31 March 2018'!$A:$F,6,0),0)</f>
        <v>43.295999999999999</v>
      </c>
      <c r="H32" s="297">
        <f>+IFERROR(VLOOKUP(H$4&amp;$C32,'AMFI AUM 31 March 2018'!$A:$F,6,0),0)</f>
        <v>23.944099999999999</v>
      </c>
      <c r="I32" s="297">
        <f>+IFERROR(VLOOKUP(I$4&amp;$C32,'AMFI AUM 31 March 2018'!$A:$F,6,0),0)</f>
        <v>62.287399999999998</v>
      </c>
      <c r="J32" s="297">
        <f>+IFERROR(VLOOKUP(J$4&amp;$C32,'AMFI AUM 31 March 2018'!$A:$F,6,0),0)</f>
        <v>51.560600000000001</v>
      </c>
      <c r="K32" s="297">
        <f>+IFERROR(VLOOKUP(K$4&amp;$C32,'AMFI AUM 31 March 2018'!$A:$F,6,0),0)</f>
        <v>46.0351</v>
      </c>
      <c r="L32" s="297">
        <f>+IFERROR(VLOOKUP(L$4&amp;$C32,'AMFI AUM 31 March 2018'!$A:$F,6,0),0)</f>
        <v>36.633400000000002</v>
      </c>
      <c r="M32" s="297">
        <f>+IFERROR(VLOOKUP(M$4&amp;$C32,'AMFI AUM 31 March 2018'!$A:$F,6,0),0)</f>
        <v>16.479500000000002</v>
      </c>
      <c r="N32" s="297">
        <f>+IFERROR(VLOOKUP(N$4&amp;$C32,'AMFI AUM 31 March 2018'!$A:$F,6,0),0)</f>
        <v>3135.8090999999999</v>
      </c>
      <c r="O32" s="297">
        <f>+IFERROR(VLOOKUP(O$4&amp;$C32,'AMFI AUM 31 March 2018'!$A:$F,6,0),0)</f>
        <v>61.049500000000002</v>
      </c>
      <c r="P32" s="297">
        <f>+IFERROR(VLOOKUP(P$4&amp;$C32,'AMFI AUM 31 March 2018'!$A:$F,6,0),0)</f>
        <v>55.564500000000002</v>
      </c>
      <c r="Q32" s="297">
        <f>+IFERROR(VLOOKUP(Q$4&amp;$C32,'AMFI AUM 31 March 2018'!$A:$F,6,0),0)</f>
        <v>26.540700000000001</v>
      </c>
      <c r="R32" s="297">
        <f>+IFERROR(VLOOKUP(R$4&amp;$C32,'AMFI AUM 31 March 2018'!$A:$F,6,0),0)</f>
        <v>21.6967</v>
      </c>
      <c r="S32" s="297">
        <f>+IFERROR(VLOOKUP(S$4&amp;$C32,'AMFI AUM 31 March 2018'!$A:$F,6,0),0)</f>
        <v>14.3467</v>
      </c>
      <c r="T32" s="297">
        <f>+IFERROR(VLOOKUP(T$4&amp;$C32,'AMFI AUM 31 March 2018'!$A:$F,6,0),0)</f>
        <v>0</v>
      </c>
      <c r="U32" s="297">
        <f>+IFERROR(VLOOKUP(U$4&amp;$C32,'AMFI AUM 31 March 2018'!$A:$F,6,0),0)</f>
        <v>0</v>
      </c>
      <c r="V32" s="297">
        <f>+IFERROR(VLOOKUP(V$4&amp;$C32,'AMFI AUM 31 March 2018'!$A:$F,6,0),0)</f>
        <v>0</v>
      </c>
      <c r="W32" s="297">
        <f>+IFERROR(VLOOKUP(W$4&amp;$C32,'AMFI AUM 31 March 2018'!$A:$F,6,0),0)</f>
        <v>0</v>
      </c>
      <c r="X32" s="297">
        <v>0</v>
      </c>
      <c r="Y32" s="297">
        <v>0</v>
      </c>
      <c r="Z32" s="297">
        <v>0</v>
      </c>
      <c r="AA32" s="297">
        <f>+IFERROR(VLOOKUP(AA$4&amp;$C32,'AMFI AUM 31 March 2018'!$A:$F,6,0),0)</f>
        <v>13.201700000000001</v>
      </c>
      <c r="AB32" s="297">
        <v>0</v>
      </c>
      <c r="AC32" s="297">
        <v>0</v>
      </c>
      <c r="AD32" s="297">
        <v>0</v>
      </c>
      <c r="AE32" s="297">
        <v>0</v>
      </c>
      <c r="AF32" s="297">
        <v>0</v>
      </c>
      <c r="AG32" s="297">
        <v>0</v>
      </c>
      <c r="AH32" s="297">
        <v>0</v>
      </c>
      <c r="AI32" s="297">
        <v>0</v>
      </c>
      <c r="AJ32" s="297">
        <f>+IFERROR(VLOOKUP(AJ$4&amp;$C32,'AMFI AUM 31 March 2018'!$A:$F,6,0),0)</f>
        <v>0</v>
      </c>
      <c r="AK32" s="297">
        <f>+IFERROR(VLOOKUP(AK$4&amp;$C32,'AMFI AUM 31 March 2018'!$A:$F,6,0),0)</f>
        <v>0</v>
      </c>
      <c r="AL32" s="297">
        <f>+IFERROR(VLOOKUP(AL$4&amp;$C32,'AMFI AUM 31 March 2018'!$A:$F,6,0),0)</f>
        <v>0</v>
      </c>
      <c r="AM32" s="297">
        <f>+IFERROR(VLOOKUP(AM$4&amp;$C32,'AMFI AUM 31 March 2018'!$A:$F,6,0),0)</f>
        <v>0</v>
      </c>
      <c r="AN32" s="297">
        <f>+IFERROR(VLOOKUP(AN$4&amp;$C32,'AMFI AUM 31 March 2018'!$A:$F,6,0),0)</f>
        <v>0</v>
      </c>
      <c r="AO32" s="297">
        <f>+IFERROR(VLOOKUP(AO$4&amp;$C32,'AMFI AUM 31 March 2018'!$A:$F,6,0),0)</f>
        <v>16.956700000000001</v>
      </c>
      <c r="AP32" s="297">
        <f>+IFERROR(VLOOKUP(AP$4&amp;$C32,'AMFI AUM 31 March 2018'!$A:$F,6,0),0)</f>
        <v>0</v>
      </c>
      <c r="AQ32" s="297">
        <f>+IFERROR(VLOOKUP(AQ$4&amp;$C32,'AMFI AUM 31 March 2018'!$A:$F,6,0),0)</f>
        <v>14.349600000000001</v>
      </c>
      <c r="AR32" s="297">
        <f>+IFERROR(VLOOKUP(AR$4&amp;$C32,'AMFI AUM 31 March 2018'!$A:$F,6,0),0)</f>
        <v>10.462400000000001</v>
      </c>
      <c r="AS32" s="297">
        <f>+IFERROR(VLOOKUP(AS$4&amp;$C32,'AMFI AUM 31 March 2018'!$A:$F,6,0),0)</f>
        <v>11.7942</v>
      </c>
      <c r="AT32" s="297">
        <f>+IFERROR(VLOOKUP(AT$4&amp;$C32,'AMFI AUM 31 March 2018'!$A:$F,6,0),0)</f>
        <v>11.750999999999999</v>
      </c>
      <c r="AU32" s="297">
        <f>+IFERROR(VLOOKUP(AU$4&amp;$C32,'AMFI AUM 31 March 2018'!$A:$F,6,0),0)</f>
        <v>11.8079</v>
      </c>
      <c r="AV32" s="297">
        <f>+IFERROR(VLOOKUP(AV$4&amp;$C32,'AMFI AUM 31 March 2018'!$A:$F,6,0),0)</f>
        <v>103.4766</v>
      </c>
      <c r="AW32" s="297">
        <f>+IFERROR(VLOOKUP(AW$4&amp;$C32,'AMFI AUM 31 March 2018'!$A:$F,6,0),0)</f>
        <v>339.1114</v>
      </c>
      <c r="AX32" s="298">
        <f>+IFERROR(VLOOKUP(AX$4&amp;$C32,'AMFI AUM 31 March 2018'!$A:$F,6,0),0)</f>
        <v>106.95740000000001</v>
      </c>
    </row>
    <row r="33" spans="3:50" ht="12.75">
      <c r="C33" s="295" t="s">
        <v>107</v>
      </c>
      <c r="D33" s="296" t="s">
        <v>108</v>
      </c>
      <c r="E33" s="297">
        <f>+IFERROR(VLOOKUP(E$4&amp;$C33,'AMFI AUM 31 March 2018'!$A:$F,6,0),0)</f>
        <v>17.773599999999998</v>
      </c>
      <c r="F33" s="297">
        <f>+IFERROR(VLOOKUP(F$4&amp;$C33,'AMFI AUM 31 March 2018'!$A:$F,6,0),0)</f>
        <v>14.756500000000001</v>
      </c>
      <c r="G33" s="297">
        <f>+IFERROR(VLOOKUP(G$4&amp;$C33,'AMFI AUM 31 March 2018'!$A:$F,6,0),0)</f>
        <v>17.259499999999999</v>
      </c>
      <c r="H33" s="297">
        <f>+IFERROR(VLOOKUP(H$4&amp;$C33,'AMFI AUM 31 March 2018'!$A:$F,6,0),0)</f>
        <v>18.5016</v>
      </c>
      <c r="I33" s="297">
        <f>+IFERROR(VLOOKUP(I$4&amp;$C33,'AMFI AUM 31 March 2018'!$A:$F,6,0),0)</f>
        <v>18.213899999999999</v>
      </c>
      <c r="J33" s="297">
        <f>+IFERROR(VLOOKUP(J$4&amp;$C33,'AMFI AUM 31 March 2018'!$A:$F,6,0),0)</f>
        <v>0</v>
      </c>
      <c r="K33" s="297">
        <f>+IFERROR(VLOOKUP(K$4&amp;$C33,'AMFI AUM 31 March 2018'!$A:$F,6,0),0)</f>
        <v>11.422000000000001</v>
      </c>
      <c r="L33" s="297">
        <f>+IFERROR(VLOOKUP(L$4&amp;$C33,'AMFI AUM 31 March 2018'!$A:$F,6,0),0)</f>
        <v>10.9291</v>
      </c>
      <c r="M33" s="297">
        <f>+IFERROR(VLOOKUP(M$4&amp;$C33,'AMFI AUM 31 March 2018'!$A:$F,6,0),0)</f>
        <v>0</v>
      </c>
      <c r="N33" s="297">
        <f>+IFERROR(VLOOKUP(N$4&amp;$C33,'AMFI AUM 31 March 2018'!$A:$F,6,0),0)</f>
        <v>1098</v>
      </c>
      <c r="O33" s="297">
        <f>+IFERROR(VLOOKUP(O$4&amp;$C33,'AMFI AUM 31 March 2018'!$A:$F,6,0),0)</f>
        <v>21.065000000000001</v>
      </c>
      <c r="P33" s="297">
        <f>+IFERROR(VLOOKUP(P$4&amp;$C33,'AMFI AUM 31 March 2018'!$A:$F,6,0),0)</f>
        <v>21.025200000000002</v>
      </c>
      <c r="Q33" s="297">
        <f>+IFERROR(VLOOKUP(Q$4&amp;$C33,'AMFI AUM 31 March 2018'!$A:$F,6,0),0)</f>
        <v>10.1</v>
      </c>
      <c r="R33" s="297">
        <f>+IFERROR(VLOOKUP(R$4&amp;$C33,'AMFI AUM 31 March 2018'!$A:$F,6,0),0)</f>
        <v>10.1584</v>
      </c>
      <c r="S33" s="297">
        <f>+IFERROR(VLOOKUP(S$4&amp;$C33,'AMFI AUM 31 March 2018'!$A:$F,6,0),0)</f>
        <v>14.9916</v>
      </c>
      <c r="T33" s="297">
        <f>+IFERROR(VLOOKUP(T$4&amp;$C33,'AMFI AUM 31 March 2018'!$A:$F,6,0),0)</f>
        <v>0</v>
      </c>
      <c r="U33" s="297">
        <f>+IFERROR(VLOOKUP(U$4&amp;$C33,'AMFI AUM 31 March 2018'!$A:$F,6,0),0)</f>
        <v>0</v>
      </c>
      <c r="V33" s="297">
        <f>+IFERROR(VLOOKUP(V$4&amp;$C33,'AMFI AUM 31 March 2018'!$A:$F,6,0),0)</f>
        <v>0</v>
      </c>
      <c r="W33" s="297">
        <f>+IFERROR(VLOOKUP(W$4&amp;$C33,'AMFI AUM 31 March 2018'!$A:$F,6,0),0)</f>
        <v>0</v>
      </c>
      <c r="X33" s="297">
        <v>0</v>
      </c>
      <c r="Y33" s="297">
        <v>0</v>
      </c>
      <c r="Z33" s="297">
        <v>0</v>
      </c>
      <c r="AA33" s="297">
        <f>+IFERROR(VLOOKUP(AA$4&amp;$C33,'AMFI AUM 31 March 2018'!$A:$F,6,0),0)</f>
        <v>0</v>
      </c>
      <c r="AB33" s="297">
        <v>0</v>
      </c>
      <c r="AC33" s="297">
        <v>0</v>
      </c>
      <c r="AD33" s="297">
        <v>0</v>
      </c>
      <c r="AE33" s="297">
        <v>0</v>
      </c>
      <c r="AF33" s="297">
        <v>0</v>
      </c>
      <c r="AG33" s="297">
        <v>0</v>
      </c>
      <c r="AH33" s="297">
        <v>0</v>
      </c>
      <c r="AI33" s="297">
        <v>0</v>
      </c>
      <c r="AJ33" s="297">
        <f>+IFERROR(VLOOKUP(AJ$4&amp;$C33,'AMFI AUM 31 March 2018'!$A:$F,6,0),0)</f>
        <v>0</v>
      </c>
      <c r="AK33" s="297">
        <f>+IFERROR(VLOOKUP(AK$4&amp;$C33,'AMFI AUM 31 March 2018'!$A:$F,6,0),0)</f>
        <v>0</v>
      </c>
      <c r="AL33" s="297">
        <f>+IFERROR(VLOOKUP(AL$4&amp;$C33,'AMFI AUM 31 March 2018'!$A:$F,6,0),0)</f>
        <v>0</v>
      </c>
      <c r="AM33" s="297">
        <f>+IFERROR(VLOOKUP(AM$4&amp;$C33,'AMFI AUM 31 March 2018'!$A:$F,6,0),0)</f>
        <v>0</v>
      </c>
      <c r="AN33" s="297">
        <f>+IFERROR(VLOOKUP(AN$4&amp;$C33,'AMFI AUM 31 March 2018'!$A:$F,6,0),0)</f>
        <v>0</v>
      </c>
      <c r="AO33" s="297">
        <f>+IFERROR(VLOOKUP(AO$4&amp;$C33,'AMFI AUM 31 March 2018'!$A:$F,6,0),0)</f>
        <v>0</v>
      </c>
      <c r="AP33" s="297">
        <f>+IFERROR(VLOOKUP(AP$4&amp;$C33,'AMFI AUM 31 March 2018'!$A:$F,6,0),0)</f>
        <v>0</v>
      </c>
      <c r="AQ33" s="297">
        <f>+IFERROR(VLOOKUP(AQ$4&amp;$C33,'AMFI AUM 31 March 2018'!$A:$F,6,0),0)</f>
        <v>13.7019</v>
      </c>
      <c r="AR33" s="297">
        <f>+IFERROR(VLOOKUP(AR$4&amp;$C33,'AMFI AUM 31 March 2018'!$A:$F,6,0),0)</f>
        <v>10.7637</v>
      </c>
      <c r="AS33" s="297">
        <f>+IFERROR(VLOOKUP(AS$4&amp;$C33,'AMFI AUM 31 March 2018'!$A:$F,6,0),0)</f>
        <v>12.174200000000001</v>
      </c>
      <c r="AT33" s="297">
        <f>+IFERROR(VLOOKUP(AT$4&amp;$C33,'AMFI AUM 31 March 2018'!$A:$F,6,0),0)</f>
        <v>12.0687</v>
      </c>
      <c r="AU33" s="297">
        <f>+IFERROR(VLOOKUP(AU$4&amp;$C33,'AMFI AUM 31 March 2018'!$A:$F,6,0),0)</f>
        <v>12.105</v>
      </c>
      <c r="AV33" s="297">
        <f>+IFERROR(VLOOKUP(AV$4&amp;$C33,'AMFI AUM 31 March 2018'!$A:$F,6,0),0)</f>
        <v>0</v>
      </c>
      <c r="AW33" s="297">
        <f>+IFERROR(VLOOKUP(AW$4&amp;$C33,'AMFI AUM 31 March 2018'!$A:$F,6,0),0)</f>
        <v>0</v>
      </c>
      <c r="AX33" s="298">
        <f>+IFERROR(VLOOKUP(AX$4&amp;$C33,'AMFI AUM 31 March 2018'!$A:$F,6,0),0)</f>
        <v>0</v>
      </c>
    </row>
    <row r="34" spans="3:50" ht="12.75">
      <c r="C34" s="295" t="s">
        <v>109</v>
      </c>
      <c r="D34" s="296" t="s">
        <v>110</v>
      </c>
      <c r="E34" s="297">
        <f>+IFERROR(VLOOKUP(E$4&amp;$C34,'AMFI AUM 31 March 2018'!$A:$F,6,0),0)</f>
        <v>0</v>
      </c>
      <c r="F34" s="297">
        <f>+IFERROR(VLOOKUP(F$4&amp;$C34,'AMFI AUM 31 March 2018'!$A:$F,6,0),0)</f>
        <v>98.2333</v>
      </c>
      <c r="G34" s="297">
        <f>+IFERROR(VLOOKUP(G$4&amp;$C34,'AMFI AUM 31 March 2018'!$A:$F,6,0),0)</f>
        <v>44.755499999999998</v>
      </c>
      <c r="H34" s="297">
        <f>+IFERROR(VLOOKUP(H$4&amp;$C34,'AMFI AUM 31 March 2018'!$A:$F,6,0),0)</f>
        <v>25.037700000000001</v>
      </c>
      <c r="I34" s="297">
        <f>+IFERROR(VLOOKUP(I$4&amp;$C34,'AMFI AUM 31 March 2018'!$A:$F,6,0),0)</f>
        <v>65.321600000000004</v>
      </c>
      <c r="J34" s="297">
        <f>+IFERROR(VLOOKUP(J$4&amp;$C34,'AMFI AUM 31 March 2018'!$A:$F,6,0),0)</f>
        <v>53.479300000000002</v>
      </c>
      <c r="K34" s="297">
        <f>+IFERROR(VLOOKUP(K$4&amp;$C34,'AMFI AUM 31 March 2018'!$A:$F,6,0),0)</f>
        <v>47.284500000000001</v>
      </c>
      <c r="L34" s="297">
        <f>+IFERROR(VLOOKUP(L$4&amp;$C34,'AMFI AUM 31 March 2018'!$A:$F,6,0),0)</f>
        <v>38.215800000000002</v>
      </c>
      <c r="M34" s="297">
        <f>+IFERROR(VLOOKUP(M$4&amp;$C34,'AMFI AUM 31 March 2018'!$A:$F,6,0),0)</f>
        <v>17.2989</v>
      </c>
      <c r="N34" s="297">
        <f>+IFERROR(VLOOKUP(N$4&amp;$C34,'AMFI AUM 31 March 2018'!$A:$F,6,0),0)</f>
        <v>3151.5418</v>
      </c>
      <c r="O34" s="297">
        <f>+IFERROR(VLOOKUP(O$4&amp;$C34,'AMFI AUM 31 March 2018'!$A:$F,6,0),0)</f>
        <v>62.774299999999997</v>
      </c>
      <c r="P34" s="297">
        <f>+IFERROR(VLOOKUP(P$4&amp;$C34,'AMFI AUM 31 March 2018'!$A:$F,6,0),0)</f>
        <v>57.071899999999999</v>
      </c>
      <c r="Q34" s="297">
        <f>+IFERROR(VLOOKUP(Q$4&amp;$C34,'AMFI AUM 31 March 2018'!$A:$F,6,0),0)</f>
        <v>27.601900000000001</v>
      </c>
      <c r="R34" s="297">
        <f>+IFERROR(VLOOKUP(R$4&amp;$C34,'AMFI AUM 31 March 2018'!$A:$F,6,0),0)</f>
        <v>22.5076</v>
      </c>
      <c r="S34" s="297">
        <f>+IFERROR(VLOOKUP(S$4&amp;$C34,'AMFI AUM 31 March 2018'!$A:$F,6,0),0)</f>
        <v>15.0846</v>
      </c>
      <c r="T34" s="297">
        <f>+IFERROR(VLOOKUP(T$4&amp;$C34,'AMFI AUM 31 March 2018'!$A:$F,6,0),0)</f>
        <v>0</v>
      </c>
      <c r="U34" s="297">
        <f>+IFERROR(VLOOKUP(U$4&amp;$C34,'AMFI AUM 31 March 2018'!$A:$F,6,0),0)</f>
        <v>0</v>
      </c>
      <c r="V34" s="297">
        <f>+IFERROR(VLOOKUP(V$4&amp;$C34,'AMFI AUM 31 March 2018'!$A:$F,6,0),0)</f>
        <v>0</v>
      </c>
      <c r="W34" s="297">
        <f>+IFERROR(VLOOKUP(W$4&amp;$C34,'AMFI AUM 31 March 2018'!$A:$F,6,0),0)</f>
        <v>0</v>
      </c>
      <c r="X34" s="297">
        <v>0</v>
      </c>
      <c r="Y34" s="297">
        <v>0</v>
      </c>
      <c r="Z34" s="297">
        <v>0</v>
      </c>
      <c r="AA34" s="297">
        <f>+IFERROR(VLOOKUP(AA$4&amp;$C34,'AMFI AUM 31 March 2018'!$A:$F,6,0),0)</f>
        <v>13.481</v>
      </c>
      <c r="AB34" s="297">
        <v>0</v>
      </c>
      <c r="AC34" s="297">
        <v>0</v>
      </c>
      <c r="AD34" s="297">
        <v>0</v>
      </c>
      <c r="AE34" s="297">
        <v>0</v>
      </c>
      <c r="AF34" s="297">
        <v>0</v>
      </c>
      <c r="AG34" s="297">
        <v>0</v>
      </c>
      <c r="AH34" s="297">
        <v>0</v>
      </c>
      <c r="AI34" s="297">
        <v>0</v>
      </c>
      <c r="AJ34" s="297">
        <f>+IFERROR(VLOOKUP(AJ$4&amp;$C34,'AMFI AUM 31 March 2018'!$A:$F,6,0),0)</f>
        <v>0</v>
      </c>
      <c r="AK34" s="297">
        <f>+IFERROR(VLOOKUP(AK$4&amp;$C34,'AMFI AUM 31 March 2018'!$A:$F,6,0),0)</f>
        <v>0</v>
      </c>
      <c r="AL34" s="297">
        <f>+IFERROR(VLOOKUP(AL$4&amp;$C34,'AMFI AUM 31 March 2018'!$A:$F,6,0),0)</f>
        <v>0</v>
      </c>
      <c r="AM34" s="297">
        <f>+IFERROR(VLOOKUP(AM$4&amp;$C34,'AMFI AUM 31 March 2018'!$A:$F,6,0),0)</f>
        <v>0</v>
      </c>
      <c r="AN34" s="297">
        <f>+IFERROR(VLOOKUP(AN$4&amp;$C34,'AMFI AUM 31 March 2018'!$A:$F,6,0),0)</f>
        <v>0</v>
      </c>
      <c r="AO34" s="297">
        <f>+IFERROR(VLOOKUP(AO$4&amp;$C34,'AMFI AUM 31 March 2018'!$A:$F,6,0),0)</f>
        <v>0</v>
      </c>
      <c r="AP34" s="297">
        <f>+IFERROR(VLOOKUP(AP$4&amp;$C34,'AMFI AUM 31 March 2018'!$A:$F,6,0),0)</f>
        <v>0</v>
      </c>
      <c r="AQ34" s="297">
        <f>+IFERROR(VLOOKUP(AQ$4&amp;$C34,'AMFI AUM 31 March 2018'!$A:$F,6,0),0)</f>
        <v>14.885899999999999</v>
      </c>
      <c r="AR34" s="297">
        <f>+IFERROR(VLOOKUP(AR$4&amp;$C34,'AMFI AUM 31 March 2018'!$A:$F,6,0),0)</f>
        <v>10.7784</v>
      </c>
      <c r="AS34" s="297">
        <f>+IFERROR(VLOOKUP(AS$4&amp;$C34,'AMFI AUM 31 March 2018'!$A:$F,6,0),0)</f>
        <v>12.174200000000001</v>
      </c>
      <c r="AT34" s="297">
        <f>+IFERROR(VLOOKUP(AT$4&amp;$C34,'AMFI AUM 31 March 2018'!$A:$F,6,0),0)</f>
        <v>12.0686</v>
      </c>
      <c r="AU34" s="297">
        <f>+IFERROR(VLOOKUP(AU$4&amp;$C34,'AMFI AUM 31 March 2018'!$A:$F,6,0),0)</f>
        <v>12.1051</v>
      </c>
      <c r="AV34" s="297">
        <f>+IFERROR(VLOOKUP(AV$4&amp;$C34,'AMFI AUM 31 March 2018'!$A:$F,6,0),0)</f>
        <v>0</v>
      </c>
      <c r="AW34" s="297">
        <f>+IFERROR(VLOOKUP(AW$4&amp;$C34,'AMFI AUM 31 March 2018'!$A:$F,6,0),0)</f>
        <v>0</v>
      </c>
      <c r="AX34" s="298">
        <f>+IFERROR(VLOOKUP(AX$4&amp;$C34,'AMFI AUM 31 March 2018'!$A:$F,6,0),0)</f>
        <v>0</v>
      </c>
    </row>
    <row r="35" spans="3:50" ht="12.75">
      <c r="C35" s="295" t="s">
        <v>111</v>
      </c>
      <c r="D35" s="296" t="s">
        <v>112</v>
      </c>
      <c r="E35" s="297">
        <f>+IFERROR(VLOOKUP(E$4&amp;$C35,'AMFI AUM 31 March 2018'!$A:$F,6,0),0)</f>
        <v>0</v>
      </c>
      <c r="F35" s="297">
        <f>+IFERROR(VLOOKUP(F$4&amp;$C35,'AMFI AUM 31 March 2018'!$A:$F,6,0),0)</f>
        <v>0</v>
      </c>
      <c r="G35" s="297">
        <f>+IFERROR(VLOOKUP(G$4&amp;$C35,'AMFI AUM 31 March 2018'!$A:$F,6,0),0)</f>
        <v>0</v>
      </c>
      <c r="H35" s="297">
        <f>+IFERROR(VLOOKUP(H$4&amp;$C35,'AMFI AUM 31 March 2018'!$A:$F,6,0),0)</f>
        <v>0</v>
      </c>
      <c r="I35" s="297">
        <f>+IFERROR(VLOOKUP(I$4&amp;$C35,'AMFI AUM 31 March 2018'!$A:$F,6,0),0)</f>
        <v>0</v>
      </c>
      <c r="J35" s="297">
        <f>+IFERROR(VLOOKUP(J$4&amp;$C35,'AMFI AUM 31 March 2018'!$A:$F,6,0),0)</f>
        <v>10.425800000000001</v>
      </c>
      <c r="K35" s="297">
        <f>+IFERROR(VLOOKUP(K$4&amp;$C35,'AMFI AUM 31 March 2018'!$A:$F,6,0),0)</f>
        <v>0</v>
      </c>
      <c r="L35" s="297">
        <f>+IFERROR(VLOOKUP(L$4&amp;$C35,'AMFI AUM 31 March 2018'!$A:$F,6,0),0)</f>
        <v>0</v>
      </c>
      <c r="M35" s="297">
        <f>+IFERROR(VLOOKUP(M$4&amp;$C35,'AMFI AUM 31 March 2018'!$A:$F,6,0),0)</f>
        <v>0</v>
      </c>
      <c r="N35" s="297">
        <f>+IFERROR(VLOOKUP(N$4&amp;$C35,'AMFI AUM 31 March 2018'!$A:$F,6,0),0)</f>
        <v>0</v>
      </c>
      <c r="O35" s="297">
        <f>+IFERROR(VLOOKUP(O$4&amp;$C35,'AMFI AUM 31 March 2018'!$A:$F,6,0),0)</f>
        <v>0</v>
      </c>
      <c r="P35" s="297">
        <f>+IFERROR(VLOOKUP(P$4&amp;$C35,'AMFI AUM 31 March 2018'!$A:$F,6,0),0)</f>
        <v>0</v>
      </c>
      <c r="Q35" s="297">
        <f>+IFERROR(VLOOKUP(Q$4&amp;$C35,'AMFI AUM 31 March 2018'!$A:$F,6,0),0)</f>
        <v>10.2722</v>
      </c>
      <c r="R35" s="297">
        <f>+IFERROR(VLOOKUP(R$4&amp;$C35,'AMFI AUM 31 March 2018'!$A:$F,6,0),0)</f>
        <v>10.1107</v>
      </c>
      <c r="S35" s="297">
        <f>+IFERROR(VLOOKUP(S$4&amp;$C35,'AMFI AUM 31 March 2018'!$A:$F,6,0),0)</f>
        <v>0</v>
      </c>
      <c r="T35" s="297">
        <f>+IFERROR(VLOOKUP(T$4&amp;$C35,'AMFI AUM 31 March 2018'!$A:$F,6,0),0)</f>
        <v>0</v>
      </c>
      <c r="U35" s="297">
        <f>+IFERROR(VLOOKUP(U$4&amp;$C35,'AMFI AUM 31 March 2018'!$A:$F,6,0),0)</f>
        <v>0</v>
      </c>
      <c r="V35" s="297">
        <f>+IFERROR(VLOOKUP(V$4&amp;$C35,'AMFI AUM 31 March 2018'!$A:$F,6,0),0)</f>
        <v>0</v>
      </c>
      <c r="W35" s="297">
        <f>+IFERROR(VLOOKUP(W$4&amp;$C35,'AMFI AUM 31 March 2018'!$A:$F,6,0),0)</f>
        <v>0</v>
      </c>
      <c r="X35" s="297">
        <v>0</v>
      </c>
      <c r="Y35" s="297">
        <v>0</v>
      </c>
      <c r="Z35" s="297">
        <v>0</v>
      </c>
      <c r="AA35" s="297">
        <f>+IFERROR(VLOOKUP(AA$4&amp;$C35,'AMFI AUM 31 March 2018'!$A:$F,6,0),0)</f>
        <v>0</v>
      </c>
      <c r="AB35" s="297">
        <v>0</v>
      </c>
      <c r="AC35" s="297">
        <v>0</v>
      </c>
      <c r="AD35" s="297">
        <v>0</v>
      </c>
      <c r="AE35" s="297">
        <v>0</v>
      </c>
      <c r="AF35" s="297">
        <v>0</v>
      </c>
      <c r="AG35" s="297">
        <v>0</v>
      </c>
      <c r="AH35" s="297">
        <v>0</v>
      </c>
      <c r="AI35" s="297">
        <v>0</v>
      </c>
      <c r="AJ35" s="297">
        <f>+IFERROR(VLOOKUP(AJ$4&amp;$C35,'AMFI AUM 31 March 2018'!$A:$F,6,0),0)</f>
        <v>0</v>
      </c>
      <c r="AK35" s="297">
        <f>+IFERROR(VLOOKUP(AK$4&amp;$C35,'AMFI AUM 31 March 2018'!$A:$F,6,0),0)</f>
        <v>0</v>
      </c>
      <c r="AL35" s="297">
        <f>+IFERROR(VLOOKUP(AL$4&amp;$C35,'AMFI AUM 31 March 2018'!$A:$F,6,0),0)</f>
        <v>0</v>
      </c>
      <c r="AM35" s="297">
        <f>+IFERROR(VLOOKUP(AM$4&amp;$C35,'AMFI AUM 31 March 2018'!$A:$F,6,0),0)</f>
        <v>0</v>
      </c>
      <c r="AN35" s="297">
        <f>+IFERROR(VLOOKUP(AN$4&amp;$C35,'AMFI AUM 31 March 2018'!$A:$F,6,0),0)</f>
        <v>0</v>
      </c>
      <c r="AO35" s="297">
        <f>+IFERROR(VLOOKUP(AO$4&amp;$C35,'AMFI AUM 31 March 2018'!$A:$F,6,0),0)</f>
        <v>0</v>
      </c>
      <c r="AP35" s="297">
        <f>+IFERROR(VLOOKUP(AP$4&amp;$C35,'AMFI AUM 31 March 2018'!$A:$F,6,0),0)</f>
        <v>0</v>
      </c>
      <c r="AQ35" s="297">
        <f>+IFERROR(VLOOKUP(AQ$4&amp;$C35,'AMFI AUM 31 March 2018'!$A:$F,6,0),0)</f>
        <v>0</v>
      </c>
      <c r="AR35" s="297">
        <f>+IFERROR(VLOOKUP(AR$4&amp;$C35,'AMFI AUM 31 March 2018'!$A:$F,6,0),0)</f>
        <v>0</v>
      </c>
      <c r="AS35" s="297">
        <f>+IFERROR(VLOOKUP(AS$4&amp;$C35,'AMFI AUM 31 March 2018'!$A:$F,6,0),0)</f>
        <v>0</v>
      </c>
      <c r="AT35" s="297">
        <f>+IFERROR(VLOOKUP(AT$4&amp;$C35,'AMFI AUM 31 March 2018'!$A:$F,6,0),0)</f>
        <v>0</v>
      </c>
      <c r="AU35" s="297">
        <f>+IFERROR(VLOOKUP(AU$4&amp;$C35,'AMFI AUM 31 March 2018'!$A:$F,6,0),0)</f>
        <v>0</v>
      </c>
      <c r="AV35" s="297">
        <f>+IFERROR(VLOOKUP(AV$4&amp;$C35,'AMFI AUM 31 March 2018'!$A:$F,6,0),0)</f>
        <v>0</v>
      </c>
      <c r="AW35" s="297">
        <f>+IFERROR(VLOOKUP(AW$4&amp;$C35,'AMFI AUM 31 March 2018'!$A:$F,6,0),0)</f>
        <v>0</v>
      </c>
      <c r="AX35" s="298">
        <f>+IFERROR(VLOOKUP(AX$4&amp;$C35,'AMFI AUM 31 March 2018'!$A:$F,6,0),0)</f>
        <v>0</v>
      </c>
    </row>
    <row r="36" spans="3:50" ht="12.75">
      <c r="C36" s="295" t="s">
        <v>113</v>
      </c>
      <c r="D36" s="296" t="s">
        <v>114</v>
      </c>
      <c r="E36" s="297">
        <f>+IFERROR(VLOOKUP(E$4&amp;$C36,'AMFI AUM 31 March 2018'!$A:$F,6,0),0)</f>
        <v>0</v>
      </c>
      <c r="F36" s="297">
        <f>+IFERROR(VLOOKUP(F$4&amp;$C36,'AMFI AUM 31 March 2018'!$A:$F,6,0),0)</f>
        <v>0</v>
      </c>
      <c r="G36" s="297">
        <f>+IFERROR(VLOOKUP(G$4&amp;$C36,'AMFI AUM 31 March 2018'!$A:$F,6,0),0)</f>
        <v>0</v>
      </c>
      <c r="H36" s="297">
        <f>+IFERROR(VLOOKUP(H$4&amp;$C36,'AMFI AUM 31 March 2018'!$A:$F,6,0),0)</f>
        <v>0</v>
      </c>
      <c r="I36" s="297">
        <f>+IFERROR(VLOOKUP(I$4&amp;$C36,'AMFI AUM 31 March 2018'!$A:$F,6,0),0)</f>
        <v>0</v>
      </c>
      <c r="J36" s="297">
        <f>+IFERROR(VLOOKUP(J$4&amp;$C36,'AMFI AUM 31 March 2018'!$A:$F,6,0),0)</f>
        <v>10.570600000000001</v>
      </c>
      <c r="K36" s="297">
        <f>+IFERROR(VLOOKUP(K$4&amp;$C36,'AMFI AUM 31 March 2018'!$A:$F,6,0),0)</f>
        <v>0</v>
      </c>
      <c r="L36" s="297">
        <f>+IFERROR(VLOOKUP(L$4&amp;$C36,'AMFI AUM 31 March 2018'!$A:$F,6,0),0)</f>
        <v>0</v>
      </c>
      <c r="M36" s="297">
        <f>+IFERROR(VLOOKUP(M$4&amp;$C36,'AMFI AUM 31 March 2018'!$A:$F,6,0),0)</f>
        <v>0</v>
      </c>
      <c r="N36" s="297">
        <f>+IFERROR(VLOOKUP(N$4&amp;$C36,'AMFI AUM 31 March 2018'!$A:$F,6,0),0)</f>
        <v>0</v>
      </c>
      <c r="O36" s="297">
        <f>+IFERROR(VLOOKUP(O$4&amp;$C36,'AMFI AUM 31 March 2018'!$A:$F,6,0),0)</f>
        <v>0</v>
      </c>
      <c r="P36" s="297">
        <f>+IFERROR(VLOOKUP(P$4&amp;$C36,'AMFI AUM 31 March 2018'!$A:$F,6,0),0)</f>
        <v>0</v>
      </c>
      <c r="Q36" s="297">
        <f>+IFERROR(VLOOKUP(Q$4&amp;$C36,'AMFI AUM 31 March 2018'!$A:$F,6,0),0)</f>
        <v>0</v>
      </c>
      <c r="R36" s="297">
        <f>+IFERROR(VLOOKUP(R$4&amp;$C36,'AMFI AUM 31 March 2018'!$A:$F,6,0),0)</f>
        <v>0</v>
      </c>
      <c r="S36" s="297">
        <f>+IFERROR(VLOOKUP(S$4&amp;$C36,'AMFI AUM 31 March 2018'!$A:$F,6,0),0)</f>
        <v>0</v>
      </c>
      <c r="T36" s="297">
        <f>+IFERROR(VLOOKUP(T$4&amp;$C36,'AMFI AUM 31 March 2018'!$A:$F,6,0),0)</f>
        <v>0</v>
      </c>
      <c r="U36" s="297">
        <f>+IFERROR(VLOOKUP(U$4&amp;$C36,'AMFI AUM 31 March 2018'!$A:$F,6,0),0)</f>
        <v>0</v>
      </c>
      <c r="V36" s="297">
        <f>+IFERROR(VLOOKUP(V$4&amp;$C36,'AMFI AUM 31 March 2018'!$A:$F,6,0),0)</f>
        <v>0</v>
      </c>
      <c r="W36" s="297">
        <f>+IFERROR(VLOOKUP(W$4&amp;$C36,'AMFI AUM 31 March 2018'!$A:$F,6,0),0)</f>
        <v>0</v>
      </c>
      <c r="X36" s="297">
        <v>0</v>
      </c>
      <c r="Y36" s="297">
        <v>0</v>
      </c>
      <c r="Z36" s="297">
        <v>0</v>
      </c>
      <c r="AA36" s="297">
        <f>+IFERROR(VLOOKUP(AA$4&amp;$C36,'AMFI AUM 31 March 2018'!$A:$F,6,0),0)</f>
        <v>0</v>
      </c>
      <c r="AB36" s="297">
        <v>0</v>
      </c>
      <c r="AC36" s="297">
        <v>0</v>
      </c>
      <c r="AD36" s="297">
        <v>0</v>
      </c>
      <c r="AE36" s="297">
        <v>0</v>
      </c>
      <c r="AF36" s="297">
        <v>0</v>
      </c>
      <c r="AG36" s="297">
        <v>0</v>
      </c>
      <c r="AH36" s="297">
        <v>0</v>
      </c>
      <c r="AI36" s="297">
        <v>0</v>
      </c>
      <c r="AJ36" s="297">
        <f>+IFERROR(VLOOKUP(AJ$4&amp;$C36,'AMFI AUM 31 March 2018'!$A:$F,6,0),0)</f>
        <v>0</v>
      </c>
      <c r="AK36" s="297">
        <f>+IFERROR(VLOOKUP(AK$4&amp;$C36,'AMFI AUM 31 March 2018'!$A:$F,6,0),0)</f>
        <v>0</v>
      </c>
      <c r="AL36" s="297">
        <f>+IFERROR(VLOOKUP(AL$4&amp;$C36,'AMFI AUM 31 March 2018'!$A:$F,6,0),0)</f>
        <v>0</v>
      </c>
      <c r="AM36" s="297">
        <f>+IFERROR(VLOOKUP(AM$4&amp;$C36,'AMFI AUM 31 March 2018'!$A:$F,6,0),0)</f>
        <v>0</v>
      </c>
      <c r="AN36" s="297">
        <f>+IFERROR(VLOOKUP(AN$4&amp;$C36,'AMFI AUM 31 March 2018'!$A:$F,6,0),0)</f>
        <v>0</v>
      </c>
      <c r="AO36" s="297">
        <f>+IFERROR(VLOOKUP(AO$4&amp;$C36,'AMFI AUM 31 March 2018'!$A:$F,6,0),0)</f>
        <v>0</v>
      </c>
      <c r="AP36" s="297">
        <f>+IFERROR(VLOOKUP(AP$4&amp;$C36,'AMFI AUM 31 March 2018'!$A:$F,6,0),0)</f>
        <v>0</v>
      </c>
      <c r="AQ36" s="297">
        <f>+IFERROR(VLOOKUP(AQ$4&amp;$C36,'AMFI AUM 31 March 2018'!$A:$F,6,0),0)</f>
        <v>0</v>
      </c>
      <c r="AR36" s="297">
        <f>+IFERROR(VLOOKUP(AR$4&amp;$C36,'AMFI AUM 31 March 2018'!$A:$F,6,0),0)</f>
        <v>0</v>
      </c>
      <c r="AS36" s="297">
        <f>+IFERROR(VLOOKUP(AS$4&amp;$C36,'AMFI AUM 31 March 2018'!$A:$F,6,0),0)</f>
        <v>0</v>
      </c>
      <c r="AT36" s="297">
        <f>+IFERROR(VLOOKUP(AT$4&amp;$C36,'AMFI AUM 31 March 2018'!$A:$F,6,0),0)</f>
        <v>0</v>
      </c>
      <c r="AU36" s="297">
        <f>+IFERROR(VLOOKUP(AU$4&amp;$C36,'AMFI AUM 31 March 2018'!$A:$F,6,0),0)</f>
        <v>0</v>
      </c>
      <c r="AV36" s="297">
        <f>+IFERROR(VLOOKUP(AV$4&amp;$C36,'AMFI AUM 31 March 2018'!$A:$F,6,0),0)</f>
        <v>0</v>
      </c>
      <c r="AW36" s="297">
        <f>+IFERROR(VLOOKUP(AW$4&amp;$C36,'AMFI AUM 31 March 2018'!$A:$F,6,0),0)</f>
        <v>0</v>
      </c>
      <c r="AX36" s="298">
        <f>+IFERROR(VLOOKUP(AX$4&amp;$C36,'AMFI AUM 31 March 2018'!$A:$F,6,0),0)</f>
        <v>0</v>
      </c>
    </row>
    <row r="37" spans="3:50" ht="12.75">
      <c r="C37" s="295" t="s">
        <v>115</v>
      </c>
      <c r="D37" s="296" t="s">
        <v>116</v>
      </c>
      <c r="E37" s="297">
        <f>+IFERROR(VLOOKUP(E$4&amp;$C37,'AMFI AUM 31 March 2018'!$A:$F,6,0),0)</f>
        <v>0</v>
      </c>
      <c r="F37" s="297">
        <f>+IFERROR(VLOOKUP(F$4&amp;$C37,'AMFI AUM 31 March 2018'!$A:$F,6,0),0)</f>
        <v>0</v>
      </c>
      <c r="G37" s="297">
        <f>+IFERROR(VLOOKUP(G$4&amp;$C37,'AMFI AUM 31 March 2018'!$A:$F,6,0),0)</f>
        <v>0</v>
      </c>
      <c r="H37" s="297">
        <f>+IFERROR(VLOOKUP(H$4&amp;$C37,'AMFI AUM 31 March 2018'!$A:$F,6,0),0)</f>
        <v>0</v>
      </c>
      <c r="I37" s="297">
        <f>+IFERROR(VLOOKUP(I$4&amp;$C37,'AMFI AUM 31 March 2018'!$A:$F,6,0),0)</f>
        <v>0</v>
      </c>
      <c r="J37" s="297">
        <f>+IFERROR(VLOOKUP(J$4&amp;$C37,'AMFI AUM 31 March 2018'!$A:$F,6,0),0)</f>
        <v>11.194699999999999</v>
      </c>
      <c r="K37" s="297">
        <f>+IFERROR(VLOOKUP(K$4&amp;$C37,'AMFI AUM 31 March 2018'!$A:$F,6,0),0)</f>
        <v>0</v>
      </c>
      <c r="L37" s="297">
        <f>+IFERROR(VLOOKUP(L$4&amp;$C37,'AMFI AUM 31 March 2018'!$A:$F,6,0),0)</f>
        <v>0</v>
      </c>
      <c r="M37" s="297">
        <f>+IFERROR(VLOOKUP(M$4&amp;$C37,'AMFI AUM 31 March 2018'!$A:$F,6,0),0)</f>
        <v>0</v>
      </c>
      <c r="N37" s="297">
        <f>+IFERROR(VLOOKUP(N$4&amp;$C37,'AMFI AUM 31 March 2018'!$A:$F,6,0),0)</f>
        <v>0</v>
      </c>
      <c r="O37" s="297">
        <f>+IFERROR(VLOOKUP(O$4&amp;$C37,'AMFI AUM 31 March 2018'!$A:$F,6,0),0)</f>
        <v>0</v>
      </c>
      <c r="P37" s="297">
        <f>+IFERROR(VLOOKUP(P$4&amp;$C37,'AMFI AUM 31 March 2018'!$A:$F,6,0),0)</f>
        <v>0</v>
      </c>
      <c r="Q37" s="297">
        <f>+IFERROR(VLOOKUP(Q$4&amp;$C37,'AMFI AUM 31 March 2018'!$A:$F,6,0),0)</f>
        <v>0</v>
      </c>
      <c r="R37" s="297">
        <f>+IFERROR(VLOOKUP(R$4&amp;$C37,'AMFI AUM 31 March 2018'!$A:$F,6,0),0)</f>
        <v>0</v>
      </c>
      <c r="S37" s="297">
        <f>+IFERROR(VLOOKUP(S$4&amp;$C37,'AMFI AUM 31 March 2018'!$A:$F,6,0),0)</f>
        <v>0</v>
      </c>
      <c r="T37" s="297">
        <f>+IFERROR(VLOOKUP(T$4&amp;$C37,'AMFI AUM 31 March 2018'!$A:$F,6,0),0)</f>
        <v>0</v>
      </c>
      <c r="U37" s="297">
        <f>+IFERROR(VLOOKUP(U$4&amp;$C37,'AMFI AUM 31 March 2018'!$A:$F,6,0),0)</f>
        <v>0</v>
      </c>
      <c r="V37" s="297">
        <f>+IFERROR(VLOOKUP(V$4&amp;$C37,'AMFI AUM 31 March 2018'!$A:$F,6,0),0)</f>
        <v>0</v>
      </c>
      <c r="W37" s="297">
        <f>+IFERROR(VLOOKUP(W$4&amp;$C37,'AMFI AUM 31 March 2018'!$A:$F,6,0),0)</f>
        <v>0</v>
      </c>
      <c r="X37" s="297">
        <v>0</v>
      </c>
      <c r="Y37" s="297">
        <v>0</v>
      </c>
      <c r="Z37" s="297">
        <v>0</v>
      </c>
      <c r="AA37" s="297">
        <f>+IFERROR(VLOOKUP(AA$4&amp;$C37,'AMFI AUM 31 March 2018'!$A:$F,6,0),0)</f>
        <v>0</v>
      </c>
      <c r="AB37" s="297">
        <v>0</v>
      </c>
      <c r="AC37" s="297">
        <v>0</v>
      </c>
      <c r="AD37" s="297">
        <v>0</v>
      </c>
      <c r="AE37" s="297">
        <v>0</v>
      </c>
      <c r="AF37" s="297">
        <v>0</v>
      </c>
      <c r="AG37" s="297">
        <v>0</v>
      </c>
      <c r="AH37" s="297">
        <v>0</v>
      </c>
      <c r="AI37" s="297">
        <v>0</v>
      </c>
      <c r="AJ37" s="297">
        <f>+IFERROR(VLOOKUP(AJ$4&amp;$C37,'AMFI AUM 31 March 2018'!$A:$F,6,0),0)</f>
        <v>0</v>
      </c>
      <c r="AK37" s="297">
        <f>+IFERROR(VLOOKUP(AK$4&amp;$C37,'AMFI AUM 31 March 2018'!$A:$F,6,0),0)</f>
        <v>0</v>
      </c>
      <c r="AL37" s="297">
        <f>+IFERROR(VLOOKUP(AL$4&amp;$C37,'AMFI AUM 31 March 2018'!$A:$F,6,0),0)</f>
        <v>0</v>
      </c>
      <c r="AM37" s="297">
        <f>+IFERROR(VLOOKUP(AM$4&amp;$C37,'AMFI AUM 31 March 2018'!$A:$F,6,0),0)</f>
        <v>0</v>
      </c>
      <c r="AN37" s="297">
        <f>+IFERROR(VLOOKUP(AN$4&amp;$C37,'AMFI AUM 31 March 2018'!$A:$F,6,0),0)</f>
        <v>0</v>
      </c>
      <c r="AO37" s="297">
        <f>+IFERROR(VLOOKUP(AO$4&amp;$C37,'AMFI AUM 31 March 2018'!$A:$F,6,0),0)</f>
        <v>0</v>
      </c>
      <c r="AP37" s="297">
        <f>+IFERROR(VLOOKUP(AP$4&amp;$C37,'AMFI AUM 31 March 2018'!$A:$F,6,0),0)</f>
        <v>0</v>
      </c>
      <c r="AQ37" s="297">
        <f>+IFERROR(VLOOKUP(AQ$4&amp;$C37,'AMFI AUM 31 March 2018'!$A:$F,6,0),0)</f>
        <v>0</v>
      </c>
      <c r="AR37" s="297">
        <f>+IFERROR(VLOOKUP(AR$4&amp;$C37,'AMFI AUM 31 March 2018'!$A:$F,6,0),0)</f>
        <v>0</v>
      </c>
      <c r="AS37" s="297">
        <f>+IFERROR(VLOOKUP(AS$4&amp;$C37,'AMFI AUM 31 March 2018'!$A:$F,6,0),0)</f>
        <v>0</v>
      </c>
      <c r="AT37" s="297">
        <f>+IFERROR(VLOOKUP(AT$4&amp;$C37,'AMFI AUM 31 March 2018'!$A:$F,6,0),0)</f>
        <v>0</v>
      </c>
      <c r="AU37" s="297">
        <f>+IFERROR(VLOOKUP(AU$4&amp;$C37,'AMFI AUM 31 March 2018'!$A:$F,6,0),0)</f>
        <v>0</v>
      </c>
      <c r="AV37" s="297">
        <f>+IFERROR(VLOOKUP(AV$4&amp;$C37,'AMFI AUM 31 March 2018'!$A:$F,6,0),0)</f>
        <v>0</v>
      </c>
      <c r="AW37" s="297">
        <f>+IFERROR(VLOOKUP(AW$4&amp;$C37,'AMFI AUM 31 March 2018'!$A:$F,6,0),0)</f>
        <v>0</v>
      </c>
      <c r="AX37" s="298">
        <f>+IFERROR(VLOOKUP(AX$4&amp;$C37,'AMFI AUM 31 March 2018'!$A:$F,6,0),0)</f>
        <v>0</v>
      </c>
    </row>
    <row r="38" spans="3:50" ht="12.75">
      <c r="C38" s="295" t="s">
        <v>117</v>
      </c>
      <c r="D38" s="296" t="s">
        <v>118</v>
      </c>
      <c r="E38" s="297">
        <f>+IFERROR(VLOOKUP(E$4&amp;$C38,'AMFI AUM 31 March 2018'!$A:$F,6,0),0)</f>
        <v>0</v>
      </c>
      <c r="F38" s="297">
        <f>+IFERROR(VLOOKUP(F$4&amp;$C38,'AMFI AUM 31 March 2018'!$A:$F,6,0),0)</f>
        <v>0</v>
      </c>
      <c r="G38" s="297">
        <f>+IFERROR(VLOOKUP(G$4&amp;$C38,'AMFI AUM 31 March 2018'!$A:$F,6,0),0)</f>
        <v>0</v>
      </c>
      <c r="H38" s="297">
        <f>+IFERROR(VLOOKUP(H$4&amp;$C38,'AMFI AUM 31 March 2018'!$A:$F,6,0),0)</f>
        <v>0</v>
      </c>
      <c r="I38" s="297">
        <f>+IFERROR(VLOOKUP(I$4&amp;$C38,'AMFI AUM 31 March 2018'!$A:$F,6,0),0)</f>
        <v>0</v>
      </c>
      <c r="J38" s="297">
        <f>+IFERROR(VLOOKUP(J$4&amp;$C38,'AMFI AUM 31 March 2018'!$A:$F,6,0),0)</f>
        <v>10.539300000000001</v>
      </c>
      <c r="K38" s="297">
        <f>+IFERROR(VLOOKUP(K$4&amp;$C38,'AMFI AUM 31 March 2018'!$A:$F,6,0),0)</f>
        <v>0</v>
      </c>
      <c r="L38" s="297">
        <f>+IFERROR(VLOOKUP(L$4&amp;$C38,'AMFI AUM 31 March 2018'!$A:$F,6,0),0)</f>
        <v>0</v>
      </c>
      <c r="M38" s="297">
        <f>+IFERROR(VLOOKUP(M$4&amp;$C38,'AMFI AUM 31 March 2018'!$A:$F,6,0),0)</f>
        <v>0</v>
      </c>
      <c r="N38" s="297">
        <f>+IFERROR(VLOOKUP(N$4&amp;$C38,'AMFI AUM 31 March 2018'!$A:$F,6,0),0)</f>
        <v>0</v>
      </c>
      <c r="O38" s="297">
        <f>+IFERROR(VLOOKUP(O$4&amp;$C38,'AMFI AUM 31 March 2018'!$A:$F,6,0),0)</f>
        <v>0</v>
      </c>
      <c r="P38" s="297">
        <f>+IFERROR(VLOOKUP(P$4&amp;$C38,'AMFI AUM 31 March 2018'!$A:$F,6,0),0)</f>
        <v>0</v>
      </c>
      <c r="Q38" s="297">
        <f>+IFERROR(VLOOKUP(Q$4&amp;$C38,'AMFI AUM 31 March 2018'!$A:$F,6,0),0)</f>
        <v>14.427300000000001</v>
      </c>
      <c r="R38" s="297">
        <f>+IFERROR(VLOOKUP(R$4&amp;$C38,'AMFI AUM 31 March 2018'!$A:$F,6,0),0)</f>
        <v>10.2278</v>
      </c>
      <c r="S38" s="297">
        <f>+IFERROR(VLOOKUP(S$4&amp;$C38,'AMFI AUM 31 March 2018'!$A:$F,6,0),0)</f>
        <v>0</v>
      </c>
      <c r="T38" s="297">
        <f>+IFERROR(VLOOKUP(T$4&amp;$C38,'AMFI AUM 31 March 2018'!$A:$F,6,0),0)</f>
        <v>0</v>
      </c>
      <c r="U38" s="297">
        <f>+IFERROR(VLOOKUP(U$4&amp;$C38,'AMFI AUM 31 March 2018'!$A:$F,6,0),0)</f>
        <v>0</v>
      </c>
      <c r="V38" s="297">
        <f>+IFERROR(VLOOKUP(V$4&amp;$C38,'AMFI AUM 31 March 2018'!$A:$F,6,0),0)</f>
        <v>0</v>
      </c>
      <c r="W38" s="297">
        <f>+IFERROR(VLOOKUP(W$4&amp;$C38,'AMFI AUM 31 March 2018'!$A:$F,6,0),0)</f>
        <v>0</v>
      </c>
      <c r="X38" s="297">
        <v>0</v>
      </c>
      <c r="Y38" s="297">
        <v>0</v>
      </c>
      <c r="Z38" s="297">
        <v>0</v>
      </c>
      <c r="AA38" s="297">
        <f>+IFERROR(VLOOKUP(AA$4&amp;$C38,'AMFI AUM 31 March 2018'!$A:$F,6,0),0)</f>
        <v>0</v>
      </c>
      <c r="AB38" s="297">
        <v>0</v>
      </c>
      <c r="AC38" s="297">
        <v>0</v>
      </c>
      <c r="AD38" s="297">
        <v>0</v>
      </c>
      <c r="AE38" s="297">
        <v>0</v>
      </c>
      <c r="AF38" s="297">
        <v>0</v>
      </c>
      <c r="AG38" s="297">
        <v>0</v>
      </c>
      <c r="AH38" s="297">
        <v>0</v>
      </c>
      <c r="AI38" s="297">
        <v>0</v>
      </c>
      <c r="AJ38" s="297">
        <f>+IFERROR(VLOOKUP(AJ$4&amp;$C38,'AMFI AUM 31 March 2018'!$A:$F,6,0),0)</f>
        <v>0</v>
      </c>
      <c r="AK38" s="297">
        <f>+IFERROR(VLOOKUP(AK$4&amp;$C38,'AMFI AUM 31 March 2018'!$A:$F,6,0),0)</f>
        <v>0</v>
      </c>
      <c r="AL38" s="297">
        <f>+IFERROR(VLOOKUP(AL$4&amp;$C38,'AMFI AUM 31 March 2018'!$A:$F,6,0),0)</f>
        <v>0</v>
      </c>
      <c r="AM38" s="297">
        <f>+IFERROR(VLOOKUP(AM$4&amp;$C38,'AMFI AUM 31 March 2018'!$A:$F,6,0),0)</f>
        <v>0</v>
      </c>
      <c r="AN38" s="297">
        <f>+IFERROR(VLOOKUP(AN$4&amp;$C38,'AMFI AUM 31 March 2018'!$A:$F,6,0),0)</f>
        <v>0</v>
      </c>
      <c r="AO38" s="297">
        <f>+IFERROR(VLOOKUP(AO$4&amp;$C38,'AMFI AUM 31 March 2018'!$A:$F,6,0),0)</f>
        <v>0</v>
      </c>
      <c r="AP38" s="297">
        <f>+IFERROR(VLOOKUP(AP$4&amp;$C38,'AMFI AUM 31 March 2018'!$A:$F,6,0),0)</f>
        <v>0</v>
      </c>
      <c r="AQ38" s="297">
        <f>+IFERROR(VLOOKUP(AQ$4&amp;$C38,'AMFI AUM 31 March 2018'!$A:$F,6,0),0)</f>
        <v>0</v>
      </c>
      <c r="AR38" s="297">
        <f>+IFERROR(VLOOKUP(AR$4&amp;$C38,'AMFI AUM 31 March 2018'!$A:$F,6,0),0)</f>
        <v>0</v>
      </c>
      <c r="AS38" s="297">
        <f>+IFERROR(VLOOKUP(AS$4&amp;$C38,'AMFI AUM 31 March 2018'!$A:$F,6,0),0)</f>
        <v>0</v>
      </c>
      <c r="AT38" s="297">
        <f>+IFERROR(VLOOKUP(AT$4&amp;$C38,'AMFI AUM 31 March 2018'!$A:$F,6,0),0)</f>
        <v>0</v>
      </c>
      <c r="AU38" s="297">
        <f>+IFERROR(VLOOKUP(AU$4&amp;$C38,'AMFI AUM 31 March 2018'!$A:$F,6,0),0)</f>
        <v>0</v>
      </c>
      <c r="AV38" s="297">
        <f>+IFERROR(VLOOKUP(AV$4&amp;$C38,'AMFI AUM 31 March 2018'!$A:$F,6,0),0)</f>
        <v>0</v>
      </c>
      <c r="AW38" s="297">
        <f>+IFERROR(VLOOKUP(AW$4&amp;$C38,'AMFI AUM 31 March 2018'!$A:$F,6,0),0)</f>
        <v>0</v>
      </c>
      <c r="AX38" s="298">
        <f>+IFERROR(VLOOKUP(AX$4&amp;$C38,'AMFI AUM 31 March 2018'!$A:$F,6,0),0)</f>
        <v>0</v>
      </c>
    </row>
    <row r="39" spans="3:50" ht="12.75">
      <c r="C39" s="295" t="s">
        <v>119</v>
      </c>
      <c r="D39" s="296" t="s">
        <v>120</v>
      </c>
      <c r="E39" s="297">
        <f>+IFERROR(VLOOKUP(E$4&amp;$C39,'AMFI AUM 31 March 2018'!$A:$F,6,0),0)</f>
        <v>0</v>
      </c>
      <c r="F39" s="297">
        <f>+IFERROR(VLOOKUP(F$4&amp;$C39,'AMFI AUM 31 March 2018'!$A:$F,6,0),0)</f>
        <v>0</v>
      </c>
      <c r="G39" s="297">
        <f>+IFERROR(VLOOKUP(G$4&amp;$C39,'AMFI AUM 31 March 2018'!$A:$F,6,0),0)</f>
        <v>0</v>
      </c>
      <c r="H39" s="297">
        <f>+IFERROR(VLOOKUP(H$4&amp;$C39,'AMFI AUM 31 March 2018'!$A:$F,6,0),0)</f>
        <v>0</v>
      </c>
      <c r="I39" s="297">
        <f>+IFERROR(VLOOKUP(I$4&amp;$C39,'AMFI AUM 31 March 2018'!$A:$F,6,0),0)</f>
        <v>0</v>
      </c>
      <c r="J39" s="297">
        <f>+IFERROR(VLOOKUP(J$4&amp;$C39,'AMFI AUM 31 March 2018'!$A:$F,6,0),0)</f>
        <v>11.039400000000001</v>
      </c>
      <c r="K39" s="297">
        <f>+IFERROR(VLOOKUP(K$4&amp;$C39,'AMFI AUM 31 March 2018'!$A:$F,6,0),0)</f>
        <v>0</v>
      </c>
      <c r="L39" s="297">
        <f>+IFERROR(VLOOKUP(L$4&amp;$C39,'AMFI AUM 31 March 2018'!$A:$F,6,0),0)</f>
        <v>0</v>
      </c>
      <c r="M39" s="297">
        <f>+IFERROR(VLOOKUP(M$4&amp;$C39,'AMFI AUM 31 March 2018'!$A:$F,6,0),0)</f>
        <v>0</v>
      </c>
      <c r="N39" s="297">
        <f>+IFERROR(VLOOKUP(N$4&amp;$C39,'AMFI AUM 31 March 2018'!$A:$F,6,0),0)</f>
        <v>0</v>
      </c>
      <c r="O39" s="297">
        <f>+IFERROR(VLOOKUP(O$4&amp;$C39,'AMFI AUM 31 March 2018'!$A:$F,6,0),0)</f>
        <v>0</v>
      </c>
      <c r="P39" s="297">
        <f>+IFERROR(VLOOKUP(P$4&amp;$C39,'AMFI AUM 31 March 2018'!$A:$F,6,0),0)</f>
        <v>0</v>
      </c>
      <c r="Q39" s="297">
        <f>+IFERROR(VLOOKUP(Q$4&amp;$C39,'AMFI AUM 31 March 2018'!$A:$F,6,0),0)</f>
        <v>0</v>
      </c>
      <c r="R39" s="297">
        <f>+IFERROR(VLOOKUP(R$4&amp;$C39,'AMFI AUM 31 March 2018'!$A:$F,6,0),0)</f>
        <v>0</v>
      </c>
      <c r="S39" s="297">
        <f>+IFERROR(VLOOKUP(S$4&amp;$C39,'AMFI AUM 31 March 2018'!$A:$F,6,0),0)</f>
        <v>0</v>
      </c>
      <c r="T39" s="297">
        <f>+IFERROR(VLOOKUP(T$4&amp;$C39,'AMFI AUM 31 March 2018'!$A:$F,6,0),0)</f>
        <v>0</v>
      </c>
      <c r="U39" s="297">
        <f>+IFERROR(VLOOKUP(U$4&amp;$C39,'AMFI AUM 31 March 2018'!$A:$F,6,0),0)</f>
        <v>0</v>
      </c>
      <c r="V39" s="297">
        <f>+IFERROR(VLOOKUP(V$4&amp;$C39,'AMFI AUM 31 March 2018'!$A:$F,6,0),0)</f>
        <v>0</v>
      </c>
      <c r="W39" s="297">
        <f>+IFERROR(VLOOKUP(W$4&amp;$C39,'AMFI AUM 31 March 2018'!$A:$F,6,0),0)</f>
        <v>0</v>
      </c>
      <c r="X39" s="297">
        <v>0</v>
      </c>
      <c r="Y39" s="297">
        <v>0</v>
      </c>
      <c r="Z39" s="297">
        <v>0</v>
      </c>
      <c r="AA39" s="297">
        <f>+IFERROR(VLOOKUP(AA$4&amp;$C39,'AMFI AUM 31 March 2018'!$A:$F,6,0),0)</f>
        <v>0</v>
      </c>
      <c r="AB39" s="297">
        <v>0</v>
      </c>
      <c r="AC39" s="297">
        <v>0</v>
      </c>
      <c r="AD39" s="297">
        <v>0</v>
      </c>
      <c r="AE39" s="297">
        <v>0</v>
      </c>
      <c r="AF39" s="297">
        <v>0</v>
      </c>
      <c r="AG39" s="297">
        <v>0</v>
      </c>
      <c r="AH39" s="297">
        <v>0</v>
      </c>
      <c r="AI39" s="297">
        <v>0</v>
      </c>
      <c r="AJ39" s="297">
        <f>+IFERROR(VLOOKUP(AJ$4&amp;$C39,'AMFI AUM 31 March 2018'!$A:$F,6,0),0)</f>
        <v>0</v>
      </c>
      <c r="AK39" s="297">
        <f>+IFERROR(VLOOKUP(AK$4&amp;$C39,'AMFI AUM 31 March 2018'!$A:$F,6,0),0)</f>
        <v>0</v>
      </c>
      <c r="AL39" s="297">
        <f>+IFERROR(VLOOKUP(AL$4&amp;$C39,'AMFI AUM 31 March 2018'!$A:$F,6,0),0)</f>
        <v>0</v>
      </c>
      <c r="AM39" s="297">
        <f>+IFERROR(VLOOKUP(AM$4&amp;$C39,'AMFI AUM 31 March 2018'!$A:$F,6,0),0)</f>
        <v>0</v>
      </c>
      <c r="AN39" s="297">
        <f>+IFERROR(VLOOKUP(AN$4&amp;$C39,'AMFI AUM 31 March 2018'!$A:$F,6,0),0)</f>
        <v>0</v>
      </c>
      <c r="AO39" s="297">
        <f>+IFERROR(VLOOKUP(AO$4&amp;$C39,'AMFI AUM 31 March 2018'!$A:$F,6,0),0)</f>
        <v>0</v>
      </c>
      <c r="AP39" s="297">
        <f>+IFERROR(VLOOKUP(AP$4&amp;$C39,'AMFI AUM 31 March 2018'!$A:$F,6,0),0)</f>
        <v>0</v>
      </c>
      <c r="AQ39" s="297">
        <f>+IFERROR(VLOOKUP(AQ$4&amp;$C39,'AMFI AUM 31 March 2018'!$A:$F,6,0),0)</f>
        <v>0</v>
      </c>
      <c r="AR39" s="297">
        <f>+IFERROR(VLOOKUP(AR$4&amp;$C39,'AMFI AUM 31 March 2018'!$A:$F,6,0),0)</f>
        <v>0</v>
      </c>
      <c r="AS39" s="297">
        <f>+IFERROR(VLOOKUP(AS$4&amp;$C39,'AMFI AUM 31 March 2018'!$A:$F,6,0),0)</f>
        <v>0</v>
      </c>
      <c r="AT39" s="297">
        <f>+IFERROR(VLOOKUP(AT$4&amp;$C39,'AMFI AUM 31 March 2018'!$A:$F,6,0),0)</f>
        <v>0</v>
      </c>
      <c r="AU39" s="297">
        <f>+IFERROR(VLOOKUP(AU$4&amp;$C39,'AMFI AUM 31 March 2018'!$A:$F,6,0),0)</f>
        <v>0</v>
      </c>
      <c r="AV39" s="297">
        <f>+IFERROR(VLOOKUP(AV$4&amp;$C39,'AMFI AUM 31 March 2018'!$A:$F,6,0),0)</f>
        <v>0</v>
      </c>
      <c r="AW39" s="297">
        <f>+IFERROR(VLOOKUP(AW$4&amp;$C39,'AMFI AUM 31 March 2018'!$A:$F,6,0),0)</f>
        <v>0</v>
      </c>
      <c r="AX39" s="298">
        <f>+IFERROR(VLOOKUP(AX$4&amp;$C39,'AMFI AUM 31 March 2018'!$A:$F,6,0),0)</f>
        <v>0</v>
      </c>
    </row>
    <row r="40" spans="3:50" ht="12.75">
      <c r="C40" s="295" t="s">
        <v>121</v>
      </c>
      <c r="D40" s="296" t="s">
        <v>122</v>
      </c>
      <c r="E40" s="297">
        <f>+IFERROR(VLOOKUP(E$4&amp;$C40,'AMFI AUM 31 March 2018'!$A:$F,6,0),0)</f>
        <v>0</v>
      </c>
      <c r="F40" s="297">
        <f>+IFERROR(VLOOKUP(F$4&amp;$C40,'AMFI AUM 31 March 2018'!$A:$F,6,0),0)</f>
        <v>0</v>
      </c>
      <c r="G40" s="297">
        <f>+IFERROR(VLOOKUP(G$4&amp;$C40,'AMFI AUM 31 March 2018'!$A:$F,6,0),0)</f>
        <v>0</v>
      </c>
      <c r="H40" s="297">
        <f>+IFERROR(VLOOKUP(H$4&amp;$C40,'AMFI AUM 31 March 2018'!$A:$F,6,0),0)</f>
        <v>0</v>
      </c>
      <c r="I40" s="297">
        <f>+IFERROR(VLOOKUP(I$4&amp;$C40,'AMFI AUM 31 March 2018'!$A:$F,6,0),0)</f>
        <v>0</v>
      </c>
      <c r="J40" s="297">
        <f>+IFERROR(VLOOKUP(J$4&amp;$C40,'AMFI AUM 31 March 2018'!$A:$F,6,0),0)</f>
        <v>11.603300000000001</v>
      </c>
      <c r="K40" s="297">
        <f>+IFERROR(VLOOKUP(K$4&amp;$C40,'AMFI AUM 31 March 2018'!$A:$F,6,0),0)</f>
        <v>0</v>
      </c>
      <c r="L40" s="297">
        <f>+IFERROR(VLOOKUP(L$4&amp;$C40,'AMFI AUM 31 March 2018'!$A:$F,6,0),0)</f>
        <v>0</v>
      </c>
      <c r="M40" s="297">
        <f>+IFERROR(VLOOKUP(M$4&amp;$C40,'AMFI AUM 31 March 2018'!$A:$F,6,0),0)</f>
        <v>0</v>
      </c>
      <c r="N40" s="297">
        <f>+IFERROR(VLOOKUP(N$4&amp;$C40,'AMFI AUM 31 March 2018'!$A:$F,6,0),0)</f>
        <v>0</v>
      </c>
      <c r="O40" s="297">
        <f>+IFERROR(VLOOKUP(O$4&amp;$C40,'AMFI AUM 31 March 2018'!$A:$F,6,0),0)</f>
        <v>0</v>
      </c>
      <c r="P40" s="297">
        <f>+IFERROR(VLOOKUP(P$4&amp;$C40,'AMFI AUM 31 March 2018'!$A:$F,6,0),0)</f>
        <v>0</v>
      </c>
      <c r="Q40" s="297">
        <f>+IFERROR(VLOOKUP(Q$4&amp;$C40,'AMFI AUM 31 March 2018'!$A:$F,6,0),0)</f>
        <v>0</v>
      </c>
      <c r="R40" s="297">
        <f>+IFERROR(VLOOKUP(R$4&amp;$C40,'AMFI AUM 31 March 2018'!$A:$F,6,0),0)</f>
        <v>0</v>
      </c>
      <c r="S40" s="297">
        <f>+IFERROR(VLOOKUP(S$4&amp;$C40,'AMFI AUM 31 March 2018'!$A:$F,6,0),0)</f>
        <v>0</v>
      </c>
      <c r="T40" s="297">
        <f>+IFERROR(VLOOKUP(T$4&amp;$C40,'AMFI AUM 31 March 2018'!$A:$F,6,0),0)</f>
        <v>0</v>
      </c>
      <c r="U40" s="297">
        <f>+IFERROR(VLOOKUP(U$4&amp;$C40,'AMFI AUM 31 March 2018'!$A:$F,6,0),0)</f>
        <v>0</v>
      </c>
      <c r="V40" s="297">
        <f>+IFERROR(VLOOKUP(V$4&amp;$C40,'AMFI AUM 31 March 2018'!$A:$F,6,0),0)</f>
        <v>0</v>
      </c>
      <c r="W40" s="297">
        <f>+IFERROR(VLOOKUP(W$4&amp;$C40,'AMFI AUM 31 March 2018'!$A:$F,6,0),0)</f>
        <v>0</v>
      </c>
      <c r="X40" s="297">
        <v>0</v>
      </c>
      <c r="Y40" s="297">
        <v>0</v>
      </c>
      <c r="Z40" s="297">
        <v>0</v>
      </c>
      <c r="AA40" s="297">
        <f>+IFERROR(VLOOKUP(AA$4&amp;$C40,'AMFI AUM 31 March 2018'!$A:$F,6,0),0)</f>
        <v>0</v>
      </c>
      <c r="AB40" s="297">
        <v>0</v>
      </c>
      <c r="AC40" s="297">
        <v>0</v>
      </c>
      <c r="AD40" s="297">
        <v>0</v>
      </c>
      <c r="AE40" s="297">
        <v>0</v>
      </c>
      <c r="AF40" s="297">
        <v>0</v>
      </c>
      <c r="AG40" s="297">
        <v>0</v>
      </c>
      <c r="AH40" s="297">
        <v>0</v>
      </c>
      <c r="AI40" s="297">
        <v>0</v>
      </c>
      <c r="AJ40" s="297">
        <f>+IFERROR(VLOOKUP(AJ$4&amp;$C40,'AMFI AUM 31 March 2018'!$A:$F,6,0),0)</f>
        <v>0</v>
      </c>
      <c r="AK40" s="297">
        <f>+IFERROR(VLOOKUP(AK$4&amp;$C40,'AMFI AUM 31 March 2018'!$A:$F,6,0),0)</f>
        <v>0</v>
      </c>
      <c r="AL40" s="297">
        <f>+IFERROR(VLOOKUP(AL$4&amp;$C40,'AMFI AUM 31 March 2018'!$A:$F,6,0),0)</f>
        <v>0</v>
      </c>
      <c r="AM40" s="297">
        <f>+IFERROR(VLOOKUP(AM$4&amp;$C40,'AMFI AUM 31 March 2018'!$A:$F,6,0),0)</f>
        <v>0</v>
      </c>
      <c r="AN40" s="297">
        <f>+IFERROR(VLOOKUP(AN$4&amp;$C40,'AMFI AUM 31 March 2018'!$A:$F,6,0),0)</f>
        <v>0</v>
      </c>
      <c r="AO40" s="297">
        <f>+IFERROR(VLOOKUP(AO$4&amp;$C40,'AMFI AUM 31 March 2018'!$A:$F,6,0),0)</f>
        <v>0</v>
      </c>
      <c r="AP40" s="297">
        <f>+IFERROR(VLOOKUP(AP$4&amp;$C40,'AMFI AUM 31 March 2018'!$A:$F,6,0),0)</f>
        <v>0</v>
      </c>
      <c r="AQ40" s="297">
        <f>+IFERROR(VLOOKUP(AQ$4&amp;$C40,'AMFI AUM 31 March 2018'!$A:$F,6,0),0)</f>
        <v>0</v>
      </c>
      <c r="AR40" s="297">
        <f>+IFERROR(VLOOKUP(AR$4&amp;$C40,'AMFI AUM 31 March 2018'!$A:$F,6,0),0)</f>
        <v>0</v>
      </c>
      <c r="AS40" s="297">
        <f>+IFERROR(VLOOKUP(AS$4&amp;$C40,'AMFI AUM 31 March 2018'!$A:$F,6,0),0)</f>
        <v>0</v>
      </c>
      <c r="AT40" s="297">
        <f>+IFERROR(VLOOKUP(AT$4&amp;$C40,'AMFI AUM 31 March 2018'!$A:$F,6,0),0)</f>
        <v>0</v>
      </c>
      <c r="AU40" s="297">
        <f>+IFERROR(VLOOKUP(AU$4&amp;$C40,'AMFI AUM 31 March 2018'!$A:$F,6,0),0)</f>
        <v>0</v>
      </c>
      <c r="AV40" s="297">
        <f>+IFERROR(VLOOKUP(AV$4&amp;$C40,'AMFI AUM 31 March 2018'!$A:$F,6,0),0)</f>
        <v>0</v>
      </c>
      <c r="AW40" s="297">
        <f>+IFERROR(VLOOKUP(AW$4&amp;$C40,'AMFI AUM 31 March 2018'!$A:$F,6,0),0)</f>
        <v>0</v>
      </c>
      <c r="AX40" s="298">
        <f>+IFERROR(VLOOKUP(AX$4&amp;$C40,'AMFI AUM 31 March 2018'!$A:$F,6,0),0)</f>
        <v>0</v>
      </c>
    </row>
    <row r="41" spans="3:50" ht="12.75">
      <c r="C41" s="295" t="s">
        <v>123</v>
      </c>
      <c r="D41" s="296" t="s">
        <v>124</v>
      </c>
      <c r="E41" s="297">
        <f>+IFERROR(VLOOKUP(E$4&amp;$C41,'AMFI AUM 31 March 2018'!$A:$F,6,0),0)</f>
        <v>0</v>
      </c>
      <c r="F41" s="297">
        <f>+IFERROR(VLOOKUP(F$4&amp;$C41,'AMFI AUM 31 March 2018'!$A:$F,6,0),0)</f>
        <v>0</v>
      </c>
      <c r="G41" s="297">
        <f>+IFERROR(VLOOKUP(G$4&amp;$C41,'AMFI AUM 31 March 2018'!$A:$F,6,0),0)</f>
        <v>0</v>
      </c>
      <c r="H41" s="297">
        <f>+IFERROR(VLOOKUP(H$4&amp;$C41,'AMFI AUM 31 March 2018'!$A:$F,6,0),0)</f>
        <v>0</v>
      </c>
      <c r="I41" s="297">
        <f>+IFERROR(VLOOKUP(I$4&amp;$C41,'AMFI AUM 31 March 2018'!$A:$F,6,0),0)</f>
        <v>0</v>
      </c>
      <c r="J41" s="297">
        <f>+IFERROR(VLOOKUP(J$4&amp;$C41,'AMFI AUM 31 March 2018'!$A:$F,6,0),0)</f>
        <v>0</v>
      </c>
      <c r="K41" s="297">
        <f>+IFERROR(VLOOKUP(K$4&amp;$C41,'AMFI AUM 31 March 2018'!$A:$F,6,0),0)</f>
        <v>0</v>
      </c>
      <c r="L41" s="297">
        <f>+IFERROR(VLOOKUP(L$4&amp;$C41,'AMFI AUM 31 March 2018'!$A:$F,6,0),0)</f>
        <v>13.6913</v>
      </c>
      <c r="M41" s="297">
        <f>+IFERROR(VLOOKUP(M$4&amp;$C41,'AMFI AUM 31 March 2018'!$A:$F,6,0),0)</f>
        <v>0</v>
      </c>
      <c r="N41" s="297">
        <f>+IFERROR(VLOOKUP(N$4&amp;$C41,'AMFI AUM 31 March 2018'!$A:$F,6,0),0)</f>
        <v>0</v>
      </c>
      <c r="O41" s="297">
        <f>+IFERROR(VLOOKUP(O$4&amp;$C41,'AMFI AUM 31 March 2018'!$A:$F,6,0),0)</f>
        <v>0</v>
      </c>
      <c r="P41" s="297">
        <f>+IFERROR(VLOOKUP(P$4&amp;$C41,'AMFI AUM 31 March 2018'!$A:$F,6,0),0)</f>
        <v>0</v>
      </c>
      <c r="Q41" s="297">
        <f>+IFERROR(VLOOKUP(Q$4&amp;$C41,'AMFI AUM 31 March 2018'!$A:$F,6,0),0)</f>
        <v>0</v>
      </c>
      <c r="R41" s="297">
        <f>+IFERROR(VLOOKUP(R$4&amp;$C41,'AMFI AUM 31 March 2018'!$A:$F,6,0),0)</f>
        <v>0</v>
      </c>
      <c r="S41" s="297">
        <f>+IFERROR(VLOOKUP(S$4&amp;$C41,'AMFI AUM 31 March 2018'!$A:$F,6,0),0)</f>
        <v>0</v>
      </c>
      <c r="T41" s="297">
        <f>+IFERROR(VLOOKUP(T$4&amp;$C41,'AMFI AUM 31 March 2018'!$A:$F,6,0),0)</f>
        <v>0</v>
      </c>
      <c r="U41" s="297">
        <f>+IFERROR(VLOOKUP(U$4&amp;$C41,'AMFI AUM 31 March 2018'!$A:$F,6,0),0)</f>
        <v>0</v>
      </c>
      <c r="V41" s="297">
        <f>+IFERROR(VLOOKUP(V$4&amp;$C41,'AMFI AUM 31 March 2018'!$A:$F,6,0),0)</f>
        <v>0</v>
      </c>
      <c r="W41" s="297">
        <f>+IFERROR(VLOOKUP(W$4&amp;$C41,'AMFI AUM 31 March 2018'!$A:$F,6,0),0)</f>
        <v>0</v>
      </c>
      <c r="X41" s="297">
        <v>0</v>
      </c>
      <c r="Y41" s="297">
        <v>0</v>
      </c>
      <c r="Z41" s="297">
        <v>0</v>
      </c>
      <c r="AA41" s="297">
        <f>+IFERROR(VLOOKUP(AA$4&amp;$C41,'AMFI AUM 31 March 2018'!$A:$F,6,0),0)</f>
        <v>0</v>
      </c>
      <c r="AB41" s="297">
        <v>0</v>
      </c>
      <c r="AC41" s="297">
        <v>0</v>
      </c>
      <c r="AD41" s="297">
        <v>0</v>
      </c>
      <c r="AE41" s="297">
        <v>0</v>
      </c>
      <c r="AF41" s="297">
        <v>0</v>
      </c>
      <c r="AG41" s="297">
        <v>0</v>
      </c>
      <c r="AH41" s="297">
        <v>0</v>
      </c>
      <c r="AI41" s="297">
        <v>0</v>
      </c>
      <c r="AJ41" s="297">
        <f>+IFERROR(VLOOKUP(AJ$4&amp;$C41,'AMFI AUM 31 March 2018'!$A:$F,6,0),0)</f>
        <v>0</v>
      </c>
      <c r="AK41" s="297">
        <f>+IFERROR(VLOOKUP(AK$4&amp;$C41,'AMFI AUM 31 March 2018'!$A:$F,6,0),0)</f>
        <v>0</v>
      </c>
      <c r="AL41" s="297">
        <f>+IFERROR(VLOOKUP(AL$4&amp;$C41,'AMFI AUM 31 March 2018'!$A:$F,6,0),0)</f>
        <v>0</v>
      </c>
      <c r="AM41" s="297">
        <f>+IFERROR(VLOOKUP(AM$4&amp;$C41,'AMFI AUM 31 March 2018'!$A:$F,6,0),0)</f>
        <v>0</v>
      </c>
      <c r="AN41" s="297">
        <f>+IFERROR(VLOOKUP(AN$4&amp;$C41,'AMFI AUM 31 March 2018'!$A:$F,6,0),0)</f>
        <v>0</v>
      </c>
      <c r="AO41" s="297">
        <f>+IFERROR(VLOOKUP(AO$4&amp;$C41,'AMFI AUM 31 March 2018'!$A:$F,6,0),0)</f>
        <v>0</v>
      </c>
      <c r="AP41" s="297">
        <f>+IFERROR(VLOOKUP(AP$4&amp;$C41,'AMFI AUM 31 March 2018'!$A:$F,6,0),0)</f>
        <v>0</v>
      </c>
      <c r="AQ41" s="297">
        <f>+IFERROR(VLOOKUP(AQ$4&amp;$C41,'AMFI AUM 31 March 2018'!$A:$F,6,0),0)</f>
        <v>0</v>
      </c>
      <c r="AR41" s="297">
        <f>+IFERROR(VLOOKUP(AR$4&amp;$C41,'AMFI AUM 31 March 2018'!$A:$F,6,0),0)</f>
        <v>0</v>
      </c>
      <c r="AS41" s="297">
        <f>+IFERROR(VLOOKUP(AS$4&amp;$C41,'AMFI AUM 31 March 2018'!$A:$F,6,0),0)</f>
        <v>0</v>
      </c>
      <c r="AT41" s="297">
        <f>+IFERROR(VLOOKUP(AT$4&amp;$C41,'AMFI AUM 31 March 2018'!$A:$F,6,0),0)</f>
        <v>0</v>
      </c>
      <c r="AU41" s="297">
        <f>+IFERROR(VLOOKUP(AU$4&amp;$C41,'AMFI AUM 31 March 2018'!$A:$F,6,0),0)</f>
        <v>0</v>
      </c>
      <c r="AV41" s="297">
        <f>+IFERROR(VLOOKUP(AV$4&amp;$C41,'AMFI AUM 31 March 2018'!$A:$F,6,0),0)</f>
        <v>0</v>
      </c>
      <c r="AW41" s="297">
        <f>+IFERROR(VLOOKUP(AW$4&amp;$C41,'AMFI AUM 31 March 2018'!$A:$F,6,0),0)</f>
        <v>0</v>
      </c>
      <c r="AX41" s="298">
        <f>+IFERROR(VLOOKUP(AX$4&amp;$C41,'AMFI AUM 31 March 2018'!$A:$F,6,0),0)</f>
        <v>0</v>
      </c>
    </row>
    <row r="42" spans="3:50" ht="12.75">
      <c r="C42" s="295" t="s">
        <v>125</v>
      </c>
      <c r="D42" s="296" t="s">
        <v>126</v>
      </c>
      <c r="E42" s="297">
        <f>+IFERROR(VLOOKUP(E$4&amp;$C42,'AMFI AUM 31 March 2018'!$A:$F,6,0),0)</f>
        <v>0</v>
      </c>
      <c r="F42" s="297">
        <f>+IFERROR(VLOOKUP(F$4&amp;$C42,'AMFI AUM 31 March 2018'!$A:$F,6,0),0)</f>
        <v>0</v>
      </c>
      <c r="G42" s="297">
        <f>+IFERROR(VLOOKUP(G$4&amp;$C42,'AMFI AUM 31 March 2018'!$A:$F,6,0),0)</f>
        <v>0</v>
      </c>
      <c r="H42" s="297">
        <f>+IFERROR(VLOOKUP(H$4&amp;$C42,'AMFI AUM 31 March 2018'!$A:$F,6,0),0)</f>
        <v>0</v>
      </c>
      <c r="I42" s="297">
        <f>+IFERROR(VLOOKUP(I$4&amp;$C42,'AMFI AUM 31 March 2018'!$A:$F,6,0),0)</f>
        <v>0</v>
      </c>
      <c r="J42" s="297">
        <f>+IFERROR(VLOOKUP(J$4&amp;$C42,'AMFI AUM 31 March 2018'!$A:$F,6,0),0)</f>
        <v>0</v>
      </c>
      <c r="K42" s="297">
        <f>+IFERROR(VLOOKUP(K$4&amp;$C42,'AMFI AUM 31 March 2018'!$A:$F,6,0),0)</f>
        <v>0</v>
      </c>
      <c r="L42" s="297">
        <f>+IFERROR(VLOOKUP(L$4&amp;$C42,'AMFI AUM 31 March 2018'!$A:$F,6,0),0)</f>
        <v>21.158100000000001</v>
      </c>
      <c r="M42" s="297">
        <f>+IFERROR(VLOOKUP(M$4&amp;$C42,'AMFI AUM 31 March 2018'!$A:$F,6,0),0)</f>
        <v>0</v>
      </c>
      <c r="N42" s="297">
        <f>+IFERROR(VLOOKUP(N$4&amp;$C42,'AMFI AUM 31 March 2018'!$A:$F,6,0),0)</f>
        <v>0</v>
      </c>
      <c r="O42" s="297">
        <f>+IFERROR(VLOOKUP(O$4&amp;$C42,'AMFI AUM 31 March 2018'!$A:$F,6,0),0)</f>
        <v>0</v>
      </c>
      <c r="P42" s="297">
        <f>+IFERROR(VLOOKUP(P$4&amp;$C42,'AMFI AUM 31 March 2018'!$A:$F,6,0),0)</f>
        <v>0</v>
      </c>
      <c r="Q42" s="297">
        <f>+IFERROR(VLOOKUP(Q$4&amp;$C42,'AMFI AUM 31 March 2018'!$A:$F,6,0),0)</f>
        <v>0</v>
      </c>
      <c r="R42" s="297">
        <f>+IFERROR(VLOOKUP(R$4&amp;$C42,'AMFI AUM 31 March 2018'!$A:$F,6,0),0)</f>
        <v>0</v>
      </c>
      <c r="S42" s="297">
        <f>+IFERROR(VLOOKUP(S$4&amp;$C42,'AMFI AUM 31 March 2018'!$A:$F,6,0),0)</f>
        <v>0</v>
      </c>
      <c r="T42" s="297">
        <f>+IFERROR(VLOOKUP(T$4&amp;$C42,'AMFI AUM 31 March 2018'!$A:$F,6,0),0)</f>
        <v>0</v>
      </c>
      <c r="U42" s="297">
        <f>+IFERROR(VLOOKUP(U$4&amp;$C42,'AMFI AUM 31 March 2018'!$A:$F,6,0),0)</f>
        <v>0</v>
      </c>
      <c r="V42" s="297">
        <f>+IFERROR(VLOOKUP(V$4&amp;$C42,'AMFI AUM 31 March 2018'!$A:$F,6,0),0)</f>
        <v>0</v>
      </c>
      <c r="W42" s="297">
        <f>+IFERROR(VLOOKUP(W$4&amp;$C42,'AMFI AUM 31 March 2018'!$A:$F,6,0),0)</f>
        <v>0</v>
      </c>
      <c r="X42" s="297">
        <v>0</v>
      </c>
      <c r="Y42" s="297">
        <v>0</v>
      </c>
      <c r="Z42" s="297">
        <v>0</v>
      </c>
      <c r="AA42" s="297">
        <f>+IFERROR(VLOOKUP(AA$4&amp;$C42,'AMFI AUM 31 March 2018'!$A:$F,6,0),0)</f>
        <v>0</v>
      </c>
      <c r="AB42" s="297">
        <v>0</v>
      </c>
      <c r="AC42" s="297">
        <v>0</v>
      </c>
      <c r="AD42" s="297">
        <v>0</v>
      </c>
      <c r="AE42" s="297">
        <v>0</v>
      </c>
      <c r="AF42" s="297">
        <v>0</v>
      </c>
      <c r="AG42" s="297">
        <v>0</v>
      </c>
      <c r="AH42" s="297">
        <v>0</v>
      </c>
      <c r="AI42" s="297">
        <v>0</v>
      </c>
      <c r="AJ42" s="297">
        <f>+IFERROR(VLOOKUP(AJ$4&amp;$C42,'AMFI AUM 31 March 2018'!$A:$F,6,0),0)</f>
        <v>0</v>
      </c>
      <c r="AK42" s="297">
        <f>+IFERROR(VLOOKUP(AK$4&amp;$C42,'AMFI AUM 31 March 2018'!$A:$F,6,0),0)</f>
        <v>0</v>
      </c>
      <c r="AL42" s="297">
        <f>+IFERROR(VLOOKUP(AL$4&amp;$C42,'AMFI AUM 31 March 2018'!$A:$F,6,0),0)</f>
        <v>0</v>
      </c>
      <c r="AM42" s="297">
        <f>+IFERROR(VLOOKUP(AM$4&amp;$C42,'AMFI AUM 31 March 2018'!$A:$F,6,0),0)</f>
        <v>0</v>
      </c>
      <c r="AN42" s="297">
        <f>+IFERROR(VLOOKUP(AN$4&amp;$C42,'AMFI AUM 31 March 2018'!$A:$F,6,0),0)</f>
        <v>0</v>
      </c>
      <c r="AO42" s="297">
        <f>+IFERROR(VLOOKUP(AO$4&amp;$C42,'AMFI AUM 31 March 2018'!$A:$F,6,0),0)</f>
        <v>0</v>
      </c>
      <c r="AP42" s="297">
        <f>+IFERROR(VLOOKUP(AP$4&amp;$C42,'AMFI AUM 31 March 2018'!$A:$F,6,0),0)</f>
        <v>0</v>
      </c>
      <c r="AQ42" s="297">
        <f>+IFERROR(VLOOKUP(AQ$4&amp;$C42,'AMFI AUM 31 March 2018'!$A:$F,6,0),0)</f>
        <v>0</v>
      </c>
      <c r="AR42" s="297">
        <f>+IFERROR(VLOOKUP(AR$4&amp;$C42,'AMFI AUM 31 March 2018'!$A:$F,6,0),0)</f>
        <v>0</v>
      </c>
      <c r="AS42" s="297">
        <f>+IFERROR(VLOOKUP(AS$4&amp;$C42,'AMFI AUM 31 March 2018'!$A:$F,6,0),0)</f>
        <v>0</v>
      </c>
      <c r="AT42" s="297">
        <f>+IFERROR(VLOOKUP(AT$4&amp;$C42,'AMFI AUM 31 March 2018'!$A:$F,6,0),0)</f>
        <v>0</v>
      </c>
      <c r="AU42" s="297">
        <f>+IFERROR(VLOOKUP(AU$4&amp;$C42,'AMFI AUM 31 March 2018'!$A:$F,6,0),0)</f>
        <v>0</v>
      </c>
      <c r="AV42" s="297">
        <f>+IFERROR(VLOOKUP(AV$4&amp;$C42,'AMFI AUM 31 March 2018'!$A:$F,6,0),0)</f>
        <v>0</v>
      </c>
      <c r="AW42" s="297">
        <f>+IFERROR(VLOOKUP(AW$4&amp;$C42,'AMFI AUM 31 March 2018'!$A:$F,6,0),0)</f>
        <v>0</v>
      </c>
      <c r="AX42" s="298">
        <f>+IFERROR(VLOOKUP(AX$4&amp;$C42,'AMFI AUM 31 March 2018'!$A:$F,6,0),0)</f>
        <v>0</v>
      </c>
    </row>
    <row r="43" spans="3:50" ht="12.75">
      <c r="C43" s="295" t="s">
        <v>127</v>
      </c>
      <c r="D43" s="296" t="s">
        <v>128</v>
      </c>
      <c r="E43" s="297">
        <f>+IFERROR(VLOOKUP(E$4&amp;$C43,'AMFI AUM 31 March 2018'!$A:$F,6,0),0)</f>
        <v>0</v>
      </c>
      <c r="F43" s="297">
        <f>+IFERROR(VLOOKUP(F$4&amp;$C43,'AMFI AUM 31 March 2018'!$A:$F,6,0),0)</f>
        <v>0</v>
      </c>
      <c r="G43" s="297">
        <f>+IFERROR(VLOOKUP(G$4&amp;$C43,'AMFI AUM 31 March 2018'!$A:$F,6,0),0)</f>
        <v>0</v>
      </c>
      <c r="H43" s="297">
        <f>+IFERROR(VLOOKUP(H$4&amp;$C43,'AMFI AUM 31 March 2018'!$A:$F,6,0),0)</f>
        <v>0</v>
      </c>
      <c r="I43" s="297">
        <f>+IFERROR(VLOOKUP(I$4&amp;$C43,'AMFI AUM 31 March 2018'!$A:$F,6,0),0)</f>
        <v>0</v>
      </c>
      <c r="J43" s="297">
        <f>+IFERROR(VLOOKUP(J$4&amp;$C43,'AMFI AUM 31 March 2018'!$A:$F,6,0),0)</f>
        <v>0</v>
      </c>
      <c r="K43" s="297">
        <f>+IFERROR(VLOOKUP(K$4&amp;$C43,'AMFI AUM 31 March 2018'!$A:$F,6,0),0)</f>
        <v>0</v>
      </c>
      <c r="L43" s="297">
        <f>+IFERROR(VLOOKUP(L$4&amp;$C43,'AMFI AUM 31 March 2018'!$A:$F,6,0),0)</f>
        <v>0</v>
      </c>
      <c r="M43" s="297">
        <f>+IFERROR(VLOOKUP(M$4&amp;$C43,'AMFI AUM 31 March 2018'!$A:$F,6,0),0)</f>
        <v>0</v>
      </c>
      <c r="N43" s="297">
        <f>+IFERROR(VLOOKUP(N$4&amp;$C43,'AMFI AUM 31 March 2018'!$A:$F,6,0),0)</f>
        <v>0</v>
      </c>
      <c r="O43" s="297">
        <f>+IFERROR(VLOOKUP(O$4&amp;$C43,'AMFI AUM 31 March 2018'!$A:$F,6,0),0)</f>
        <v>0</v>
      </c>
      <c r="P43" s="297">
        <f>+IFERROR(VLOOKUP(P$4&amp;$C43,'AMFI AUM 31 March 2018'!$A:$F,6,0),0)</f>
        <v>0</v>
      </c>
      <c r="Q43" s="297">
        <f>+IFERROR(VLOOKUP(Q$4&amp;$C43,'AMFI AUM 31 March 2018'!$A:$F,6,0),0)</f>
        <v>10.1572</v>
      </c>
      <c r="R43" s="297">
        <f>+IFERROR(VLOOKUP(R$4&amp;$C43,'AMFI AUM 31 March 2018'!$A:$F,6,0),0)</f>
        <v>10.1004</v>
      </c>
      <c r="S43" s="297">
        <f>+IFERROR(VLOOKUP(S$4&amp;$C43,'AMFI AUM 31 March 2018'!$A:$F,6,0),0)</f>
        <v>0</v>
      </c>
      <c r="T43" s="297">
        <f>+IFERROR(VLOOKUP(T$4&amp;$C43,'AMFI AUM 31 March 2018'!$A:$F,6,0),0)</f>
        <v>0</v>
      </c>
      <c r="U43" s="297">
        <f>+IFERROR(VLOOKUP(U$4&amp;$C43,'AMFI AUM 31 March 2018'!$A:$F,6,0),0)</f>
        <v>0</v>
      </c>
      <c r="V43" s="297">
        <f>+IFERROR(VLOOKUP(V$4&amp;$C43,'AMFI AUM 31 March 2018'!$A:$F,6,0),0)</f>
        <v>0</v>
      </c>
      <c r="W43" s="297">
        <f>+IFERROR(VLOOKUP(W$4&amp;$C43,'AMFI AUM 31 March 2018'!$A:$F,6,0),0)</f>
        <v>0</v>
      </c>
      <c r="X43" s="297">
        <v>0</v>
      </c>
      <c r="Y43" s="297">
        <v>0</v>
      </c>
      <c r="Z43" s="297">
        <v>0</v>
      </c>
      <c r="AA43" s="297">
        <f>+IFERROR(VLOOKUP(AA$4&amp;$C43,'AMFI AUM 31 March 2018'!$A:$F,6,0),0)</f>
        <v>0</v>
      </c>
      <c r="AB43" s="297">
        <v>0</v>
      </c>
      <c r="AC43" s="297">
        <v>0</v>
      </c>
      <c r="AD43" s="297">
        <v>0</v>
      </c>
      <c r="AE43" s="297">
        <v>0</v>
      </c>
      <c r="AF43" s="297">
        <v>0</v>
      </c>
      <c r="AG43" s="297">
        <v>0</v>
      </c>
      <c r="AH43" s="297">
        <v>0</v>
      </c>
      <c r="AI43" s="297">
        <v>0</v>
      </c>
      <c r="AJ43" s="297">
        <f>+IFERROR(VLOOKUP(AJ$4&amp;$C43,'AMFI AUM 31 March 2018'!$A:$F,6,0),0)</f>
        <v>0</v>
      </c>
      <c r="AK43" s="297">
        <f>+IFERROR(VLOOKUP(AK$4&amp;$C43,'AMFI AUM 31 March 2018'!$A:$F,6,0),0)</f>
        <v>0</v>
      </c>
      <c r="AL43" s="297">
        <f>+IFERROR(VLOOKUP(AL$4&amp;$C43,'AMFI AUM 31 March 2018'!$A:$F,6,0),0)</f>
        <v>0</v>
      </c>
      <c r="AM43" s="297">
        <f>+IFERROR(VLOOKUP(AM$4&amp;$C43,'AMFI AUM 31 March 2018'!$A:$F,6,0),0)</f>
        <v>0</v>
      </c>
      <c r="AN43" s="297">
        <f>+IFERROR(VLOOKUP(AN$4&amp;$C43,'AMFI AUM 31 March 2018'!$A:$F,6,0),0)</f>
        <v>0</v>
      </c>
      <c r="AO43" s="297">
        <f>+IFERROR(VLOOKUP(AO$4&amp;$C43,'AMFI AUM 31 March 2018'!$A:$F,6,0),0)</f>
        <v>0</v>
      </c>
      <c r="AP43" s="297">
        <f>+IFERROR(VLOOKUP(AP$4&amp;$C43,'AMFI AUM 31 March 2018'!$A:$F,6,0),0)</f>
        <v>0</v>
      </c>
      <c r="AQ43" s="297">
        <f>+IFERROR(VLOOKUP(AQ$4&amp;$C43,'AMFI AUM 31 March 2018'!$A:$F,6,0),0)</f>
        <v>0</v>
      </c>
      <c r="AR43" s="297">
        <f>+IFERROR(VLOOKUP(AR$4&amp;$C43,'AMFI AUM 31 March 2018'!$A:$F,6,0),0)</f>
        <v>0</v>
      </c>
      <c r="AS43" s="297">
        <f>+IFERROR(VLOOKUP(AS$4&amp;$C43,'AMFI AUM 31 March 2018'!$A:$F,6,0),0)</f>
        <v>0</v>
      </c>
      <c r="AT43" s="297">
        <f>+IFERROR(VLOOKUP(AT$4&amp;$C43,'AMFI AUM 31 March 2018'!$A:$F,6,0),0)</f>
        <v>0</v>
      </c>
      <c r="AU43" s="297">
        <f>+IFERROR(VLOOKUP(AU$4&amp;$C43,'AMFI AUM 31 March 2018'!$A:$F,6,0),0)</f>
        <v>0</v>
      </c>
      <c r="AV43" s="297">
        <f>+IFERROR(VLOOKUP(AV$4&amp;$C43,'AMFI AUM 31 March 2018'!$A:$F,6,0),0)</f>
        <v>0</v>
      </c>
      <c r="AW43" s="297">
        <f>+IFERROR(VLOOKUP(AW$4&amp;$C43,'AMFI AUM 31 March 2018'!$A:$F,6,0),0)</f>
        <v>0</v>
      </c>
      <c r="AX43" s="298">
        <f>+IFERROR(VLOOKUP(AX$4&amp;$C43,'AMFI AUM 31 March 2018'!$A:$F,6,0),0)</f>
        <v>0</v>
      </c>
    </row>
    <row r="44" spans="3:50" ht="12.75">
      <c r="C44" s="295" t="s">
        <v>129</v>
      </c>
      <c r="D44" s="296" t="s">
        <v>130</v>
      </c>
      <c r="E44" s="297">
        <f>+IFERROR(VLOOKUP(E$4&amp;$C44,'AMFI AUM 31 March 2018'!$A:$F,6,0),0)</f>
        <v>0</v>
      </c>
      <c r="F44" s="297">
        <f>+IFERROR(VLOOKUP(F$4&amp;$C44,'AMFI AUM 31 March 2018'!$A:$F,6,0),0)</f>
        <v>0</v>
      </c>
      <c r="G44" s="297">
        <f>+IFERROR(VLOOKUP(G$4&amp;$C44,'AMFI AUM 31 March 2018'!$A:$F,6,0),0)</f>
        <v>0</v>
      </c>
      <c r="H44" s="297">
        <f>+IFERROR(VLOOKUP(H$4&amp;$C44,'AMFI AUM 31 March 2018'!$A:$F,6,0),0)</f>
        <v>0</v>
      </c>
      <c r="I44" s="297">
        <f>+IFERROR(VLOOKUP(I$4&amp;$C44,'AMFI AUM 31 March 2018'!$A:$F,6,0),0)</f>
        <v>0</v>
      </c>
      <c r="J44" s="297">
        <f>+IFERROR(VLOOKUP(J$4&amp;$C44,'AMFI AUM 31 March 2018'!$A:$F,6,0),0)</f>
        <v>0</v>
      </c>
      <c r="K44" s="297">
        <f>+IFERROR(VLOOKUP(K$4&amp;$C44,'AMFI AUM 31 March 2018'!$A:$F,6,0),0)</f>
        <v>0</v>
      </c>
      <c r="L44" s="297">
        <f>+IFERROR(VLOOKUP(L$4&amp;$C44,'AMFI AUM 31 March 2018'!$A:$F,6,0),0)</f>
        <v>0</v>
      </c>
      <c r="M44" s="297">
        <f>+IFERROR(VLOOKUP(M$4&amp;$C44,'AMFI AUM 31 March 2018'!$A:$F,6,0),0)</f>
        <v>0</v>
      </c>
      <c r="N44" s="297">
        <f>+IFERROR(VLOOKUP(N$4&amp;$C44,'AMFI AUM 31 March 2018'!$A:$F,6,0),0)</f>
        <v>0</v>
      </c>
      <c r="O44" s="297">
        <f>+IFERROR(VLOOKUP(O$4&amp;$C44,'AMFI AUM 31 March 2018'!$A:$F,6,0),0)</f>
        <v>0</v>
      </c>
      <c r="P44" s="297">
        <f>+IFERROR(VLOOKUP(P$4&amp;$C44,'AMFI AUM 31 March 2018'!$A:$F,6,0),0)</f>
        <v>0</v>
      </c>
      <c r="Q44" s="297">
        <f>+IFERROR(VLOOKUP(Q$4&amp;$C44,'AMFI AUM 31 March 2018'!$A:$F,6,0),0)</f>
        <v>10.55</v>
      </c>
      <c r="R44" s="297">
        <f>+IFERROR(VLOOKUP(R$4&amp;$C44,'AMFI AUM 31 March 2018'!$A:$F,6,0),0)</f>
        <v>10.1006</v>
      </c>
      <c r="S44" s="297">
        <f>+IFERROR(VLOOKUP(S$4&amp;$C44,'AMFI AUM 31 March 2018'!$A:$F,6,0),0)</f>
        <v>0</v>
      </c>
      <c r="T44" s="297">
        <f>+IFERROR(VLOOKUP(T$4&amp;$C44,'AMFI AUM 31 March 2018'!$A:$F,6,0),0)</f>
        <v>0</v>
      </c>
      <c r="U44" s="297">
        <f>+IFERROR(VLOOKUP(U$4&amp;$C44,'AMFI AUM 31 March 2018'!$A:$F,6,0),0)</f>
        <v>0</v>
      </c>
      <c r="V44" s="297">
        <f>+IFERROR(VLOOKUP(V$4&amp;$C44,'AMFI AUM 31 March 2018'!$A:$F,6,0),0)</f>
        <v>0</v>
      </c>
      <c r="W44" s="297">
        <f>+IFERROR(VLOOKUP(W$4&amp;$C44,'AMFI AUM 31 March 2018'!$A:$F,6,0),0)</f>
        <v>0</v>
      </c>
      <c r="X44" s="297">
        <v>0</v>
      </c>
      <c r="Y44" s="297">
        <v>0</v>
      </c>
      <c r="Z44" s="297">
        <v>0</v>
      </c>
      <c r="AA44" s="297">
        <f>+IFERROR(VLOOKUP(AA$4&amp;$C44,'AMFI AUM 31 March 2018'!$A:$F,6,0),0)</f>
        <v>0</v>
      </c>
      <c r="AB44" s="297">
        <v>0</v>
      </c>
      <c r="AC44" s="297">
        <v>0</v>
      </c>
      <c r="AD44" s="297">
        <v>0</v>
      </c>
      <c r="AE44" s="297">
        <v>0</v>
      </c>
      <c r="AF44" s="297">
        <v>0</v>
      </c>
      <c r="AG44" s="297">
        <v>0</v>
      </c>
      <c r="AH44" s="297">
        <v>0</v>
      </c>
      <c r="AI44" s="297">
        <v>0</v>
      </c>
      <c r="AJ44" s="297">
        <f>+IFERROR(VLOOKUP(AJ$4&amp;$C44,'AMFI AUM 31 March 2018'!$A:$F,6,0),0)</f>
        <v>0</v>
      </c>
      <c r="AK44" s="297">
        <f>+IFERROR(VLOOKUP(AK$4&amp;$C44,'AMFI AUM 31 March 2018'!$A:$F,6,0),0)</f>
        <v>0</v>
      </c>
      <c r="AL44" s="297">
        <f>+IFERROR(VLOOKUP(AL$4&amp;$C44,'AMFI AUM 31 March 2018'!$A:$F,6,0),0)</f>
        <v>0</v>
      </c>
      <c r="AM44" s="297">
        <f>+IFERROR(VLOOKUP(AM$4&amp;$C44,'AMFI AUM 31 March 2018'!$A:$F,6,0),0)</f>
        <v>0</v>
      </c>
      <c r="AN44" s="297">
        <f>+IFERROR(VLOOKUP(AN$4&amp;$C44,'AMFI AUM 31 March 2018'!$A:$F,6,0),0)</f>
        <v>0</v>
      </c>
      <c r="AO44" s="297">
        <f>+IFERROR(VLOOKUP(AO$4&amp;$C44,'AMFI AUM 31 March 2018'!$A:$F,6,0),0)</f>
        <v>0</v>
      </c>
      <c r="AP44" s="297">
        <f>+IFERROR(VLOOKUP(AP$4&amp;$C44,'AMFI AUM 31 March 2018'!$A:$F,6,0),0)</f>
        <v>0</v>
      </c>
      <c r="AQ44" s="297">
        <f>+IFERROR(VLOOKUP(AQ$4&amp;$C44,'AMFI AUM 31 March 2018'!$A:$F,6,0),0)</f>
        <v>0</v>
      </c>
      <c r="AR44" s="297">
        <f>+IFERROR(VLOOKUP(AR$4&amp;$C44,'AMFI AUM 31 March 2018'!$A:$F,6,0),0)</f>
        <v>0</v>
      </c>
      <c r="AS44" s="297">
        <f>+IFERROR(VLOOKUP(AS$4&amp;$C44,'AMFI AUM 31 March 2018'!$A:$F,6,0),0)</f>
        <v>0</v>
      </c>
      <c r="AT44" s="297">
        <f>+IFERROR(VLOOKUP(AT$4&amp;$C44,'AMFI AUM 31 March 2018'!$A:$F,6,0),0)</f>
        <v>0</v>
      </c>
      <c r="AU44" s="297">
        <f>+IFERROR(VLOOKUP(AU$4&amp;$C44,'AMFI AUM 31 March 2018'!$A:$F,6,0),0)</f>
        <v>0</v>
      </c>
      <c r="AV44" s="297">
        <f>+IFERROR(VLOOKUP(AV$4&amp;$C44,'AMFI AUM 31 March 2018'!$A:$F,6,0),0)</f>
        <v>0</v>
      </c>
      <c r="AW44" s="297">
        <f>+IFERROR(VLOOKUP(AW$4&amp;$C44,'AMFI AUM 31 March 2018'!$A:$F,6,0),0)</f>
        <v>0</v>
      </c>
      <c r="AX44" s="298">
        <f>+IFERROR(VLOOKUP(AX$4&amp;$C44,'AMFI AUM 31 March 2018'!$A:$F,6,0),0)</f>
        <v>0</v>
      </c>
    </row>
    <row r="45" spans="3:50" ht="12.75">
      <c r="C45" s="179"/>
      <c r="D45" s="171"/>
      <c r="E45" s="177"/>
      <c r="F45" s="177"/>
      <c r="G45" s="177"/>
      <c r="H45" s="177"/>
      <c r="I45" s="177"/>
      <c r="J45" s="177"/>
      <c r="K45" s="177"/>
      <c r="L45" s="177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  <c r="AF45" s="171"/>
      <c r="AG45" s="171"/>
      <c r="AH45" s="171"/>
      <c r="AI45" s="171"/>
      <c r="AJ45" s="171"/>
      <c r="AK45" s="171"/>
      <c r="AL45" s="171"/>
      <c r="AM45" s="171"/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8"/>
    </row>
    <row r="46" spans="3:50" ht="12.75">
      <c r="C46" s="179">
        <v>4.3</v>
      </c>
      <c r="D46" s="169" t="s">
        <v>132</v>
      </c>
      <c r="E46" s="180"/>
      <c r="F46" s="180"/>
      <c r="G46" s="180"/>
      <c r="H46" s="180"/>
      <c r="I46" s="180"/>
      <c r="J46" s="177"/>
      <c r="K46" s="177"/>
      <c r="L46" s="177"/>
      <c r="M46" s="180"/>
      <c r="N46" s="171"/>
      <c r="O46" s="180"/>
      <c r="P46" s="180"/>
      <c r="Q46" s="177"/>
      <c r="R46" s="177"/>
      <c r="S46" s="180"/>
      <c r="T46" s="177"/>
      <c r="U46" s="177"/>
      <c r="V46" s="181"/>
      <c r="W46" s="177"/>
      <c r="X46" s="180"/>
      <c r="Y46" s="180"/>
      <c r="Z46" s="180"/>
      <c r="AA46" s="180"/>
      <c r="AB46" s="180"/>
      <c r="AC46" s="180"/>
      <c r="AD46" s="180"/>
      <c r="AE46" s="180"/>
      <c r="AF46" s="180"/>
      <c r="AG46" s="180"/>
      <c r="AH46" s="180"/>
      <c r="AI46" s="180"/>
      <c r="AJ46" s="180"/>
      <c r="AK46" s="180"/>
      <c r="AL46" s="180"/>
      <c r="AM46" s="180"/>
      <c r="AN46" s="180"/>
      <c r="AO46" s="180"/>
      <c r="AP46" s="180"/>
      <c r="AQ46" s="180"/>
      <c r="AR46" s="180"/>
      <c r="AS46" s="180"/>
      <c r="AT46" s="180"/>
      <c r="AU46" s="180"/>
      <c r="AV46" s="180"/>
      <c r="AW46" s="180"/>
      <c r="AX46" s="182"/>
    </row>
    <row r="47" spans="3:50" ht="12.75">
      <c r="C47" s="179"/>
      <c r="D47" s="171"/>
      <c r="E47" s="177"/>
      <c r="F47" s="177"/>
      <c r="G47" s="177"/>
      <c r="H47" s="177"/>
      <c r="I47" s="177"/>
      <c r="J47" s="177"/>
      <c r="K47" s="177"/>
      <c r="L47" s="177"/>
      <c r="M47" s="177"/>
      <c r="N47" s="171"/>
      <c r="O47" s="177"/>
      <c r="P47" s="177"/>
      <c r="Q47" s="177"/>
      <c r="R47" s="177"/>
      <c r="S47" s="177"/>
      <c r="T47" s="177"/>
      <c r="U47" s="177"/>
      <c r="V47" s="177"/>
      <c r="W47" s="177"/>
      <c r="X47" s="171"/>
      <c r="Y47" s="171"/>
      <c r="Z47" s="171"/>
      <c r="AA47" s="171"/>
      <c r="AB47" s="177"/>
      <c r="AC47" s="177"/>
      <c r="AD47" s="171"/>
      <c r="AE47" s="171"/>
      <c r="AF47" s="171"/>
      <c r="AG47" s="171"/>
      <c r="AH47" s="177"/>
      <c r="AI47" s="177"/>
      <c r="AJ47" s="177"/>
      <c r="AK47" s="177"/>
      <c r="AL47" s="177"/>
      <c r="AM47" s="177"/>
      <c r="AN47" s="177"/>
      <c r="AO47" s="177"/>
      <c r="AP47" s="177"/>
      <c r="AQ47" s="177"/>
      <c r="AR47" s="177"/>
      <c r="AS47" s="177"/>
      <c r="AT47" s="177"/>
      <c r="AU47" s="177"/>
      <c r="AV47" s="177"/>
      <c r="AW47" s="177"/>
      <c r="AX47" s="183"/>
    </row>
    <row r="48" spans="3:50" ht="12.75">
      <c r="C48" s="179"/>
      <c r="D48" s="169" t="s">
        <v>133</v>
      </c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1"/>
      <c r="Y48" s="171"/>
      <c r="Z48" s="171"/>
      <c r="AA48" s="171"/>
      <c r="AB48" s="177"/>
      <c r="AC48" s="177"/>
      <c r="AD48" s="171"/>
      <c r="AE48" s="171"/>
      <c r="AF48" s="171"/>
      <c r="AG48" s="171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83"/>
    </row>
    <row r="49" spans="3:53" ht="12.75">
      <c r="C49" s="339" t="s">
        <v>103</v>
      </c>
      <c r="D49" s="171" t="s">
        <v>134</v>
      </c>
      <c r="E49" s="181">
        <v>0</v>
      </c>
      <c r="F49" s="184">
        <v>0.7</v>
      </c>
      <c r="G49" s="181">
        <v>0</v>
      </c>
      <c r="H49" s="184">
        <v>0.875</v>
      </c>
      <c r="I49" s="184">
        <v>1</v>
      </c>
      <c r="J49" s="181">
        <v>0</v>
      </c>
      <c r="K49" s="184">
        <v>0.26723808999999998</v>
      </c>
      <c r="L49" s="184">
        <v>0.10833978</v>
      </c>
      <c r="M49" s="181">
        <v>0</v>
      </c>
      <c r="N49" s="184">
        <v>26.124596559999993</v>
      </c>
      <c r="O49" s="181">
        <v>0</v>
      </c>
      <c r="P49" s="181">
        <v>0</v>
      </c>
      <c r="Q49" s="184">
        <v>0.22722565000000003</v>
      </c>
      <c r="R49" s="184">
        <v>0.19039311000000006</v>
      </c>
      <c r="S49" s="181">
        <v>0</v>
      </c>
      <c r="T49" s="181">
        <v>0</v>
      </c>
      <c r="U49" s="181">
        <v>0</v>
      </c>
      <c r="V49" s="181"/>
      <c r="W49" s="181">
        <v>0</v>
      </c>
      <c r="X49" s="184">
        <v>0</v>
      </c>
      <c r="Y49" s="184">
        <v>0</v>
      </c>
      <c r="Z49" s="184">
        <v>0</v>
      </c>
      <c r="AA49" s="181">
        <v>0</v>
      </c>
      <c r="AB49" s="184">
        <v>0</v>
      </c>
      <c r="AC49" s="184">
        <v>1.7167775999999999</v>
      </c>
      <c r="AD49" s="181">
        <v>0</v>
      </c>
      <c r="AE49" s="181">
        <v>0</v>
      </c>
      <c r="AF49" s="181">
        <v>0</v>
      </c>
      <c r="AG49" s="184">
        <v>1.21744841</v>
      </c>
      <c r="AH49" s="184">
        <v>1.6465597199999999</v>
      </c>
      <c r="AI49" s="184">
        <v>0.89658358999999999</v>
      </c>
      <c r="AJ49" s="181">
        <v>1.5684122700000001</v>
      </c>
      <c r="AK49" s="297">
        <v>1.9461772799999999</v>
      </c>
      <c r="AL49" s="297">
        <v>1.87133616</v>
      </c>
      <c r="AM49" s="181">
        <v>0</v>
      </c>
      <c r="AN49" s="181">
        <v>1.86777058</v>
      </c>
      <c r="AO49" s="181">
        <v>0</v>
      </c>
      <c r="AP49" s="181">
        <v>1.65547712</v>
      </c>
      <c r="AQ49" s="184">
        <v>0.65</v>
      </c>
      <c r="AR49" s="181">
        <v>0</v>
      </c>
      <c r="AS49" s="181">
        <v>0</v>
      </c>
      <c r="AT49" s="181">
        <v>0</v>
      </c>
      <c r="AU49" s="181">
        <v>0</v>
      </c>
      <c r="AV49" s="181">
        <v>0</v>
      </c>
      <c r="AW49" s="181">
        <v>0</v>
      </c>
      <c r="AX49" s="185">
        <v>0</v>
      </c>
      <c r="AZ49" s="34">
        <v>136.94281075999996</v>
      </c>
      <c r="BA49" s="39">
        <v>0</v>
      </c>
    </row>
    <row r="50" spans="3:53" ht="12.75">
      <c r="C50" s="339" t="s">
        <v>103</v>
      </c>
      <c r="D50" s="171" t="s">
        <v>135</v>
      </c>
      <c r="E50" s="181">
        <v>0</v>
      </c>
      <c r="F50" s="184">
        <v>0.7</v>
      </c>
      <c r="G50" s="181">
        <v>0</v>
      </c>
      <c r="H50" s="184">
        <v>0.875</v>
      </c>
      <c r="I50" s="184">
        <v>1</v>
      </c>
      <c r="J50" s="181">
        <v>0</v>
      </c>
      <c r="K50" s="184">
        <v>0.24759101</v>
      </c>
      <c r="L50" s="184">
        <v>0.10037473</v>
      </c>
      <c r="M50" s="181">
        <v>0</v>
      </c>
      <c r="N50" s="184">
        <v>24.20394154000001</v>
      </c>
      <c r="O50" s="181">
        <v>0</v>
      </c>
      <c r="P50" s="181">
        <v>0</v>
      </c>
      <c r="Q50" s="184">
        <v>0.21052021999999995</v>
      </c>
      <c r="R50" s="184">
        <v>0.17639560999999992</v>
      </c>
      <c r="S50" s="181">
        <v>0</v>
      </c>
      <c r="T50" s="181">
        <v>0</v>
      </c>
      <c r="U50" s="181">
        <v>0</v>
      </c>
      <c r="V50" s="181"/>
      <c r="W50" s="181">
        <v>0</v>
      </c>
      <c r="X50" s="184">
        <v>0</v>
      </c>
      <c r="Y50" s="184">
        <v>0</v>
      </c>
      <c r="Z50" s="184">
        <v>0</v>
      </c>
      <c r="AA50" s="181">
        <v>0</v>
      </c>
      <c r="AB50" s="184">
        <v>0</v>
      </c>
      <c r="AC50" s="184">
        <v>1.5905615900000001</v>
      </c>
      <c r="AD50" s="181">
        <v>0</v>
      </c>
      <c r="AE50" s="181">
        <v>0</v>
      </c>
      <c r="AF50" s="181">
        <v>0</v>
      </c>
      <c r="AG50" s="184">
        <v>1.12794265</v>
      </c>
      <c r="AH50" s="184">
        <v>1.52550607</v>
      </c>
      <c r="AI50" s="184">
        <v>0.89658358999999999</v>
      </c>
      <c r="AJ50" s="181">
        <v>1.45310395</v>
      </c>
      <c r="AK50" s="297">
        <v>1.80309601</v>
      </c>
      <c r="AL50" s="297">
        <v>1.73375714</v>
      </c>
      <c r="AM50" s="181">
        <v>0</v>
      </c>
      <c r="AN50" s="181">
        <v>1.73045369</v>
      </c>
      <c r="AO50" s="181">
        <v>0</v>
      </c>
      <c r="AP50" s="181">
        <v>1.65547712</v>
      </c>
      <c r="AQ50" s="184">
        <v>0.65</v>
      </c>
      <c r="AR50" s="181">
        <v>0</v>
      </c>
      <c r="AS50" s="181">
        <v>0</v>
      </c>
      <c r="AT50" s="181">
        <v>0</v>
      </c>
      <c r="AU50" s="181">
        <v>0</v>
      </c>
      <c r="AV50" s="181">
        <v>0</v>
      </c>
      <c r="AW50" s="181">
        <v>0</v>
      </c>
      <c r="AX50" s="185">
        <v>0</v>
      </c>
    </row>
    <row r="51" spans="3:53" ht="12.75">
      <c r="C51" s="339"/>
      <c r="D51" s="169" t="s">
        <v>128</v>
      </c>
      <c r="E51" s="181"/>
      <c r="F51" s="173"/>
      <c r="G51" s="181"/>
      <c r="H51" s="173"/>
      <c r="I51" s="173"/>
      <c r="J51" s="181"/>
      <c r="K51" s="173"/>
      <c r="L51" s="173"/>
      <c r="M51" s="181"/>
      <c r="N51" s="173"/>
      <c r="O51" s="181"/>
      <c r="P51" s="181"/>
      <c r="Q51" s="173"/>
      <c r="R51" s="173"/>
      <c r="S51" s="181"/>
      <c r="T51" s="181"/>
      <c r="U51" s="173"/>
      <c r="V51" s="181"/>
      <c r="W51" s="181"/>
      <c r="X51" s="173"/>
      <c r="Y51" s="173"/>
      <c r="Z51" s="173"/>
      <c r="AA51" s="181"/>
      <c r="AB51" s="173"/>
      <c r="AC51" s="173"/>
      <c r="AD51" s="181"/>
      <c r="AE51" s="181"/>
      <c r="AF51" s="181"/>
      <c r="AG51" s="173"/>
      <c r="AH51" s="173"/>
      <c r="AI51" s="173"/>
      <c r="AJ51" s="181"/>
      <c r="AK51" s="181"/>
      <c r="AL51" s="181"/>
      <c r="AM51" s="181"/>
      <c r="AN51" s="181"/>
      <c r="AO51" s="181"/>
      <c r="AP51" s="181"/>
      <c r="AQ51" s="173"/>
      <c r="AR51" s="181"/>
      <c r="AS51" s="181"/>
      <c r="AT51" s="181"/>
      <c r="AU51" s="181"/>
      <c r="AV51" s="181"/>
      <c r="AW51" s="181"/>
      <c r="AX51" s="185"/>
    </row>
    <row r="52" spans="3:53" ht="12.75">
      <c r="C52" s="339" t="s">
        <v>127</v>
      </c>
      <c r="D52" s="171" t="s">
        <v>134</v>
      </c>
      <c r="E52" s="181">
        <v>0</v>
      </c>
      <c r="F52" s="181">
        <v>0</v>
      </c>
      <c r="G52" s="181">
        <v>0</v>
      </c>
      <c r="H52" s="181">
        <v>0</v>
      </c>
      <c r="I52" s="181">
        <v>0</v>
      </c>
      <c r="J52" s="181">
        <v>0</v>
      </c>
      <c r="K52" s="181">
        <v>0</v>
      </c>
      <c r="L52" s="181">
        <v>0</v>
      </c>
      <c r="M52" s="181">
        <v>0</v>
      </c>
      <c r="N52" s="181">
        <v>0</v>
      </c>
      <c r="O52" s="181">
        <v>0</v>
      </c>
      <c r="P52" s="181">
        <v>0</v>
      </c>
      <c r="Q52" s="184">
        <v>0.21393570999999997</v>
      </c>
      <c r="R52" s="184">
        <v>0.17428682000000004</v>
      </c>
      <c r="S52" s="181">
        <v>0</v>
      </c>
      <c r="T52" s="181">
        <v>0</v>
      </c>
      <c r="U52" s="181">
        <v>0</v>
      </c>
      <c r="V52" s="181"/>
      <c r="W52" s="181">
        <v>0</v>
      </c>
      <c r="X52" s="184">
        <v>0</v>
      </c>
      <c r="Y52" s="184">
        <v>0</v>
      </c>
      <c r="Z52" s="184">
        <v>0</v>
      </c>
      <c r="AA52" s="181">
        <v>0</v>
      </c>
      <c r="AB52" s="184">
        <v>0</v>
      </c>
      <c r="AC52" s="181">
        <v>0</v>
      </c>
      <c r="AD52" s="181">
        <v>0</v>
      </c>
      <c r="AE52" s="181">
        <v>0</v>
      </c>
      <c r="AF52" s="181">
        <v>0</v>
      </c>
      <c r="AG52" s="181">
        <v>0</v>
      </c>
      <c r="AH52" s="181">
        <v>0</v>
      </c>
      <c r="AI52" s="181">
        <v>0</v>
      </c>
      <c r="AJ52" s="181">
        <v>0</v>
      </c>
      <c r="AK52" s="181">
        <v>0</v>
      </c>
      <c r="AL52" s="181">
        <v>0</v>
      </c>
      <c r="AM52" s="181">
        <v>0</v>
      </c>
      <c r="AN52" s="181">
        <v>0</v>
      </c>
      <c r="AO52" s="181">
        <v>0</v>
      </c>
      <c r="AP52" s="181">
        <v>0</v>
      </c>
      <c r="AQ52" s="181">
        <v>0</v>
      </c>
      <c r="AR52" s="181">
        <v>0</v>
      </c>
      <c r="AS52" s="181">
        <v>0</v>
      </c>
      <c r="AT52" s="181">
        <v>0</v>
      </c>
      <c r="AU52" s="181">
        <v>0</v>
      </c>
      <c r="AV52" s="181">
        <v>0</v>
      </c>
      <c r="AW52" s="181">
        <v>0</v>
      </c>
      <c r="AX52" s="185">
        <v>0</v>
      </c>
    </row>
    <row r="53" spans="3:53" ht="12.75">
      <c r="C53" s="339" t="s">
        <v>127</v>
      </c>
      <c r="D53" s="171" t="s">
        <v>135</v>
      </c>
      <c r="E53" s="181">
        <v>0</v>
      </c>
      <c r="F53" s="181">
        <v>0</v>
      </c>
      <c r="G53" s="181">
        <v>0</v>
      </c>
      <c r="H53" s="181">
        <v>0</v>
      </c>
      <c r="I53" s="181">
        <v>0</v>
      </c>
      <c r="J53" s="181">
        <v>0</v>
      </c>
      <c r="K53" s="181">
        <v>0</v>
      </c>
      <c r="L53" s="181">
        <v>0</v>
      </c>
      <c r="M53" s="181">
        <v>0</v>
      </c>
      <c r="N53" s="181">
        <v>0</v>
      </c>
      <c r="O53" s="181">
        <v>0</v>
      </c>
      <c r="P53" s="181">
        <v>0</v>
      </c>
      <c r="Q53" s="184">
        <v>0.19820735</v>
      </c>
      <c r="R53" s="184">
        <v>0.16147342999999997</v>
      </c>
      <c r="S53" s="181">
        <v>0</v>
      </c>
      <c r="T53" s="181">
        <v>0</v>
      </c>
      <c r="U53" s="181">
        <v>0</v>
      </c>
      <c r="V53" s="181"/>
      <c r="W53" s="181">
        <v>0</v>
      </c>
      <c r="X53" s="184">
        <v>0</v>
      </c>
      <c r="Y53" s="184">
        <v>0</v>
      </c>
      <c r="Z53" s="184">
        <v>0</v>
      </c>
      <c r="AA53" s="181">
        <v>0</v>
      </c>
      <c r="AB53" s="184">
        <v>0</v>
      </c>
      <c r="AC53" s="181">
        <v>0</v>
      </c>
      <c r="AD53" s="181">
        <v>0</v>
      </c>
      <c r="AE53" s="181">
        <v>0</v>
      </c>
      <c r="AF53" s="181">
        <v>0</v>
      </c>
      <c r="AG53" s="181">
        <v>0</v>
      </c>
      <c r="AH53" s="181">
        <v>0</v>
      </c>
      <c r="AI53" s="181">
        <v>0</v>
      </c>
      <c r="AJ53" s="181">
        <v>0</v>
      </c>
      <c r="AK53" s="181">
        <v>0</v>
      </c>
      <c r="AL53" s="181">
        <v>0</v>
      </c>
      <c r="AM53" s="181">
        <v>0</v>
      </c>
      <c r="AN53" s="181">
        <v>0</v>
      </c>
      <c r="AO53" s="181">
        <v>0</v>
      </c>
      <c r="AP53" s="181">
        <v>0</v>
      </c>
      <c r="AQ53" s="181">
        <v>0</v>
      </c>
      <c r="AR53" s="181">
        <v>0</v>
      </c>
      <c r="AS53" s="181">
        <v>0</v>
      </c>
      <c r="AT53" s="181">
        <v>0</v>
      </c>
      <c r="AU53" s="181">
        <v>0</v>
      </c>
      <c r="AV53" s="181">
        <v>0</v>
      </c>
      <c r="AW53" s="181">
        <v>0</v>
      </c>
      <c r="AX53" s="185">
        <v>0</v>
      </c>
    </row>
    <row r="54" spans="3:53" ht="12.75">
      <c r="C54" s="339"/>
      <c r="D54" s="169" t="s">
        <v>124</v>
      </c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73"/>
      <c r="R54" s="173"/>
      <c r="S54" s="181"/>
      <c r="T54" s="181"/>
      <c r="U54" s="181"/>
      <c r="V54" s="181"/>
      <c r="W54" s="181"/>
      <c r="X54" s="173"/>
      <c r="Y54" s="173"/>
      <c r="Z54" s="173"/>
      <c r="AA54" s="181"/>
      <c r="AB54" s="173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5"/>
    </row>
    <row r="55" spans="3:53" ht="12.75">
      <c r="C55" s="339" t="s">
        <v>123</v>
      </c>
      <c r="D55" s="171" t="s">
        <v>134</v>
      </c>
      <c r="E55" s="181">
        <v>0</v>
      </c>
      <c r="F55" s="181">
        <v>0</v>
      </c>
      <c r="G55" s="181">
        <v>0</v>
      </c>
      <c r="H55" s="181">
        <v>0</v>
      </c>
      <c r="I55" s="181">
        <v>0</v>
      </c>
      <c r="J55" s="181">
        <v>0</v>
      </c>
      <c r="K55" s="181">
        <v>0</v>
      </c>
      <c r="L55" s="181">
        <v>0</v>
      </c>
      <c r="M55" s="181">
        <v>0</v>
      </c>
      <c r="N55" s="181">
        <v>0</v>
      </c>
      <c r="O55" s="181">
        <v>0</v>
      </c>
      <c r="P55" s="181">
        <v>0</v>
      </c>
      <c r="Q55" s="181">
        <v>0</v>
      </c>
      <c r="R55" s="181">
        <v>0</v>
      </c>
      <c r="S55" s="181">
        <v>0</v>
      </c>
      <c r="T55" s="181">
        <v>0</v>
      </c>
      <c r="U55" s="181">
        <v>0</v>
      </c>
      <c r="V55" s="181"/>
      <c r="W55" s="181">
        <v>0</v>
      </c>
      <c r="X55" s="184">
        <v>0</v>
      </c>
      <c r="Y55" s="184">
        <v>0</v>
      </c>
      <c r="Z55" s="184">
        <v>0</v>
      </c>
      <c r="AA55" s="181">
        <v>0</v>
      </c>
      <c r="AB55" s="184">
        <v>0</v>
      </c>
      <c r="AC55" s="181">
        <v>0</v>
      </c>
      <c r="AD55" s="181">
        <v>0</v>
      </c>
      <c r="AE55" s="181">
        <v>0</v>
      </c>
      <c r="AF55" s="181">
        <v>0</v>
      </c>
      <c r="AG55" s="181">
        <v>0</v>
      </c>
      <c r="AH55" s="181">
        <v>0</v>
      </c>
      <c r="AI55" s="181">
        <v>0</v>
      </c>
      <c r="AJ55" s="181">
        <v>0</v>
      </c>
      <c r="AK55" s="181">
        <v>0</v>
      </c>
      <c r="AL55" s="181">
        <v>0</v>
      </c>
      <c r="AM55" s="181">
        <v>0</v>
      </c>
      <c r="AN55" s="181">
        <v>0</v>
      </c>
      <c r="AO55" s="181">
        <v>0</v>
      </c>
      <c r="AP55" s="181">
        <v>0</v>
      </c>
      <c r="AQ55" s="181">
        <v>0</v>
      </c>
      <c r="AR55" s="181">
        <v>0</v>
      </c>
      <c r="AS55" s="181">
        <v>0</v>
      </c>
      <c r="AT55" s="181">
        <v>0</v>
      </c>
      <c r="AU55" s="181">
        <v>0</v>
      </c>
      <c r="AV55" s="181">
        <v>0</v>
      </c>
      <c r="AW55" s="181">
        <v>0</v>
      </c>
      <c r="AX55" s="185">
        <v>0</v>
      </c>
    </row>
    <row r="56" spans="3:53" ht="12.75">
      <c r="C56" s="339" t="s">
        <v>123</v>
      </c>
      <c r="D56" s="171" t="s">
        <v>135</v>
      </c>
      <c r="E56" s="181">
        <v>0</v>
      </c>
      <c r="F56" s="181">
        <v>0</v>
      </c>
      <c r="G56" s="181">
        <v>0</v>
      </c>
      <c r="H56" s="181">
        <v>0</v>
      </c>
      <c r="I56" s="181">
        <v>0</v>
      </c>
      <c r="J56" s="181">
        <v>0</v>
      </c>
      <c r="K56" s="181">
        <v>0</v>
      </c>
      <c r="L56" s="181">
        <v>0</v>
      </c>
      <c r="M56" s="181">
        <v>0</v>
      </c>
      <c r="N56" s="181">
        <v>0</v>
      </c>
      <c r="O56" s="181">
        <v>0</v>
      </c>
      <c r="P56" s="181">
        <v>0</v>
      </c>
      <c r="Q56" s="181">
        <v>0</v>
      </c>
      <c r="R56" s="181">
        <v>0</v>
      </c>
      <c r="S56" s="181">
        <v>0</v>
      </c>
      <c r="T56" s="181">
        <v>0</v>
      </c>
      <c r="U56" s="181">
        <v>0</v>
      </c>
      <c r="V56" s="181"/>
      <c r="W56" s="181">
        <v>0</v>
      </c>
      <c r="X56" s="184">
        <v>0</v>
      </c>
      <c r="Y56" s="184">
        <v>0</v>
      </c>
      <c r="Z56" s="184">
        <v>0</v>
      </c>
      <c r="AA56" s="181">
        <v>0</v>
      </c>
      <c r="AB56" s="184">
        <v>0</v>
      </c>
      <c r="AC56" s="181">
        <v>0</v>
      </c>
      <c r="AD56" s="181">
        <v>0</v>
      </c>
      <c r="AE56" s="181">
        <v>0</v>
      </c>
      <c r="AF56" s="181">
        <v>0</v>
      </c>
      <c r="AG56" s="181">
        <v>0</v>
      </c>
      <c r="AH56" s="181">
        <v>0</v>
      </c>
      <c r="AI56" s="181">
        <v>0</v>
      </c>
      <c r="AJ56" s="181">
        <v>0</v>
      </c>
      <c r="AK56" s="181">
        <v>0</v>
      </c>
      <c r="AL56" s="181">
        <v>0</v>
      </c>
      <c r="AM56" s="181">
        <v>0</v>
      </c>
      <c r="AN56" s="181">
        <v>0</v>
      </c>
      <c r="AO56" s="181">
        <v>0</v>
      </c>
      <c r="AP56" s="181">
        <v>0</v>
      </c>
      <c r="AQ56" s="181">
        <v>0</v>
      </c>
      <c r="AR56" s="181">
        <v>0</v>
      </c>
      <c r="AS56" s="181">
        <v>0</v>
      </c>
      <c r="AT56" s="181">
        <v>0</v>
      </c>
      <c r="AU56" s="181">
        <v>0</v>
      </c>
      <c r="AV56" s="181">
        <v>0</v>
      </c>
      <c r="AW56" s="181">
        <v>0</v>
      </c>
      <c r="AX56" s="185">
        <v>0</v>
      </c>
    </row>
    <row r="57" spans="3:53" ht="12.75">
      <c r="C57" s="339"/>
      <c r="D57" s="169" t="s">
        <v>112</v>
      </c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73"/>
      <c r="R57" s="181"/>
      <c r="S57" s="181"/>
      <c r="T57" s="181"/>
      <c r="U57" s="181"/>
      <c r="V57" s="181"/>
      <c r="W57" s="181"/>
      <c r="X57" s="173"/>
      <c r="Y57" s="173"/>
      <c r="Z57" s="173"/>
      <c r="AA57" s="181"/>
      <c r="AB57" s="173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5"/>
    </row>
    <row r="58" spans="3:53" ht="12.75">
      <c r="C58" s="339" t="s">
        <v>111</v>
      </c>
      <c r="D58" s="171" t="s">
        <v>134</v>
      </c>
      <c r="E58" s="181">
        <v>0</v>
      </c>
      <c r="F58" s="181">
        <v>0</v>
      </c>
      <c r="G58" s="181">
        <v>0</v>
      </c>
      <c r="H58" s="181">
        <v>0</v>
      </c>
      <c r="I58" s="181">
        <v>0</v>
      </c>
      <c r="J58" s="181">
        <v>0.21667953000000001</v>
      </c>
      <c r="K58" s="181">
        <v>0</v>
      </c>
      <c r="L58" s="181">
        <v>0</v>
      </c>
      <c r="M58" s="181">
        <v>0</v>
      </c>
      <c r="N58" s="181">
        <v>0</v>
      </c>
      <c r="O58" s="181">
        <v>0</v>
      </c>
      <c r="P58" s="181">
        <v>0</v>
      </c>
      <c r="Q58" s="184">
        <v>0.11884238999999999</v>
      </c>
      <c r="R58" s="184">
        <v>0.16333328999999999</v>
      </c>
      <c r="S58" s="181">
        <v>0</v>
      </c>
      <c r="T58" s="181">
        <v>0</v>
      </c>
      <c r="U58" s="184">
        <v>6.6867879999999991E-2</v>
      </c>
      <c r="V58" s="181"/>
      <c r="W58" s="181">
        <v>0</v>
      </c>
      <c r="X58" s="184">
        <v>0</v>
      </c>
      <c r="Y58" s="184">
        <v>0</v>
      </c>
      <c r="Z58" s="184">
        <v>0</v>
      </c>
      <c r="AA58" s="181">
        <v>0</v>
      </c>
      <c r="AB58" s="184">
        <v>0</v>
      </c>
      <c r="AC58" s="181">
        <v>0</v>
      </c>
      <c r="AD58" s="181">
        <v>0</v>
      </c>
      <c r="AE58" s="181">
        <v>0</v>
      </c>
      <c r="AF58" s="181">
        <v>0</v>
      </c>
      <c r="AG58" s="181">
        <v>0</v>
      </c>
      <c r="AH58" s="181">
        <v>0</v>
      </c>
      <c r="AI58" s="181">
        <v>0</v>
      </c>
      <c r="AJ58" s="181">
        <v>0</v>
      </c>
      <c r="AK58" s="181">
        <v>0</v>
      </c>
      <c r="AL58" s="181">
        <v>0</v>
      </c>
      <c r="AM58" s="181">
        <v>0</v>
      </c>
      <c r="AN58" s="181">
        <v>0</v>
      </c>
      <c r="AO58" s="181">
        <v>0</v>
      </c>
      <c r="AP58" s="181">
        <v>0</v>
      </c>
      <c r="AQ58" s="181">
        <v>0</v>
      </c>
      <c r="AR58" s="181">
        <v>0</v>
      </c>
      <c r="AS58" s="181">
        <v>0</v>
      </c>
      <c r="AT58" s="181">
        <v>0</v>
      </c>
      <c r="AU58" s="181">
        <v>0</v>
      </c>
      <c r="AV58" s="181">
        <v>0</v>
      </c>
      <c r="AW58" s="181">
        <v>0</v>
      </c>
      <c r="AX58" s="185">
        <v>0</v>
      </c>
    </row>
    <row r="59" spans="3:53" ht="12.75">
      <c r="C59" s="339" t="s">
        <v>111</v>
      </c>
      <c r="D59" s="171" t="s">
        <v>135</v>
      </c>
      <c r="E59" s="181">
        <v>0</v>
      </c>
      <c r="F59" s="181">
        <v>0</v>
      </c>
      <c r="G59" s="181">
        <v>0</v>
      </c>
      <c r="H59" s="181">
        <v>0</v>
      </c>
      <c r="I59" s="181">
        <v>0</v>
      </c>
      <c r="J59" s="181">
        <v>0.20074944</v>
      </c>
      <c r="K59" s="181">
        <v>0</v>
      </c>
      <c r="L59" s="181">
        <v>0</v>
      </c>
      <c r="M59" s="181">
        <v>0</v>
      </c>
      <c r="N59" s="181">
        <v>0</v>
      </c>
      <c r="O59" s="181">
        <v>0</v>
      </c>
      <c r="P59" s="181">
        <v>0</v>
      </c>
      <c r="Q59" s="184">
        <v>0.11010522</v>
      </c>
      <c r="R59" s="184">
        <v>0.15132519999999999</v>
      </c>
      <c r="S59" s="181">
        <v>0</v>
      </c>
      <c r="T59" s="181">
        <v>0</v>
      </c>
      <c r="U59" s="184">
        <v>6.1951819999999998E-2</v>
      </c>
      <c r="V59" s="181"/>
      <c r="W59" s="181">
        <v>0</v>
      </c>
      <c r="X59" s="184">
        <v>0</v>
      </c>
      <c r="Y59" s="184">
        <v>0</v>
      </c>
      <c r="Z59" s="184">
        <v>0</v>
      </c>
      <c r="AA59" s="181">
        <v>0</v>
      </c>
      <c r="AB59" s="184">
        <v>0</v>
      </c>
      <c r="AC59" s="181">
        <v>0</v>
      </c>
      <c r="AD59" s="181">
        <v>0</v>
      </c>
      <c r="AE59" s="181">
        <v>0</v>
      </c>
      <c r="AF59" s="181">
        <v>0</v>
      </c>
      <c r="AG59" s="181">
        <v>0</v>
      </c>
      <c r="AH59" s="181">
        <v>0</v>
      </c>
      <c r="AI59" s="181">
        <v>0</v>
      </c>
      <c r="AJ59" s="181">
        <v>0</v>
      </c>
      <c r="AK59" s="181">
        <v>0</v>
      </c>
      <c r="AL59" s="181">
        <v>0</v>
      </c>
      <c r="AM59" s="181">
        <v>0</v>
      </c>
      <c r="AN59" s="181">
        <v>0</v>
      </c>
      <c r="AO59" s="181">
        <v>0</v>
      </c>
      <c r="AP59" s="181">
        <v>0</v>
      </c>
      <c r="AQ59" s="181">
        <v>0</v>
      </c>
      <c r="AR59" s="181">
        <v>0</v>
      </c>
      <c r="AS59" s="181">
        <v>0</v>
      </c>
      <c r="AT59" s="181">
        <v>0</v>
      </c>
      <c r="AU59" s="181">
        <v>0</v>
      </c>
      <c r="AV59" s="181">
        <v>0</v>
      </c>
      <c r="AW59" s="181">
        <v>0</v>
      </c>
      <c r="AX59" s="185">
        <v>0</v>
      </c>
    </row>
    <row r="60" spans="3:53" ht="12.75">
      <c r="C60" s="339"/>
      <c r="D60" s="169" t="s">
        <v>136</v>
      </c>
      <c r="E60" s="181"/>
      <c r="F60" s="181"/>
      <c r="G60" s="181"/>
      <c r="H60" s="181"/>
      <c r="I60" s="181"/>
      <c r="J60" s="173"/>
      <c r="K60" s="181"/>
      <c r="L60" s="181"/>
      <c r="M60" s="181"/>
      <c r="N60" s="181"/>
      <c r="O60" s="181"/>
      <c r="P60" s="181"/>
      <c r="Q60" s="173"/>
      <c r="R60" s="173"/>
      <c r="S60" s="181"/>
      <c r="T60" s="181"/>
      <c r="U60" s="181"/>
      <c r="V60" s="181"/>
      <c r="W60" s="173"/>
      <c r="X60" s="173"/>
      <c r="Y60" s="173"/>
      <c r="Z60" s="173"/>
      <c r="AA60" s="181"/>
      <c r="AB60" s="173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5"/>
    </row>
    <row r="61" spans="3:53" ht="12.75">
      <c r="C61" s="339" t="s">
        <v>113</v>
      </c>
      <c r="D61" s="171" t="s">
        <v>134</v>
      </c>
      <c r="E61" s="181">
        <v>0</v>
      </c>
      <c r="F61" s="181">
        <v>0</v>
      </c>
      <c r="G61" s="181">
        <v>0</v>
      </c>
      <c r="H61" s="181">
        <v>0</v>
      </c>
      <c r="I61" s="181">
        <v>0</v>
      </c>
      <c r="J61" s="181">
        <v>0.21667953000000001</v>
      </c>
      <c r="K61" s="181">
        <v>0</v>
      </c>
      <c r="L61" s="181">
        <v>0</v>
      </c>
      <c r="M61" s="181">
        <v>0</v>
      </c>
      <c r="N61" s="181">
        <v>0</v>
      </c>
      <c r="O61" s="181">
        <v>0</v>
      </c>
      <c r="P61" s="181">
        <v>0</v>
      </c>
      <c r="Q61" s="181">
        <v>0</v>
      </c>
      <c r="R61" s="181">
        <v>0</v>
      </c>
      <c r="S61" s="181">
        <v>0</v>
      </c>
      <c r="T61" s="184">
        <v>9.3818670000000007E-2</v>
      </c>
      <c r="U61" s="181">
        <v>0</v>
      </c>
      <c r="V61" s="181"/>
      <c r="W61" s="184">
        <v>9.4111159999999999E-2</v>
      </c>
      <c r="X61" s="184">
        <v>0</v>
      </c>
      <c r="Y61" s="184">
        <v>0</v>
      </c>
      <c r="Z61" s="184">
        <v>0</v>
      </c>
      <c r="AA61" s="181">
        <v>0</v>
      </c>
      <c r="AB61" s="184">
        <v>0</v>
      </c>
      <c r="AC61" s="181">
        <v>0</v>
      </c>
      <c r="AD61" s="181">
        <v>0</v>
      </c>
      <c r="AE61" s="181">
        <v>0</v>
      </c>
      <c r="AF61" s="181">
        <v>0</v>
      </c>
      <c r="AG61" s="181">
        <v>0</v>
      </c>
      <c r="AH61" s="181">
        <v>0</v>
      </c>
      <c r="AI61" s="181">
        <v>0</v>
      </c>
      <c r="AJ61" s="181">
        <v>0</v>
      </c>
      <c r="AK61" s="181">
        <v>0</v>
      </c>
      <c r="AL61" s="181">
        <v>0</v>
      </c>
      <c r="AM61" s="181">
        <v>0</v>
      </c>
      <c r="AN61" s="181">
        <v>0</v>
      </c>
      <c r="AO61" s="181">
        <v>0</v>
      </c>
      <c r="AP61" s="181">
        <v>0</v>
      </c>
      <c r="AQ61" s="181">
        <v>0</v>
      </c>
      <c r="AR61" s="181">
        <v>0</v>
      </c>
      <c r="AS61" s="181">
        <v>0</v>
      </c>
      <c r="AT61" s="181">
        <v>0</v>
      </c>
      <c r="AU61" s="181">
        <v>0</v>
      </c>
      <c r="AV61" s="181">
        <v>0</v>
      </c>
      <c r="AW61" s="181">
        <v>0</v>
      </c>
      <c r="AX61" s="185">
        <v>0</v>
      </c>
    </row>
    <row r="62" spans="3:53" ht="12.75">
      <c r="C62" s="339" t="s">
        <v>113</v>
      </c>
      <c r="D62" s="171" t="s">
        <v>135</v>
      </c>
      <c r="E62" s="181">
        <v>0</v>
      </c>
      <c r="F62" s="181">
        <v>0</v>
      </c>
      <c r="G62" s="181">
        <v>0</v>
      </c>
      <c r="H62" s="181">
        <v>0</v>
      </c>
      <c r="I62" s="181">
        <v>0</v>
      </c>
      <c r="J62" s="181">
        <v>0.20074945999999999</v>
      </c>
      <c r="K62" s="181">
        <v>0</v>
      </c>
      <c r="L62" s="181">
        <v>0</v>
      </c>
      <c r="M62" s="181">
        <v>0</v>
      </c>
      <c r="N62" s="181">
        <v>0</v>
      </c>
      <c r="O62" s="181">
        <v>0</v>
      </c>
      <c r="P62" s="181">
        <v>0</v>
      </c>
      <c r="Q62" s="181">
        <v>0</v>
      </c>
      <c r="R62" s="181">
        <v>0</v>
      </c>
      <c r="S62" s="181">
        <v>0</v>
      </c>
      <c r="T62" s="184">
        <v>8.6921209999999999E-2</v>
      </c>
      <c r="U62" s="181">
        <v>0</v>
      </c>
      <c r="V62" s="181"/>
      <c r="W62" s="184">
        <v>8.7192179999999994E-2</v>
      </c>
      <c r="X62" s="184">
        <v>0</v>
      </c>
      <c r="Y62" s="184">
        <v>0</v>
      </c>
      <c r="Z62" s="184">
        <v>0</v>
      </c>
      <c r="AA62" s="181">
        <v>0</v>
      </c>
      <c r="AB62" s="184">
        <v>0</v>
      </c>
      <c r="AC62" s="181">
        <v>0</v>
      </c>
      <c r="AD62" s="181">
        <v>0</v>
      </c>
      <c r="AE62" s="181">
        <v>0</v>
      </c>
      <c r="AF62" s="181">
        <v>0</v>
      </c>
      <c r="AG62" s="181">
        <v>0</v>
      </c>
      <c r="AH62" s="181">
        <v>0</v>
      </c>
      <c r="AI62" s="181">
        <v>0</v>
      </c>
      <c r="AJ62" s="181">
        <v>0</v>
      </c>
      <c r="AK62" s="181">
        <v>0</v>
      </c>
      <c r="AL62" s="181">
        <v>0</v>
      </c>
      <c r="AM62" s="181">
        <v>0</v>
      </c>
      <c r="AN62" s="181">
        <v>0</v>
      </c>
      <c r="AO62" s="181">
        <v>0</v>
      </c>
      <c r="AP62" s="181">
        <v>0</v>
      </c>
      <c r="AQ62" s="181">
        <v>0</v>
      </c>
      <c r="AR62" s="181">
        <v>0</v>
      </c>
      <c r="AS62" s="181">
        <v>0</v>
      </c>
      <c r="AT62" s="181">
        <v>0</v>
      </c>
      <c r="AU62" s="181">
        <v>0</v>
      </c>
      <c r="AV62" s="181">
        <v>0</v>
      </c>
      <c r="AW62" s="181">
        <v>0</v>
      </c>
      <c r="AX62" s="185">
        <v>0</v>
      </c>
    </row>
    <row r="63" spans="3:53" ht="12.75">
      <c r="C63" s="339"/>
      <c r="D63" s="169" t="s">
        <v>116</v>
      </c>
      <c r="E63" s="181"/>
      <c r="F63" s="181"/>
      <c r="G63" s="181"/>
      <c r="H63" s="181"/>
      <c r="I63" s="181"/>
      <c r="J63" s="173"/>
      <c r="K63" s="181"/>
      <c r="L63" s="181"/>
      <c r="M63" s="181"/>
      <c r="N63" s="181"/>
      <c r="O63" s="181"/>
      <c r="P63" s="181"/>
      <c r="Q63" s="173"/>
      <c r="R63" s="173"/>
      <c r="S63" s="181"/>
      <c r="T63" s="173"/>
      <c r="U63" s="181"/>
      <c r="V63" s="173"/>
      <c r="W63" s="173"/>
      <c r="X63" s="173"/>
      <c r="Y63" s="173"/>
      <c r="Z63" s="173"/>
      <c r="AA63" s="181"/>
      <c r="AB63" s="173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5"/>
    </row>
    <row r="64" spans="3:53" ht="12.75">
      <c r="C64" s="339" t="s">
        <v>115</v>
      </c>
      <c r="D64" s="171" t="s">
        <v>134</v>
      </c>
      <c r="E64" s="181">
        <v>0</v>
      </c>
      <c r="F64" s="181">
        <v>0</v>
      </c>
      <c r="G64" s="181">
        <v>0</v>
      </c>
      <c r="H64" s="181">
        <v>0</v>
      </c>
      <c r="I64" s="181">
        <v>0</v>
      </c>
      <c r="J64" s="181">
        <v>0.43335900999999999</v>
      </c>
      <c r="K64" s="181">
        <v>0</v>
      </c>
      <c r="L64" s="181">
        <v>0</v>
      </c>
      <c r="M64" s="181">
        <v>0</v>
      </c>
      <c r="N64" s="181">
        <v>0</v>
      </c>
      <c r="O64" s="181">
        <v>0</v>
      </c>
      <c r="P64" s="181">
        <v>0</v>
      </c>
      <c r="Q64" s="181">
        <v>0</v>
      </c>
      <c r="R64" s="181">
        <v>0</v>
      </c>
      <c r="S64" s="181">
        <v>0</v>
      </c>
      <c r="T64" s="181">
        <v>0</v>
      </c>
      <c r="U64" s="181">
        <v>0</v>
      </c>
      <c r="V64" s="184"/>
      <c r="W64" s="181">
        <v>0</v>
      </c>
      <c r="X64" s="184">
        <v>0</v>
      </c>
      <c r="Y64" s="184">
        <v>0</v>
      </c>
      <c r="Z64" s="184">
        <v>0</v>
      </c>
      <c r="AA64" s="181">
        <v>0</v>
      </c>
      <c r="AB64" s="184">
        <v>0</v>
      </c>
      <c r="AC64" s="181">
        <v>0</v>
      </c>
      <c r="AD64" s="181">
        <v>0</v>
      </c>
      <c r="AE64" s="181">
        <v>0</v>
      </c>
      <c r="AF64" s="181">
        <v>0</v>
      </c>
      <c r="AG64" s="181">
        <v>0</v>
      </c>
      <c r="AH64" s="181">
        <v>0</v>
      </c>
      <c r="AI64" s="181">
        <v>0</v>
      </c>
      <c r="AJ64" s="181">
        <v>0</v>
      </c>
      <c r="AK64" s="181">
        <v>0</v>
      </c>
      <c r="AL64" s="181">
        <v>0</v>
      </c>
      <c r="AM64" s="181">
        <v>0</v>
      </c>
      <c r="AN64" s="181">
        <v>0</v>
      </c>
      <c r="AO64" s="181">
        <v>0</v>
      </c>
      <c r="AP64" s="181">
        <v>0</v>
      </c>
      <c r="AQ64" s="181">
        <v>0</v>
      </c>
      <c r="AR64" s="181">
        <v>0</v>
      </c>
      <c r="AS64" s="181">
        <v>0</v>
      </c>
      <c r="AT64" s="181">
        <v>0</v>
      </c>
      <c r="AU64" s="181">
        <v>0</v>
      </c>
      <c r="AV64" s="181">
        <v>0</v>
      </c>
      <c r="AW64" s="181">
        <v>0</v>
      </c>
      <c r="AX64" s="185">
        <v>0</v>
      </c>
    </row>
    <row r="65" spans="3:50" ht="12.75">
      <c r="C65" s="339" t="s">
        <v>115</v>
      </c>
      <c r="D65" s="171" t="s">
        <v>135</v>
      </c>
      <c r="E65" s="181">
        <v>0</v>
      </c>
      <c r="F65" s="181">
        <v>0</v>
      </c>
      <c r="G65" s="181">
        <v>0</v>
      </c>
      <c r="H65" s="181">
        <v>0</v>
      </c>
      <c r="I65" s="181">
        <v>0</v>
      </c>
      <c r="J65" s="181">
        <v>0.40149892999999998</v>
      </c>
      <c r="K65" s="181">
        <v>0</v>
      </c>
      <c r="L65" s="181">
        <v>0</v>
      </c>
      <c r="M65" s="181">
        <v>0</v>
      </c>
      <c r="N65" s="181">
        <v>0</v>
      </c>
      <c r="O65" s="181">
        <v>0</v>
      </c>
      <c r="P65" s="181">
        <v>0</v>
      </c>
      <c r="Q65" s="181">
        <v>0</v>
      </c>
      <c r="R65" s="181">
        <v>0</v>
      </c>
      <c r="S65" s="181">
        <v>0</v>
      </c>
      <c r="T65" s="181">
        <v>0</v>
      </c>
      <c r="U65" s="181">
        <v>0</v>
      </c>
      <c r="V65" s="184"/>
      <c r="W65" s="181">
        <v>0</v>
      </c>
      <c r="X65" s="184">
        <v>0</v>
      </c>
      <c r="Y65" s="184">
        <v>0</v>
      </c>
      <c r="Z65" s="184">
        <v>0</v>
      </c>
      <c r="AA65" s="181">
        <v>0</v>
      </c>
      <c r="AB65" s="184">
        <v>0</v>
      </c>
      <c r="AC65" s="181">
        <v>0</v>
      </c>
      <c r="AD65" s="181">
        <v>0</v>
      </c>
      <c r="AE65" s="181">
        <v>0</v>
      </c>
      <c r="AF65" s="181">
        <v>0</v>
      </c>
      <c r="AG65" s="181">
        <v>0</v>
      </c>
      <c r="AH65" s="181">
        <v>0</v>
      </c>
      <c r="AI65" s="181">
        <v>0</v>
      </c>
      <c r="AJ65" s="181">
        <v>0</v>
      </c>
      <c r="AK65" s="181">
        <v>0</v>
      </c>
      <c r="AL65" s="181">
        <v>0</v>
      </c>
      <c r="AM65" s="181">
        <v>0</v>
      </c>
      <c r="AN65" s="181">
        <v>0</v>
      </c>
      <c r="AO65" s="181">
        <v>0</v>
      </c>
      <c r="AP65" s="181">
        <v>0</v>
      </c>
      <c r="AQ65" s="181">
        <v>0</v>
      </c>
      <c r="AR65" s="181">
        <v>0</v>
      </c>
      <c r="AS65" s="181">
        <v>0</v>
      </c>
      <c r="AT65" s="181">
        <v>0</v>
      </c>
      <c r="AU65" s="181">
        <v>0</v>
      </c>
      <c r="AV65" s="181">
        <v>0</v>
      </c>
      <c r="AW65" s="181">
        <v>0</v>
      </c>
      <c r="AX65" s="185">
        <v>0</v>
      </c>
    </row>
    <row r="66" spans="3:50" ht="12.75">
      <c r="C66" s="339"/>
      <c r="D66" s="169" t="s">
        <v>137</v>
      </c>
      <c r="E66" s="181"/>
      <c r="F66" s="181"/>
      <c r="G66" s="181"/>
      <c r="H66" s="181"/>
      <c r="I66" s="181"/>
      <c r="J66" s="173"/>
      <c r="K66" s="181"/>
      <c r="L66" s="181"/>
      <c r="M66" s="181"/>
      <c r="N66" s="173"/>
      <c r="O66" s="181"/>
      <c r="P66" s="181"/>
      <c r="Q66" s="173"/>
      <c r="R66" s="173"/>
      <c r="S66" s="181"/>
      <c r="T66" s="181"/>
      <c r="U66" s="173"/>
      <c r="V66" s="173"/>
      <c r="W66" s="181"/>
      <c r="X66" s="173"/>
      <c r="Y66" s="173"/>
      <c r="Z66" s="173"/>
      <c r="AA66" s="181"/>
      <c r="AB66" s="173"/>
      <c r="AC66" s="181"/>
      <c r="AD66" s="181"/>
      <c r="AE66" s="181"/>
      <c r="AF66" s="181"/>
      <c r="AG66" s="181"/>
      <c r="AH66" s="181"/>
      <c r="AI66" s="173"/>
      <c r="AJ66" s="181"/>
      <c r="AK66" s="181"/>
      <c r="AL66" s="181"/>
      <c r="AM66" s="181"/>
      <c r="AN66" s="181"/>
      <c r="AO66" s="181"/>
      <c r="AP66" s="181"/>
      <c r="AQ66" s="173"/>
      <c r="AR66" s="181"/>
      <c r="AS66" s="181"/>
      <c r="AT66" s="181"/>
      <c r="AU66" s="181"/>
      <c r="AV66" s="181"/>
      <c r="AW66" s="181"/>
      <c r="AX66" s="185"/>
    </row>
    <row r="67" spans="3:50" ht="12.75">
      <c r="C67" s="339" t="s">
        <v>107</v>
      </c>
      <c r="D67" s="171" t="s">
        <v>134</v>
      </c>
      <c r="E67" s="181">
        <v>0</v>
      </c>
      <c r="F67" s="184">
        <v>0.7</v>
      </c>
      <c r="G67" s="181">
        <v>0</v>
      </c>
      <c r="H67" s="184">
        <v>0.875</v>
      </c>
      <c r="I67" s="184">
        <v>1</v>
      </c>
      <c r="J67" s="181">
        <v>0</v>
      </c>
      <c r="K67" s="181">
        <v>0</v>
      </c>
      <c r="L67" s="184">
        <v>0.21667953000000001</v>
      </c>
      <c r="M67" s="181">
        <v>0</v>
      </c>
      <c r="N67" s="184">
        <v>26.678460760000007</v>
      </c>
      <c r="O67" s="181">
        <v>0</v>
      </c>
      <c r="P67" s="181">
        <v>0</v>
      </c>
      <c r="Q67" s="184">
        <v>0.24506453999999994</v>
      </c>
      <c r="R67" s="184">
        <v>0.25943821000000006</v>
      </c>
      <c r="S67" s="181">
        <v>0</v>
      </c>
      <c r="T67" s="181">
        <v>0</v>
      </c>
      <c r="U67" s="181">
        <v>0</v>
      </c>
      <c r="V67" s="181"/>
      <c r="W67" s="181">
        <v>0</v>
      </c>
      <c r="X67" s="184">
        <v>0</v>
      </c>
      <c r="Y67" s="184">
        <v>0</v>
      </c>
      <c r="Z67" s="184">
        <v>0</v>
      </c>
      <c r="AA67" s="181">
        <v>0</v>
      </c>
      <c r="AB67" s="184">
        <v>0</v>
      </c>
      <c r="AC67" s="184">
        <v>1.85579739</v>
      </c>
      <c r="AD67" s="181">
        <v>0</v>
      </c>
      <c r="AE67" s="181">
        <v>0</v>
      </c>
      <c r="AF67" s="181">
        <v>0</v>
      </c>
      <c r="AG67" s="181">
        <v>0</v>
      </c>
      <c r="AH67" s="181">
        <v>0</v>
      </c>
      <c r="AI67" s="184">
        <v>0.99959542999999995</v>
      </c>
      <c r="AJ67" s="181">
        <v>1.6146491300000001</v>
      </c>
      <c r="AK67" s="181">
        <v>0</v>
      </c>
      <c r="AL67" s="297">
        <v>1.98245618</v>
      </c>
      <c r="AM67" s="181">
        <v>0</v>
      </c>
      <c r="AN67" s="181">
        <v>0</v>
      </c>
      <c r="AO67" s="181">
        <v>0</v>
      </c>
      <c r="AP67" s="181">
        <v>1.6666973300000001</v>
      </c>
      <c r="AQ67" s="184">
        <v>0.65</v>
      </c>
      <c r="AR67" s="181">
        <v>0</v>
      </c>
      <c r="AS67" s="181">
        <v>0</v>
      </c>
      <c r="AT67" s="181">
        <v>0</v>
      </c>
      <c r="AU67" s="181">
        <v>0</v>
      </c>
      <c r="AV67" s="181">
        <v>0</v>
      </c>
      <c r="AW67" s="181">
        <v>0</v>
      </c>
      <c r="AX67" s="185">
        <v>0</v>
      </c>
    </row>
    <row r="68" spans="3:50" ht="12.75">
      <c r="C68" s="339" t="s">
        <v>107</v>
      </c>
      <c r="D68" s="171" t="s">
        <v>135</v>
      </c>
      <c r="E68" s="181">
        <v>0</v>
      </c>
      <c r="F68" s="184">
        <v>0.7</v>
      </c>
      <c r="G68" s="181">
        <v>0</v>
      </c>
      <c r="H68" s="184">
        <v>0.875</v>
      </c>
      <c r="I68" s="184">
        <v>1</v>
      </c>
      <c r="J68" s="181">
        <v>0</v>
      </c>
      <c r="K68" s="181">
        <v>0</v>
      </c>
      <c r="L68" s="184">
        <v>0.20074945999999999</v>
      </c>
      <c r="M68" s="181">
        <v>0</v>
      </c>
      <c r="N68" s="184">
        <v>24.717086340000012</v>
      </c>
      <c r="O68" s="181">
        <v>0</v>
      </c>
      <c r="P68" s="181">
        <v>0</v>
      </c>
      <c r="Q68" s="184">
        <v>0.22704766999999984</v>
      </c>
      <c r="R68" s="184">
        <v>0.24036454000000002</v>
      </c>
      <c r="S68" s="181">
        <v>0</v>
      </c>
      <c r="T68" s="181">
        <v>0</v>
      </c>
      <c r="U68" s="181">
        <v>0</v>
      </c>
      <c r="V68" s="181"/>
      <c r="W68" s="181">
        <v>0</v>
      </c>
      <c r="X68" s="184">
        <v>0</v>
      </c>
      <c r="Y68" s="184">
        <v>0</v>
      </c>
      <c r="Z68" s="184">
        <v>0</v>
      </c>
      <c r="AA68" s="181">
        <v>0</v>
      </c>
      <c r="AB68" s="184">
        <v>0</v>
      </c>
      <c r="AC68" s="184">
        <v>1.71936077</v>
      </c>
      <c r="AD68" s="181">
        <v>0</v>
      </c>
      <c r="AE68" s="181">
        <v>0</v>
      </c>
      <c r="AF68" s="181">
        <v>0</v>
      </c>
      <c r="AG68" s="181">
        <v>0</v>
      </c>
      <c r="AH68" s="181">
        <v>0</v>
      </c>
      <c r="AI68" s="184">
        <v>0.99959542999999995</v>
      </c>
      <c r="AJ68" s="181">
        <v>1.49594151</v>
      </c>
      <c r="AK68" s="181">
        <v>0</v>
      </c>
      <c r="AL68" s="297">
        <v>1.83670771</v>
      </c>
      <c r="AM68" s="181">
        <v>0</v>
      </c>
      <c r="AN68" s="181">
        <v>0</v>
      </c>
      <c r="AO68" s="181">
        <v>0</v>
      </c>
      <c r="AP68" s="181">
        <v>1.6666973300000001</v>
      </c>
      <c r="AQ68" s="184">
        <v>0.65</v>
      </c>
      <c r="AR68" s="181">
        <v>0</v>
      </c>
      <c r="AS68" s="181">
        <v>0</v>
      </c>
      <c r="AT68" s="181">
        <v>0</v>
      </c>
      <c r="AU68" s="181">
        <v>0</v>
      </c>
      <c r="AV68" s="181">
        <v>0</v>
      </c>
      <c r="AW68" s="181">
        <v>0</v>
      </c>
      <c r="AX68" s="185">
        <v>0</v>
      </c>
    </row>
    <row r="69" spans="3:50" ht="12.75">
      <c r="C69" s="339"/>
      <c r="D69" s="169" t="s">
        <v>138</v>
      </c>
      <c r="E69" s="181"/>
      <c r="F69" s="173"/>
      <c r="G69" s="173"/>
      <c r="H69" s="173"/>
      <c r="I69" s="173"/>
      <c r="J69" s="181"/>
      <c r="K69" s="181"/>
      <c r="L69" s="173"/>
      <c r="M69" s="181"/>
      <c r="N69" s="173"/>
      <c r="O69" s="181"/>
      <c r="P69" s="181"/>
      <c r="Q69" s="173"/>
      <c r="R69" s="173"/>
      <c r="S69" s="181"/>
      <c r="T69" s="181"/>
      <c r="U69" s="173"/>
      <c r="V69" s="181"/>
      <c r="W69" s="181"/>
      <c r="X69" s="173"/>
      <c r="Y69" s="173"/>
      <c r="Z69" s="173"/>
      <c r="AA69" s="181"/>
      <c r="AB69" s="173"/>
      <c r="AC69" s="173"/>
      <c r="AD69" s="181"/>
      <c r="AE69" s="181"/>
      <c r="AF69" s="181"/>
      <c r="AG69" s="181"/>
      <c r="AH69" s="181"/>
      <c r="AI69" s="173"/>
      <c r="AJ69" s="181"/>
      <c r="AK69" s="181"/>
      <c r="AL69" s="181"/>
      <c r="AM69" s="181"/>
      <c r="AN69" s="181"/>
      <c r="AO69" s="181"/>
      <c r="AP69" s="181"/>
      <c r="AQ69" s="173"/>
      <c r="AR69" s="181"/>
      <c r="AS69" s="181"/>
      <c r="AT69" s="181"/>
      <c r="AU69" s="181"/>
      <c r="AV69" s="181"/>
      <c r="AW69" s="181"/>
      <c r="AX69" s="185"/>
    </row>
    <row r="70" spans="3:50" ht="12.75">
      <c r="C70" s="339" t="s">
        <v>129</v>
      </c>
      <c r="D70" s="171" t="s">
        <v>134</v>
      </c>
      <c r="E70" s="181">
        <v>0</v>
      </c>
      <c r="F70" s="181">
        <v>0</v>
      </c>
      <c r="G70" s="181">
        <v>0</v>
      </c>
      <c r="H70" s="181">
        <v>0</v>
      </c>
      <c r="I70" s="181">
        <v>0</v>
      </c>
      <c r="J70" s="181">
        <v>0</v>
      </c>
      <c r="K70" s="181">
        <v>0</v>
      </c>
      <c r="L70" s="181">
        <v>0</v>
      </c>
      <c r="M70" s="181">
        <v>0</v>
      </c>
      <c r="N70" s="181">
        <v>0</v>
      </c>
      <c r="O70" s="181">
        <v>0</v>
      </c>
      <c r="P70" s="181">
        <v>0</v>
      </c>
      <c r="Q70" s="184">
        <v>0.26924973000000002</v>
      </c>
      <c r="R70" s="184">
        <v>0.19636762000000002</v>
      </c>
      <c r="S70" s="181">
        <v>0</v>
      </c>
      <c r="T70" s="181">
        <v>0</v>
      </c>
      <c r="U70" s="181">
        <v>0</v>
      </c>
      <c r="V70" s="181"/>
      <c r="W70" s="181">
        <v>0</v>
      </c>
      <c r="X70" s="184">
        <v>0</v>
      </c>
      <c r="Y70" s="184">
        <v>0</v>
      </c>
      <c r="Z70" s="184">
        <v>0</v>
      </c>
      <c r="AA70" s="181">
        <v>0</v>
      </c>
      <c r="AB70" s="184">
        <v>0</v>
      </c>
      <c r="AC70" s="181">
        <v>0</v>
      </c>
      <c r="AD70" s="181">
        <v>0</v>
      </c>
      <c r="AE70" s="181">
        <v>0</v>
      </c>
      <c r="AF70" s="181">
        <v>0</v>
      </c>
      <c r="AG70" s="181">
        <v>0</v>
      </c>
      <c r="AH70" s="181">
        <v>0</v>
      </c>
      <c r="AI70" s="181">
        <v>0</v>
      </c>
      <c r="AJ70" s="181">
        <v>0</v>
      </c>
      <c r="AK70" s="181">
        <v>0</v>
      </c>
      <c r="AL70" s="181">
        <v>0</v>
      </c>
      <c r="AM70" s="181">
        <v>0</v>
      </c>
      <c r="AN70" s="181">
        <v>0</v>
      </c>
      <c r="AO70" s="181">
        <v>0</v>
      </c>
      <c r="AP70" s="181">
        <v>0</v>
      </c>
      <c r="AQ70" s="181">
        <v>0</v>
      </c>
      <c r="AR70" s="181">
        <v>0</v>
      </c>
      <c r="AS70" s="181">
        <v>0</v>
      </c>
      <c r="AT70" s="181">
        <v>0</v>
      </c>
      <c r="AU70" s="181">
        <v>0</v>
      </c>
      <c r="AV70" s="181">
        <v>0</v>
      </c>
      <c r="AW70" s="181">
        <v>0</v>
      </c>
      <c r="AX70" s="185">
        <v>0</v>
      </c>
    </row>
    <row r="71" spans="3:50" ht="12.75">
      <c r="C71" s="339" t="s">
        <v>129</v>
      </c>
      <c r="D71" s="171" t="s">
        <v>135</v>
      </c>
      <c r="E71" s="181">
        <v>0</v>
      </c>
      <c r="F71" s="181">
        <v>0</v>
      </c>
      <c r="G71" s="181">
        <v>0</v>
      </c>
      <c r="H71" s="181">
        <v>0</v>
      </c>
      <c r="I71" s="181">
        <v>0</v>
      </c>
      <c r="J71" s="181">
        <v>0</v>
      </c>
      <c r="K71" s="181">
        <v>0</v>
      </c>
      <c r="L71" s="181">
        <v>0</v>
      </c>
      <c r="M71" s="181">
        <v>0</v>
      </c>
      <c r="N71" s="181">
        <v>0</v>
      </c>
      <c r="O71" s="181">
        <v>0</v>
      </c>
      <c r="P71" s="181">
        <v>0</v>
      </c>
      <c r="Q71" s="184">
        <v>0.24945474000000004</v>
      </c>
      <c r="R71" s="184">
        <v>0.18193085000000003</v>
      </c>
      <c r="S71" s="181">
        <v>0</v>
      </c>
      <c r="T71" s="181">
        <v>0</v>
      </c>
      <c r="U71" s="181">
        <v>0</v>
      </c>
      <c r="V71" s="181"/>
      <c r="W71" s="181">
        <v>0</v>
      </c>
      <c r="X71" s="184">
        <v>0</v>
      </c>
      <c r="Y71" s="184">
        <v>0</v>
      </c>
      <c r="Z71" s="184">
        <v>0</v>
      </c>
      <c r="AA71" s="181">
        <v>0</v>
      </c>
      <c r="AB71" s="184">
        <v>0</v>
      </c>
      <c r="AC71" s="181">
        <v>0</v>
      </c>
      <c r="AD71" s="181">
        <v>0</v>
      </c>
      <c r="AE71" s="181">
        <v>0</v>
      </c>
      <c r="AF71" s="181">
        <v>0</v>
      </c>
      <c r="AG71" s="181">
        <v>0</v>
      </c>
      <c r="AH71" s="181">
        <v>0</v>
      </c>
      <c r="AI71" s="181">
        <v>0</v>
      </c>
      <c r="AJ71" s="181">
        <v>0</v>
      </c>
      <c r="AK71" s="181">
        <v>0</v>
      </c>
      <c r="AL71" s="181">
        <v>0</v>
      </c>
      <c r="AM71" s="181">
        <v>0</v>
      </c>
      <c r="AN71" s="181">
        <v>0</v>
      </c>
      <c r="AO71" s="181">
        <v>0</v>
      </c>
      <c r="AP71" s="181">
        <v>0</v>
      </c>
      <c r="AQ71" s="181">
        <v>0</v>
      </c>
      <c r="AR71" s="181">
        <v>0</v>
      </c>
      <c r="AS71" s="181">
        <v>0</v>
      </c>
      <c r="AT71" s="181">
        <v>0</v>
      </c>
      <c r="AU71" s="181">
        <v>0</v>
      </c>
      <c r="AV71" s="181">
        <v>0</v>
      </c>
      <c r="AW71" s="181">
        <v>0</v>
      </c>
      <c r="AX71" s="185">
        <v>0</v>
      </c>
    </row>
    <row r="72" spans="3:50" ht="12.75">
      <c r="C72" s="339"/>
      <c r="D72" s="169" t="s">
        <v>118</v>
      </c>
      <c r="E72" s="181"/>
      <c r="F72" s="181"/>
      <c r="G72" s="181"/>
      <c r="H72" s="181"/>
      <c r="I72" s="181"/>
      <c r="J72" s="299"/>
      <c r="K72" s="181"/>
      <c r="L72" s="181"/>
      <c r="M72" s="181"/>
      <c r="N72" s="181"/>
      <c r="O72" s="181"/>
      <c r="P72" s="181"/>
      <c r="Q72" s="173"/>
      <c r="R72" s="173"/>
      <c r="S72" s="181"/>
      <c r="T72" s="181"/>
      <c r="U72" s="181"/>
      <c r="V72" s="181"/>
      <c r="W72" s="181"/>
      <c r="X72" s="173"/>
      <c r="Y72" s="173"/>
      <c r="Z72" s="173"/>
      <c r="AA72" s="181"/>
      <c r="AB72" s="173"/>
      <c r="AC72" s="181"/>
      <c r="AD72" s="181"/>
      <c r="AE72" s="181"/>
      <c r="AF72" s="181"/>
      <c r="AG72" s="181"/>
      <c r="AH72" s="181"/>
      <c r="AI72" s="181"/>
      <c r="AJ72" s="181"/>
      <c r="AK72" s="181"/>
      <c r="AL72" s="181"/>
      <c r="AM72" s="181"/>
      <c r="AN72" s="181"/>
      <c r="AO72" s="181"/>
      <c r="AP72" s="181"/>
      <c r="AQ72" s="181"/>
      <c r="AR72" s="181"/>
      <c r="AS72" s="181"/>
      <c r="AT72" s="181"/>
      <c r="AU72" s="181"/>
      <c r="AV72" s="181"/>
      <c r="AW72" s="181"/>
      <c r="AX72" s="185"/>
    </row>
    <row r="73" spans="3:50" ht="12.75">
      <c r="C73" s="339" t="s">
        <v>117</v>
      </c>
      <c r="D73" s="171" t="s">
        <v>134</v>
      </c>
      <c r="E73" s="181">
        <v>0</v>
      </c>
      <c r="F73" s="181">
        <v>0</v>
      </c>
      <c r="G73" s="181">
        <v>0</v>
      </c>
      <c r="H73" s="181">
        <v>0</v>
      </c>
      <c r="I73" s="181">
        <v>0</v>
      </c>
      <c r="J73" s="184">
        <v>0.21667953000000001</v>
      </c>
      <c r="K73" s="181">
        <v>0</v>
      </c>
      <c r="L73" s="181">
        <v>0</v>
      </c>
      <c r="M73" s="181">
        <v>0</v>
      </c>
      <c r="N73" s="181">
        <v>0</v>
      </c>
      <c r="O73" s="181">
        <v>0</v>
      </c>
      <c r="P73" s="181">
        <v>0</v>
      </c>
      <c r="Q73" s="181">
        <v>0</v>
      </c>
      <c r="R73" s="184">
        <v>0.19235032999999999</v>
      </c>
      <c r="S73" s="181">
        <v>0</v>
      </c>
      <c r="T73" s="181">
        <v>0</v>
      </c>
      <c r="U73" s="184">
        <v>6.8687419999999999E-2</v>
      </c>
      <c r="V73" s="181"/>
      <c r="W73" s="181">
        <v>0</v>
      </c>
      <c r="X73" s="184">
        <v>0</v>
      </c>
      <c r="Y73" s="184">
        <v>0</v>
      </c>
      <c r="Z73" s="184">
        <v>0</v>
      </c>
      <c r="AA73" s="181">
        <v>0</v>
      </c>
      <c r="AB73" s="184">
        <v>0</v>
      </c>
      <c r="AC73" s="181">
        <v>0</v>
      </c>
      <c r="AD73" s="181">
        <v>0</v>
      </c>
      <c r="AE73" s="181">
        <v>0</v>
      </c>
      <c r="AF73" s="181">
        <v>0</v>
      </c>
      <c r="AG73" s="181">
        <v>0</v>
      </c>
      <c r="AH73" s="181">
        <v>0</v>
      </c>
      <c r="AI73" s="181">
        <v>0</v>
      </c>
      <c r="AJ73" s="181">
        <v>0</v>
      </c>
      <c r="AK73" s="181">
        <v>0</v>
      </c>
      <c r="AL73" s="181">
        <v>0</v>
      </c>
      <c r="AM73" s="181">
        <v>0</v>
      </c>
      <c r="AN73" s="181">
        <v>0</v>
      </c>
      <c r="AO73" s="181">
        <v>0</v>
      </c>
      <c r="AP73" s="181">
        <v>0</v>
      </c>
      <c r="AQ73" s="181">
        <v>0</v>
      </c>
      <c r="AR73" s="181">
        <v>0</v>
      </c>
      <c r="AS73" s="181">
        <v>0</v>
      </c>
      <c r="AT73" s="181">
        <v>0</v>
      </c>
      <c r="AU73" s="181">
        <v>0</v>
      </c>
      <c r="AV73" s="181">
        <v>0</v>
      </c>
      <c r="AW73" s="181">
        <v>0</v>
      </c>
      <c r="AX73" s="185">
        <v>0</v>
      </c>
    </row>
    <row r="74" spans="3:50" ht="12.75">
      <c r="C74" s="339" t="s">
        <v>117</v>
      </c>
      <c r="D74" s="171" t="s">
        <v>135</v>
      </c>
      <c r="E74" s="181">
        <v>0</v>
      </c>
      <c r="F74" s="181">
        <v>0</v>
      </c>
      <c r="G74" s="181">
        <v>0</v>
      </c>
      <c r="H74" s="181">
        <v>0</v>
      </c>
      <c r="I74" s="181">
        <v>0</v>
      </c>
      <c r="J74" s="184">
        <v>0.20074944</v>
      </c>
      <c r="K74" s="181">
        <v>0</v>
      </c>
      <c r="L74" s="181">
        <v>0</v>
      </c>
      <c r="M74" s="181">
        <v>0</v>
      </c>
      <c r="N74" s="181">
        <v>0</v>
      </c>
      <c r="O74" s="181">
        <v>0</v>
      </c>
      <c r="P74" s="181">
        <v>0</v>
      </c>
      <c r="Q74" s="181">
        <v>0</v>
      </c>
      <c r="R74" s="184">
        <v>0.17820891000000003</v>
      </c>
      <c r="S74" s="181">
        <v>0</v>
      </c>
      <c r="T74" s="181">
        <v>0</v>
      </c>
      <c r="U74" s="184">
        <v>6.3637579999999999E-2</v>
      </c>
      <c r="V74" s="181"/>
      <c r="W74" s="181">
        <v>0</v>
      </c>
      <c r="X74" s="184">
        <v>0</v>
      </c>
      <c r="Y74" s="184">
        <v>0</v>
      </c>
      <c r="Z74" s="184">
        <v>0</v>
      </c>
      <c r="AA74" s="181">
        <v>0</v>
      </c>
      <c r="AB74" s="184">
        <v>0</v>
      </c>
      <c r="AC74" s="181">
        <v>0</v>
      </c>
      <c r="AD74" s="181">
        <v>0</v>
      </c>
      <c r="AE74" s="181">
        <v>0</v>
      </c>
      <c r="AF74" s="181">
        <v>0</v>
      </c>
      <c r="AG74" s="181">
        <v>0</v>
      </c>
      <c r="AH74" s="181">
        <v>0</v>
      </c>
      <c r="AI74" s="181">
        <v>0</v>
      </c>
      <c r="AJ74" s="181">
        <v>0</v>
      </c>
      <c r="AK74" s="181">
        <v>0</v>
      </c>
      <c r="AL74" s="181">
        <v>0</v>
      </c>
      <c r="AM74" s="181">
        <v>0</v>
      </c>
      <c r="AN74" s="181">
        <v>0</v>
      </c>
      <c r="AO74" s="181">
        <v>0</v>
      </c>
      <c r="AP74" s="181">
        <v>0</v>
      </c>
      <c r="AQ74" s="181">
        <v>0</v>
      </c>
      <c r="AR74" s="181">
        <v>0</v>
      </c>
      <c r="AS74" s="181">
        <v>0</v>
      </c>
      <c r="AT74" s="181">
        <v>0</v>
      </c>
      <c r="AU74" s="181">
        <v>0</v>
      </c>
      <c r="AV74" s="181">
        <v>0</v>
      </c>
      <c r="AW74" s="181">
        <v>0</v>
      </c>
      <c r="AX74" s="185">
        <v>0</v>
      </c>
    </row>
    <row r="75" spans="3:50" ht="12.75">
      <c r="C75" s="339"/>
      <c r="D75" s="169" t="s">
        <v>139</v>
      </c>
      <c r="E75" s="181"/>
      <c r="F75" s="181"/>
      <c r="G75" s="181"/>
      <c r="H75" s="181"/>
      <c r="I75" s="181"/>
      <c r="J75" s="173"/>
      <c r="K75" s="181"/>
      <c r="L75" s="181"/>
      <c r="M75" s="181"/>
      <c r="N75" s="181"/>
      <c r="O75" s="181"/>
      <c r="P75" s="181"/>
      <c r="Q75" s="173"/>
      <c r="R75" s="173"/>
      <c r="S75" s="181"/>
      <c r="T75" s="181"/>
      <c r="U75" s="181"/>
      <c r="V75" s="181"/>
      <c r="W75" s="173"/>
      <c r="X75" s="173"/>
      <c r="Y75" s="173"/>
      <c r="Z75" s="173"/>
      <c r="AA75" s="181"/>
      <c r="AB75" s="173"/>
      <c r="AC75" s="181"/>
      <c r="AD75" s="181"/>
      <c r="AE75" s="181"/>
      <c r="AF75" s="181"/>
      <c r="AG75" s="181"/>
      <c r="AH75" s="181"/>
      <c r="AI75" s="181"/>
      <c r="AJ75" s="181"/>
      <c r="AK75" s="181"/>
      <c r="AL75" s="181"/>
      <c r="AM75" s="181"/>
      <c r="AN75" s="181"/>
      <c r="AO75" s="181"/>
      <c r="AP75" s="181"/>
      <c r="AQ75" s="181"/>
      <c r="AR75" s="181"/>
      <c r="AS75" s="181"/>
      <c r="AT75" s="181"/>
      <c r="AU75" s="181"/>
      <c r="AV75" s="181"/>
      <c r="AW75" s="181"/>
      <c r="AX75" s="185"/>
    </row>
    <row r="76" spans="3:50" ht="12.75">
      <c r="C76" s="339" t="s">
        <v>119</v>
      </c>
      <c r="D76" s="171" t="s">
        <v>134</v>
      </c>
      <c r="E76" s="181">
        <v>0</v>
      </c>
      <c r="F76" s="181">
        <v>0</v>
      </c>
      <c r="G76" s="181">
        <v>0</v>
      </c>
      <c r="H76" s="181">
        <v>0</v>
      </c>
      <c r="I76" s="181">
        <v>0</v>
      </c>
      <c r="J76" s="184">
        <v>0.21667953000000001</v>
      </c>
      <c r="K76" s="181">
        <v>0</v>
      </c>
      <c r="L76" s="181">
        <v>0</v>
      </c>
      <c r="M76" s="181">
        <v>0</v>
      </c>
      <c r="N76" s="181">
        <v>0</v>
      </c>
      <c r="O76" s="181">
        <v>0</v>
      </c>
      <c r="P76" s="181">
        <v>0</v>
      </c>
      <c r="Q76" s="181">
        <v>0</v>
      </c>
      <c r="R76" s="181">
        <v>0</v>
      </c>
      <c r="S76" s="181">
        <v>0</v>
      </c>
      <c r="T76" s="184">
        <v>9.5989039999999998E-2</v>
      </c>
      <c r="U76" s="181">
        <v>0</v>
      </c>
      <c r="V76" s="181"/>
      <c r="W76" s="184">
        <v>9.8805879999999999E-2</v>
      </c>
      <c r="X76" s="184">
        <v>0</v>
      </c>
      <c r="Y76" s="184">
        <v>0</v>
      </c>
      <c r="Z76" s="184">
        <v>0</v>
      </c>
      <c r="AA76" s="181">
        <v>0</v>
      </c>
      <c r="AB76" s="184">
        <v>0</v>
      </c>
      <c r="AC76" s="181">
        <v>0</v>
      </c>
      <c r="AD76" s="181">
        <v>0</v>
      </c>
      <c r="AE76" s="181">
        <v>0</v>
      </c>
      <c r="AF76" s="181">
        <v>0</v>
      </c>
      <c r="AG76" s="181">
        <v>0</v>
      </c>
      <c r="AH76" s="181">
        <v>0</v>
      </c>
      <c r="AI76" s="181">
        <v>0</v>
      </c>
      <c r="AJ76" s="181">
        <v>0</v>
      </c>
      <c r="AK76" s="181">
        <v>0</v>
      </c>
      <c r="AL76" s="181">
        <v>0</v>
      </c>
      <c r="AM76" s="181">
        <v>0</v>
      </c>
      <c r="AN76" s="181">
        <v>0</v>
      </c>
      <c r="AO76" s="181">
        <v>0</v>
      </c>
      <c r="AP76" s="181">
        <v>0</v>
      </c>
      <c r="AQ76" s="181">
        <v>0</v>
      </c>
      <c r="AR76" s="181">
        <v>0</v>
      </c>
      <c r="AS76" s="181">
        <v>0</v>
      </c>
      <c r="AT76" s="181">
        <v>0</v>
      </c>
      <c r="AU76" s="181">
        <v>0</v>
      </c>
      <c r="AV76" s="181">
        <v>0</v>
      </c>
      <c r="AW76" s="181">
        <v>0</v>
      </c>
      <c r="AX76" s="185">
        <v>0</v>
      </c>
    </row>
    <row r="77" spans="3:50" ht="12.75">
      <c r="C77" s="339" t="s">
        <v>119</v>
      </c>
      <c r="D77" s="171" t="s">
        <v>135</v>
      </c>
      <c r="E77" s="181">
        <v>0</v>
      </c>
      <c r="F77" s="181">
        <v>0</v>
      </c>
      <c r="G77" s="181">
        <v>0</v>
      </c>
      <c r="H77" s="181">
        <v>0</v>
      </c>
      <c r="I77" s="181">
        <v>0</v>
      </c>
      <c r="J77" s="184">
        <v>0.20074945999999999</v>
      </c>
      <c r="K77" s="181">
        <v>0</v>
      </c>
      <c r="L77" s="181">
        <v>0</v>
      </c>
      <c r="M77" s="181">
        <v>0</v>
      </c>
      <c r="N77" s="181">
        <v>0</v>
      </c>
      <c r="O77" s="181">
        <v>0</v>
      </c>
      <c r="P77" s="181">
        <v>0</v>
      </c>
      <c r="Q77" s="181">
        <v>0</v>
      </c>
      <c r="R77" s="181">
        <v>0</v>
      </c>
      <c r="S77" s="181">
        <v>0</v>
      </c>
      <c r="T77" s="184">
        <v>8.8932010000000006E-2</v>
      </c>
      <c r="U77" s="181">
        <v>0</v>
      </c>
      <c r="V77" s="181"/>
      <c r="W77" s="184">
        <v>9.154176E-2</v>
      </c>
      <c r="X77" s="184">
        <v>0</v>
      </c>
      <c r="Y77" s="184">
        <v>0</v>
      </c>
      <c r="Z77" s="184">
        <v>0</v>
      </c>
      <c r="AA77" s="181">
        <v>0</v>
      </c>
      <c r="AB77" s="184">
        <v>0</v>
      </c>
      <c r="AC77" s="181">
        <v>0</v>
      </c>
      <c r="AD77" s="181">
        <v>0</v>
      </c>
      <c r="AE77" s="181">
        <v>0</v>
      </c>
      <c r="AF77" s="181">
        <v>0</v>
      </c>
      <c r="AG77" s="181">
        <v>0</v>
      </c>
      <c r="AH77" s="181">
        <v>0</v>
      </c>
      <c r="AI77" s="181">
        <v>0</v>
      </c>
      <c r="AJ77" s="181">
        <v>0</v>
      </c>
      <c r="AK77" s="181">
        <v>0</v>
      </c>
      <c r="AL77" s="181">
        <v>0</v>
      </c>
      <c r="AM77" s="181">
        <v>0</v>
      </c>
      <c r="AN77" s="181">
        <v>0</v>
      </c>
      <c r="AO77" s="181">
        <v>0</v>
      </c>
      <c r="AP77" s="181">
        <v>0</v>
      </c>
      <c r="AQ77" s="181">
        <v>0</v>
      </c>
      <c r="AR77" s="181">
        <v>0</v>
      </c>
      <c r="AS77" s="181">
        <v>0</v>
      </c>
      <c r="AT77" s="181">
        <v>0</v>
      </c>
      <c r="AU77" s="181">
        <v>0</v>
      </c>
      <c r="AV77" s="181">
        <v>0</v>
      </c>
      <c r="AW77" s="181">
        <v>0</v>
      </c>
      <c r="AX77" s="185">
        <v>0</v>
      </c>
    </row>
    <row r="78" spans="3:50" ht="12.75">
      <c r="C78" s="339"/>
      <c r="D78" s="169" t="s">
        <v>122</v>
      </c>
      <c r="E78" s="181"/>
      <c r="F78" s="181"/>
      <c r="G78" s="181"/>
      <c r="H78" s="181"/>
      <c r="I78" s="181"/>
      <c r="J78" s="173"/>
      <c r="K78" s="181"/>
      <c r="L78" s="181"/>
      <c r="M78" s="181"/>
      <c r="N78" s="181"/>
      <c r="O78" s="181"/>
      <c r="P78" s="181"/>
      <c r="Q78" s="173"/>
      <c r="R78" s="173"/>
      <c r="S78" s="181"/>
      <c r="T78" s="173"/>
      <c r="U78" s="181"/>
      <c r="V78" s="173"/>
      <c r="W78" s="173"/>
      <c r="X78" s="173"/>
      <c r="Y78" s="173"/>
      <c r="Z78" s="173"/>
      <c r="AA78" s="181"/>
      <c r="AB78" s="173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181"/>
      <c r="AW78" s="181"/>
      <c r="AX78" s="185"/>
    </row>
    <row r="79" spans="3:50" ht="12.75">
      <c r="C79" s="339" t="s">
        <v>121</v>
      </c>
      <c r="D79" s="171" t="s">
        <v>134</v>
      </c>
      <c r="E79" s="181">
        <v>0</v>
      </c>
      <c r="F79" s="181">
        <v>0</v>
      </c>
      <c r="G79" s="181">
        <v>0</v>
      </c>
      <c r="H79" s="181">
        <v>0</v>
      </c>
      <c r="I79" s="181">
        <v>0</v>
      </c>
      <c r="J79" s="184">
        <v>0.43335900999999999</v>
      </c>
      <c r="K79" s="181">
        <v>0</v>
      </c>
      <c r="L79" s="181">
        <v>0</v>
      </c>
      <c r="M79" s="181">
        <v>0</v>
      </c>
      <c r="N79" s="181">
        <v>0</v>
      </c>
      <c r="O79" s="181">
        <v>0</v>
      </c>
      <c r="P79" s="181">
        <v>0</v>
      </c>
      <c r="Q79" s="181">
        <v>0</v>
      </c>
      <c r="R79" s="181">
        <v>0</v>
      </c>
      <c r="S79" s="181">
        <v>0</v>
      </c>
      <c r="T79" s="181">
        <v>0</v>
      </c>
      <c r="U79" s="181">
        <v>0</v>
      </c>
      <c r="V79" s="184"/>
      <c r="W79" s="181">
        <v>0</v>
      </c>
      <c r="X79" s="184">
        <v>0</v>
      </c>
      <c r="Y79" s="184">
        <v>0</v>
      </c>
      <c r="Z79" s="184">
        <v>0</v>
      </c>
      <c r="AA79" s="181">
        <v>0</v>
      </c>
      <c r="AB79" s="184">
        <v>0</v>
      </c>
      <c r="AC79" s="181">
        <v>0</v>
      </c>
      <c r="AD79" s="181">
        <v>0</v>
      </c>
      <c r="AE79" s="181">
        <v>0</v>
      </c>
      <c r="AF79" s="181">
        <v>0</v>
      </c>
      <c r="AG79" s="181">
        <v>0</v>
      </c>
      <c r="AH79" s="181">
        <v>0</v>
      </c>
      <c r="AI79" s="181">
        <v>0</v>
      </c>
      <c r="AJ79" s="181">
        <v>0</v>
      </c>
      <c r="AK79" s="181">
        <v>0</v>
      </c>
      <c r="AL79" s="181">
        <v>0</v>
      </c>
      <c r="AM79" s="181">
        <v>0</v>
      </c>
      <c r="AN79" s="181">
        <v>0</v>
      </c>
      <c r="AO79" s="181">
        <v>0</v>
      </c>
      <c r="AP79" s="181">
        <v>0</v>
      </c>
      <c r="AQ79" s="181">
        <v>0</v>
      </c>
      <c r="AR79" s="181">
        <v>0</v>
      </c>
      <c r="AS79" s="181">
        <v>0</v>
      </c>
      <c r="AT79" s="181">
        <v>0</v>
      </c>
      <c r="AU79" s="181">
        <v>0</v>
      </c>
      <c r="AV79" s="181">
        <v>0</v>
      </c>
      <c r="AW79" s="181">
        <v>0</v>
      </c>
      <c r="AX79" s="185">
        <v>0</v>
      </c>
    </row>
    <row r="80" spans="3:50" ht="12.75">
      <c r="C80" s="339" t="s">
        <v>121</v>
      </c>
      <c r="D80" s="171" t="s">
        <v>135</v>
      </c>
      <c r="E80" s="181">
        <v>0</v>
      </c>
      <c r="F80" s="181">
        <v>0</v>
      </c>
      <c r="G80" s="181">
        <v>0</v>
      </c>
      <c r="H80" s="181">
        <v>0</v>
      </c>
      <c r="I80" s="181">
        <v>0</v>
      </c>
      <c r="J80" s="184">
        <v>0.40149892999999998</v>
      </c>
      <c r="K80" s="181">
        <v>0</v>
      </c>
      <c r="L80" s="181">
        <v>0</v>
      </c>
      <c r="M80" s="181">
        <v>0</v>
      </c>
      <c r="N80" s="181">
        <v>0</v>
      </c>
      <c r="O80" s="181">
        <v>0</v>
      </c>
      <c r="P80" s="181">
        <v>0</v>
      </c>
      <c r="Q80" s="181">
        <v>0</v>
      </c>
      <c r="R80" s="181">
        <v>0</v>
      </c>
      <c r="S80" s="181">
        <v>0</v>
      </c>
      <c r="T80" s="181">
        <v>0</v>
      </c>
      <c r="U80" s="181">
        <v>0</v>
      </c>
      <c r="V80" s="184"/>
      <c r="W80" s="181">
        <v>0</v>
      </c>
      <c r="X80" s="184">
        <v>0</v>
      </c>
      <c r="Y80" s="184">
        <v>0</v>
      </c>
      <c r="Z80" s="184">
        <v>0</v>
      </c>
      <c r="AA80" s="181">
        <v>0</v>
      </c>
      <c r="AB80" s="184">
        <v>0</v>
      </c>
      <c r="AC80" s="181">
        <v>0</v>
      </c>
      <c r="AD80" s="181">
        <v>0</v>
      </c>
      <c r="AE80" s="181">
        <v>0</v>
      </c>
      <c r="AF80" s="181">
        <v>0</v>
      </c>
      <c r="AG80" s="181">
        <v>0</v>
      </c>
      <c r="AH80" s="181">
        <v>0</v>
      </c>
      <c r="AI80" s="181">
        <v>0</v>
      </c>
      <c r="AJ80" s="181">
        <v>0</v>
      </c>
      <c r="AK80" s="181">
        <v>0</v>
      </c>
      <c r="AL80" s="181">
        <v>0</v>
      </c>
      <c r="AM80" s="181">
        <v>0</v>
      </c>
      <c r="AN80" s="181">
        <v>0</v>
      </c>
      <c r="AO80" s="181">
        <v>0</v>
      </c>
      <c r="AP80" s="181">
        <v>0</v>
      </c>
      <c r="AQ80" s="181">
        <v>0</v>
      </c>
      <c r="AR80" s="181">
        <v>0</v>
      </c>
      <c r="AS80" s="181">
        <v>0</v>
      </c>
      <c r="AT80" s="181">
        <v>0</v>
      </c>
      <c r="AU80" s="181">
        <v>0</v>
      </c>
      <c r="AV80" s="181">
        <v>0</v>
      </c>
      <c r="AW80" s="181">
        <v>0</v>
      </c>
      <c r="AX80" s="185">
        <v>0</v>
      </c>
    </row>
    <row r="81" spans="1:54" s="21" customFormat="1" ht="12.75">
      <c r="A81" s="20"/>
      <c r="B81" s="20"/>
      <c r="C81" s="168"/>
      <c r="D81" s="169"/>
      <c r="E81" s="186">
        <v>0</v>
      </c>
      <c r="F81" s="186">
        <v>2.4</v>
      </c>
      <c r="G81" s="186">
        <v>0</v>
      </c>
      <c r="H81" s="186">
        <v>1.5</v>
      </c>
      <c r="I81" s="186">
        <v>2</v>
      </c>
      <c r="J81" s="186">
        <v>3.33943214</v>
      </c>
      <c r="K81" s="186">
        <v>0.55657204000000005</v>
      </c>
      <c r="L81" s="186">
        <v>0.83485803999999986</v>
      </c>
      <c r="M81" s="186">
        <v>0</v>
      </c>
      <c r="N81" s="186">
        <v>99.097349129999998</v>
      </c>
      <c r="O81" s="186">
        <v>0</v>
      </c>
      <c r="P81" s="186">
        <v>0</v>
      </c>
      <c r="Q81" s="186">
        <v>2.4428061599999999</v>
      </c>
      <c r="R81" s="186">
        <v>2.6556836699999997</v>
      </c>
      <c r="S81" s="186">
        <v>0</v>
      </c>
      <c r="T81" s="186">
        <v>0.79319894000000002</v>
      </c>
      <c r="U81" s="186">
        <v>0.81331075000000008</v>
      </c>
      <c r="V81" s="186">
        <v>1.5240333600000002</v>
      </c>
      <c r="W81" s="186">
        <v>0.79325428999999992</v>
      </c>
      <c r="X81" s="186">
        <v>0</v>
      </c>
      <c r="Y81" s="186">
        <v>0</v>
      </c>
      <c r="Z81" s="186">
        <v>0</v>
      </c>
      <c r="AA81" s="186">
        <v>0</v>
      </c>
      <c r="AB81" s="186">
        <v>0</v>
      </c>
      <c r="AC81" s="186">
        <v>6.8824973499999995</v>
      </c>
      <c r="AD81" s="186">
        <v>0</v>
      </c>
      <c r="AE81" s="186">
        <v>0</v>
      </c>
      <c r="AF81" s="186">
        <v>0</v>
      </c>
      <c r="AG81" s="186">
        <v>2.3453910599999999</v>
      </c>
      <c r="AH81" s="186">
        <v>3.17206579</v>
      </c>
      <c r="AI81" s="186">
        <v>3.7923580399999999</v>
      </c>
      <c r="AJ81" s="186">
        <v>0</v>
      </c>
      <c r="AK81" s="186">
        <v>0</v>
      </c>
      <c r="AL81" s="186">
        <v>0</v>
      </c>
      <c r="AM81" s="186">
        <v>0</v>
      </c>
      <c r="AN81" s="186">
        <v>0</v>
      </c>
      <c r="AO81" s="186">
        <v>0</v>
      </c>
      <c r="AP81" s="186">
        <v>0</v>
      </c>
      <c r="AQ81" s="186">
        <v>2</v>
      </c>
      <c r="AR81" s="186">
        <v>0</v>
      </c>
      <c r="AS81" s="186">
        <v>0</v>
      </c>
      <c r="AT81" s="186">
        <v>0</v>
      </c>
      <c r="AU81" s="186">
        <v>0</v>
      </c>
      <c r="AV81" s="186">
        <v>0</v>
      </c>
      <c r="AW81" s="186">
        <v>0</v>
      </c>
      <c r="AX81" s="187">
        <v>0</v>
      </c>
    </row>
    <row r="82" spans="1:54" ht="12.75">
      <c r="C82" s="179"/>
      <c r="D82" s="188" t="s">
        <v>140</v>
      </c>
      <c r="E82" s="189"/>
      <c r="F82" s="177"/>
      <c r="G82" s="177"/>
      <c r="H82" s="177"/>
      <c r="I82" s="177"/>
      <c r="J82" s="177"/>
      <c r="K82" s="177"/>
      <c r="L82" s="177"/>
      <c r="M82" s="171"/>
      <c r="N82" s="171"/>
      <c r="O82" s="171"/>
      <c r="P82" s="171"/>
      <c r="Q82" s="171"/>
      <c r="R82" s="171"/>
      <c r="S82" s="171"/>
      <c r="T82" s="171"/>
      <c r="U82" s="171"/>
      <c r="V82" s="171"/>
      <c r="W82" s="171"/>
      <c r="X82" s="171"/>
      <c r="Y82" s="171"/>
      <c r="Z82" s="171"/>
      <c r="AA82" s="171"/>
      <c r="AB82" s="171"/>
      <c r="AC82" s="171"/>
      <c r="AD82" s="171"/>
      <c r="AE82" s="171"/>
      <c r="AF82" s="171"/>
      <c r="AG82" s="171"/>
      <c r="AH82" s="171"/>
      <c r="AI82" s="171"/>
      <c r="AJ82" s="171"/>
      <c r="AK82" s="171"/>
      <c r="AL82" s="171"/>
      <c r="AM82" s="171"/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8"/>
    </row>
    <row r="83" spans="1:54" ht="12.75" customHeight="1">
      <c r="C83" s="179">
        <v>5.0999999999999996</v>
      </c>
      <c r="D83" s="171" t="s">
        <v>141</v>
      </c>
      <c r="E83" s="190">
        <f>+(SUMIF('TB Mar18'!$E:$E,E$4&amp;$C83,'TB Mar18'!$AB:$AB)*-1)-HLOOKUP(E$4,'Sep 2017 HY'!$3:$82,80,0)</f>
        <v>0.23398554500000013</v>
      </c>
      <c r="F83" s="190">
        <f>+(SUMIF('TB Mar18'!$E:$E,F$4&amp;$C83,'TB Mar18'!$AB:$AB)*-1)-HLOOKUP(F$4,'Sep 2017 HY'!$3:$82,80,0)</f>
        <v>0.70399954999999992</v>
      </c>
      <c r="G83" s="190">
        <f>+(SUMIF('TB Mar18'!$E:$E,G$4&amp;$C83,'TB Mar18'!$AB:$AB)*-1)-HLOOKUP(G$4,'Sep 2017 HY'!$3:$82,80,0)</f>
        <v>1.2535281229999997</v>
      </c>
      <c r="H83" s="190">
        <f>+(SUMIF('TB Mar18'!$E:$E,H$4&amp;$C83,'TB Mar18'!$AB:$AB)*-1)-HLOOKUP(H$4,'Sep 2017 HY'!$3:$82,80,0)</f>
        <v>0.31753290000000001</v>
      </c>
      <c r="I83" s="190">
        <f>+(SUMIF('TB Mar18'!$E:$E,I$4&amp;$C83,'TB Mar18'!$AB:$AB)*-1)-HLOOKUP(I$4,'Sep 2017 HY'!$3:$82,80,0)</f>
        <v>0.17169270000000003</v>
      </c>
      <c r="J83" s="190">
        <f>+(SUMIF('TB Mar18'!$E:$E,J$4&amp;$C83,'TB Mar18'!$AB:$AB)*-1)-HLOOKUP(J$4,'Sep 2017 HY'!$3:$82,80,0)</f>
        <v>6.0430500000000026E-2</v>
      </c>
      <c r="K83" s="190">
        <f>+(SUMIF('TB Mar18'!$E:$E,K$4&amp;$C83,'TB Mar18'!$AB:$AB)*-1)-HLOOKUP(K$4,'Sep 2017 HY'!$3:$82,80,0)</f>
        <v>0</v>
      </c>
      <c r="L83" s="190">
        <f>+(SUMIF('TB Mar18'!$E:$E,L$4&amp;$C83,'TB Mar18'!$AB:$AB)*-1)-HLOOKUP(L$4,'Sep 2017 HY'!$3:$82,80,0)</f>
        <v>0</v>
      </c>
      <c r="M83" s="190">
        <f>+(SUMIF('TB Mar18'!$E:$E,M$4&amp;$C83,'TB Mar18'!$AB:$AB)*-1)-HLOOKUP(M$4,'Sep 2017 HY'!$3:$82,80,0)</f>
        <v>5.1347865999999992E-2</v>
      </c>
      <c r="N83" s="190">
        <f>+(SUMIF('TB Mar18'!$E:$E,N$4&amp;$C83,'TB Mar18'!$AB:$AB)*-1)-HLOOKUP(N$4,'Sep 2017 HY'!$3:$82,80,0)</f>
        <v>0</v>
      </c>
      <c r="O83" s="190">
        <f>+(SUMIF('TB Mar18'!$E:$E,O$4&amp;$C83,'TB Mar18'!$AB:$AB)*-1)-HLOOKUP(O$4,'Sep 2017 HY'!$3:$82,80,0)</f>
        <v>4.7739531999999973E-2</v>
      </c>
      <c r="P83" s="190">
        <f>+(SUMIF('TB Mar18'!$E:$E,P$4&amp;$C83,'TB Mar18'!$AB:$AB)*-1)-HLOOKUP(P$4,'Sep 2017 HY'!$3:$82,80,0)</f>
        <v>0.10837244199999999</v>
      </c>
      <c r="Q83" s="190">
        <f>+(SUMIF('TB Mar18'!$E:$E,Q$4&amp;$C83,'TB Mar18'!$AB:$AB)*-1)-HLOOKUP(Q$4,'Sep 2017 HY'!$3:$82,80,0)</f>
        <v>0</v>
      </c>
      <c r="R83" s="190">
        <f>+(SUMIF('TB Mar18'!$E:$E,R$4&amp;$C83,'TB Mar18'!$AB:$AB)*-1)-HLOOKUP(R$4,'Sep 2017 HY'!$3:$82,80,0)</f>
        <v>0</v>
      </c>
      <c r="S83" s="190">
        <f>+(SUMIF('TB Mar18'!$E:$E,S$4&amp;$C83,'TB Mar18'!$AB:$AB)*-1)-HLOOKUP(S$4,'Sep 2017 HY'!$3:$82,80,0)</f>
        <v>0.22149227999999999</v>
      </c>
      <c r="T83" s="190">
        <f>+(SUMIF('TB Mar18'!$E:$E,T$4&amp;$C83,'TB Mar18'!$AB:$AB)*-1)-HLOOKUP(T$4,'Sep 2017 HY'!$3:$82,80,0)</f>
        <v>0</v>
      </c>
      <c r="U83" s="190">
        <f>+(SUMIF('TB Mar18'!$E:$E,U$4&amp;$C83,'TB Mar18'!$AB:$AB)*-1)-HLOOKUP(U$4,'Sep 2017 HY'!$3:$82,80,0)</f>
        <v>0</v>
      </c>
      <c r="V83" s="190">
        <f>+(SUMIF('TB Mar18'!$E:$E,V$4&amp;$C83,'TB Mar18'!$AB:$AB)*-1)-HLOOKUP(V$4,'Sep 2017 HY'!$3:$82,80,0)</f>
        <v>0</v>
      </c>
      <c r="W83" s="190">
        <f>+(SUMIF('TB Mar18'!$E:$E,W$4&amp;$C83,'TB Mar18'!$AB:$AB)*-1)-HLOOKUP(W$4,'Sep 2017 HY'!$3:$82,80,0)</f>
        <v>0</v>
      </c>
      <c r="X83" s="190">
        <f>+(SUMIF('TB Mar18'!$E:$E,X$4&amp;$C83,'TB Mar18'!$AB:$AB)*-1)-HLOOKUP(X$4,'Sep 2017 HY'!$3:$82,80,0)</f>
        <v>0</v>
      </c>
      <c r="Y83" s="190">
        <f>+(SUMIF('TB Mar18'!$E:$E,Y$4&amp;$C83,'TB Mar18'!$AB:$AB)*-1)-HLOOKUP(Y$4,'Sep 2017 HY'!$3:$82,80,0)</f>
        <v>0</v>
      </c>
      <c r="Z83" s="190">
        <f>+(SUMIF('TB Mar18'!$E:$E,Z$4&amp;$C83,'TB Mar18'!$AB:$AB)*-1)-HLOOKUP(Z$4,'Sep 2017 HY'!$3:$82,80,0)</f>
        <v>0</v>
      </c>
      <c r="AA83" s="190">
        <f>+(SUMIF('TB Mar18'!$E:$E,AA$4&amp;$C83,'TB Mar18'!$AB:$AB)*-1)-HLOOKUP(AA$4,'Sep 2017 HY'!$3:$82,80,0)</f>
        <v>6.8527460000000016E-3</v>
      </c>
      <c r="AB83" s="190">
        <f>+(SUMIF('TB Mar18'!$E:$E,AB$4&amp;$C83,'TB Mar18'!$AB:$AB)*-1)-HLOOKUP(AB$4,'Sep 2017 HY'!$3:$82,80,0)</f>
        <v>0</v>
      </c>
      <c r="AC83" s="190">
        <f>+(SUMIF('TB Mar18'!$E:$E,AC$4&amp;$C83,'TB Mar18'!$AB:$AB)*-1)-HLOOKUP(AC$4,'Sep 2017 HY'!$3:$82,80,0)</f>
        <v>-9.437779999999998E-3</v>
      </c>
      <c r="AD83" s="190">
        <f>+(SUMIF('TB Mar18'!$E:$E,AD$4&amp;$C83,'TB Mar18'!$AB:$AB)*-1)-HLOOKUP(AD$4,'Sep 2017 HY'!$3:$82,80,0)</f>
        <v>0</v>
      </c>
      <c r="AE83" s="190">
        <f>+(SUMIF('TB Mar18'!$E:$E,AE$4&amp;$C83,'TB Mar18'!$AB:$AB)*-1)-HLOOKUP(AE$4,'Sep 2017 HY'!$3:$82,80,0)</f>
        <v>0</v>
      </c>
      <c r="AF83" s="190">
        <f>+(SUMIF('TB Mar18'!$E:$E,AF$4&amp;$C83,'TB Mar18'!$AB:$AB)*-1)-HLOOKUP(AF$4,'Sep 2017 HY'!$3:$82,80,0)</f>
        <v>0</v>
      </c>
      <c r="AG83" s="190">
        <f>+(SUMIF('TB Mar18'!$E:$E,AG$4&amp;$C83,'TB Mar18'!$AB:$AB)*-1)-HLOOKUP(AG$4,'Sep 2017 HY'!$3:$82,80,0)</f>
        <v>0</v>
      </c>
      <c r="AH83" s="190">
        <f>+(SUMIF('TB Mar18'!$E:$E,AH$4&amp;$C83,'TB Mar18'!$AB:$AB)*-1)-HLOOKUP(AH$4,'Sep 2017 HY'!$3:$82,80,0)</f>
        <v>-4.4715015000000004E-2</v>
      </c>
      <c r="AI83" s="190">
        <f>+(SUMIF('TB Mar18'!$E:$E,AI$4&amp;$C83,'TB Mar18'!$AB:$AB)*-1)-HLOOKUP(AI$4,'Sep 2017 HY'!$3:$82,80,0)</f>
        <v>-0.40889361499999999</v>
      </c>
      <c r="AJ83" s="190">
        <f>+(SUMIF('TB Mar18'!$E:$E,AJ$4&amp;$C83,'TB Mar18'!$AB:$AB)*-1)-HLOOKUP(AJ$4,'Sep 2017 HY'!$3:$82,80,0)</f>
        <v>1.31101E-2</v>
      </c>
      <c r="AK83" s="190">
        <f>+(SUMIF('TB Mar18'!$E:$E,AK$4&amp;$C83,'TB Mar18'!$AB:$AB)*-1)-HLOOKUP(AK$4,'Sep 2017 HY'!$3:$82,80,0)</f>
        <v>0</v>
      </c>
      <c r="AL83" s="190">
        <f>+(SUMIF('TB Mar18'!$E:$E,AL$4&amp;$C83,'TB Mar18'!$AB:$AB)*-1)-HLOOKUP(AL$4,'Sep 2017 HY'!$3:$82,80,0)</f>
        <v>0</v>
      </c>
      <c r="AM83" s="190">
        <f>+(SUMIF('TB Mar18'!$E:$E,AM$4&amp;$C83,'TB Mar18'!$AB:$AB)*-1)-HLOOKUP(AM$4,'Sep 2017 HY'!$3:$82,80,0)</f>
        <v>6.8395050000000013E-2</v>
      </c>
      <c r="AN83" s="190">
        <f>+(SUMIF('TB Mar18'!$E:$E,AN$4&amp;$C83,'TB Mar18'!$AB:$AB)*-1)-HLOOKUP(AN$4,'Sep 2017 HY'!$3:$82,80,0)</f>
        <v>0</v>
      </c>
      <c r="AO83" s="190">
        <f>+(SUMIF('TB Mar18'!$E:$E,AO$4&amp;$C83,'TB Mar18'!$AB:$AB)*-1)-HLOOKUP(AO$4,'Sep 2017 HY'!$3:$82,80,0)</f>
        <v>0</v>
      </c>
      <c r="AP83" s="190">
        <f>+(SUMIF('TB Mar18'!$E:$E,AP$4&amp;$C83,'TB Mar18'!$AB:$AB)*-1)-HLOOKUP(AP$4,'Sep 2017 HY'!$3:$82,80,0)</f>
        <v>8.7332299999999974E-2</v>
      </c>
      <c r="AQ83" s="190">
        <f>+(SUMIF('TB Mar18'!$E:$E,AQ$4&amp;$C83,'TB Mar18'!$AB:$AB)*-1)-HLOOKUP(AQ$4,'Sep 2017 HY'!$3:$82,80,0)</f>
        <v>0.41805970500000011</v>
      </c>
      <c r="AR83" s="190">
        <f>+(SUMIF('TB Mar18'!$E:$E,AR$4&amp;$C83,'TB Mar18'!$AB:$AB)*-1)-HLOOKUP(AR$4,'Sep 2017 HY'!$3:$82,80,0)</f>
        <v>0.21638087</v>
      </c>
      <c r="AS83" s="190">
        <f>+(SUMIF('TB Mar18'!$E:$E,AS$4&amp;$C83,'TB Mar18'!$AB:$AB)*-1)-HLOOKUP(AS$4,'Sep 2017 HY'!$3:$82,80,0)</f>
        <v>7.2670210000000041E-2</v>
      </c>
      <c r="AT83" s="190">
        <f>+(SUMIF('TB Mar18'!$E:$E,AT$4&amp;$C83,'TB Mar18'!$AB:$AB)*-1)-HLOOKUP(AT$4,'Sep 2017 HY'!$3:$82,80,0)</f>
        <v>4.6923027000000006E-2</v>
      </c>
      <c r="AU83" s="190">
        <f>+(SUMIF('TB Mar18'!$E:$E,AU$4&amp;$C83,'TB Mar18'!$AB:$AB)*-1)-HLOOKUP(AU$4,'Sep 2017 HY'!$3:$82,80,0)</f>
        <v>3.9146528000000014E-2</v>
      </c>
      <c r="AV83" s="190">
        <f>+(SUMIF('TB Mar18'!$E:$E,AV$4&amp;$C83,'TB Mar18'!$AB:$AB)*-1)-HLOOKUP(AV$4,'Sep 2017 HY'!$3:$82,80,0)</f>
        <v>2.2826114189999998</v>
      </c>
      <c r="AW83" s="190">
        <f>+(SUMIF('TB Mar18'!$E:$E,AW$4&amp;$C83,'TB Mar18'!$AB:$AB)*-1)-HLOOKUP(AW$4,'Sep 2017 HY'!$3:$82,80,0)</f>
        <v>1.0907679179999996</v>
      </c>
      <c r="AX83" s="191">
        <f>+(SUMIF('TB Mar18'!$E:$E,AX$4&amp;$C83,'TB Mar18'!$AB:$AB)*-1)-HLOOKUP(AX$4,'Sep 2017 HY'!$3:$82,80,0)</f>
        <v>1.4839719569999992</v>
      </c>
      <c r="AZ83" s="17">
        <v>818.95981228200083</v>
      </c>
      <c r="BA83" s="17">
        <v>7.0000169216655195E-8</v>
      </c>
    </row>
    <row r="84" spans="1:54" ht="12.75">
      <c r="C84" s="179">
        <v>5.2</v>
      </c>
      <c r="D84" s="171" t="s">
        <v>143</v>
      </c>
      <c r="E84" s="190">
        <f>+(SUMIF('TB Mar18'!$E:$E,E$4&amp;$C84,'TB Mar18'!$AB:$AB)*-1)-HLOOKUP(E$4,'Sep 2017 HY'!$3:$83,81,0)</f>
        <v>2.2205952349999962</v>
      </c>
      <c r="F84" s="190">
        <f>+(SUMIF('TB Mar18'!$E:$E,F$4&amp;$C84,'TB Mar18'!$AB:$AB)*-1)-HLOOKUP(F$4,'Sep 2017 HY'!$3:$83,81,0)</f>
        <v>3.1465017209999884</v>
      </c>
      <c r="G84" s="190">
        <f>+(SUMIF('TB Mar18'!$E:$E,G$4&amp;$C84,'TB Mar18'!$AB:$AB)*-1)-HLOOKUP(G$4,'Sep 2017 HY'!$3:$83,81,0)</f>
        <v>0.33329172000000007</v>
      </c>
      <c r="H84" s="190">
        <f>+(SUMIF('TB Mar18'!$E:$E,H$4&amp;$C84,'TB Mar18'!$AB:$AB)*-1)-HLOOKUP(H$4,'Sep 2017 HY'!$3:$83,81,0)</f>
        <v>0.46673930899999994</v>
      </c>
      <c r="I84" s="190">
        <f>+(SUMIF('TB Mar18'!$E:$E,I$4&amp;$C84,'TB Mar18'!$AB:$AB)*-1)-HLOOKUP(I$4,'Sep 2017 HY'!$3:$83,81,0)</f>
        <v>0.22763143000000002</v>
      </c>
      <c r="J84" s="190">
        <f>+(SUMIF('TB Mar18'!$E:$E,J$4&amp;$C84,'TB Mar18'!$AB:$AB)*-1)-HLOOKUP(J$4,'Sep 2017 HY'!$3:$83,81,0)</f>
        <v>3.2093393470000016</v>
      </c>
      <c r="K84" s="190">
        <f>+(SUMIF('TB Mar18'!$E:$E,K$4&amp;$C84,'TB Mar18'!$AB:$AB)*-1)-HLOOKUP(K$4,'Sep 2017 HY'!$3:$83,81,0)</f>
        <v>15.699738832000058</v>
      </c>
      <c r="L84" s="190">
        <f>+(SUMIF('TB Mar18'!$E:$E,L$4&amp;$C84,'TB Mar18'!$AB:$AB)*-1)-HLOOKUP(L$4,'Sep 2017 HY'!$3:$83,81,0)</f>
        <v>2.7559415859999752</v>
      </c>
      <c r="M84" s="190">
        <f>+(SUMIF('TB Mar18'!$E:$E,M$4&amp;$C84,'TB Mar18'!$AB:$AB)*-1)-HLOOKUP(M$4,'Sep 2017 HY'!$3:$83,81,0)</f>
        <v>0.23491886200000026</v>
      </c>
      <c r="N84" s="190">
        <f>+(SUMIF('TB Mar18'!$E:$E,N$4&amp;$C84,'TB Mar18'!$AB:$AB)*-1)-HLOOKUP(N$4,'Sep 2017 HY'!$3:$83,81,0)</f>
        <v>473.11191938300004</v>
      </c>
      <c r="O84" s="190">
        <f>+(SUMIF('TB Mar18'!$E:$E,O$4&amp;$C84,'TB Mar18'!$AB:$AB)*-1)-HLOOKUP(O$4,'Sep 2017 HY'!$3:$83,81,0)</f>
        <v>3.4519200000000007E-3</v>
      </c>
      <c r="P84" s="190">
        <f>+(SUMIF('TB Mar18'!$E:$E,P$4&amp;$C84,'TB Mar18'!$AB:$AB)*-1)-HLOOKUP(P$4,'Sep 2017 HY'!$3:$83,81,0)</f>
        <v>9.8724190000000003E-3</v>
      </c>
      <c r="Q84" s="190">
        <f>+(SUMIF('TB Mar18'!$E:$E,Q$4&amp;$C84,'TB Mar18'!$AB:$AB)*-1)-HLOOKUP(Q$4,'Sep 2017 HY'!$3:$83,81,0)</f>
        <v>113.74908514499984</v>
      </c>
      <c r="R84" s="190">
        <f>+(SUMIF('TB Mar18'!$E:$E,R$4&amp;$C84,'TB Mar18'!$AB:$AB)*-1)-HLOOKUP(R$4,'Sep 2017 HY'!$3:$83,81,0)</f>
        <v>7.5199527609999244</v>
      </c>
      <c r="S84" s="190">
        <f>+(SUMIF('TB Mar18'!$E:$E,S$4&amp;$C84,'TB Mar18'!$AB:$AB)*-1)-HLOOKUP(S$4,'Sep 2017 HY'!$3:$83,81,0)</f>
        <v>0.100859978</v>
      </c>
      <c r="T84" s="190">
        <f>+(SUMIF('TB Mar18'!$E:$E,T$4&amp;$C84,'TB Mar18'!$AB:$AB)*-1)-HLOOKUP(T$4,'Sep 2017 HY'!$3:$83,81,0)</f>
        <v>4.3144703000000006E-2</v>
      </c>
      <c r="U84" s="190">
        <f>+(SUMIF('TB Mar18'!$E:$E,U$4&amp;$C84,'TB Mar18'!$AB:$AB)*-1)-HLOOKUP(U$4,'Sep 2017 HY'!$3:$83,81,0)</f>
        <v>0.13689430000000002</v>
      </c>
      <c r="V84" s="190">
        <f>+(SUMIF('TB Mar18'!$E:$E,V$4&amp;$C84,'TB Mar18'!$AB:$AB)*-1)-HLOOKUP(V$4,'Sep 2017 HY'!$3:$83,81,0)</f>
        <v>8.0027783999999991E-2</v>
      </c>
      <c r="W84" s="190">
        <f>+(SUMIF('TB Mar18'!$E:$E,W$4&amp;$C84,'TB Mar18'!$AB:$AB)*-1)-HLOOKUP(W$4,'Sep 2017 HY'!$3:$83,81,0)</f>
        <v>6.7843699000000035E-2</v>
      </c>
      <c r="X84" s="190">
        <f>+(SUMIF('TB Mar18'!$E:$E,X$4&amp;$C84,'TB Mar18'!$AB:$AB)*-1)-HLOOKUP(X$4,'Sep 2017 HY'!$3:$83,81,0)</f>
        <v>0</v>
      </c>
      <c r="Y84" s="190">
        <f>+(SUMIF('TB Mar18'!$E:$E,Y$4&amp;$C84,'TB Mar18'!$AB:$AB)*-1)-HLOOKUP(Y$4,'Sep 2017 HY'!$3:$83,81,0)</f>
        <v>0</v>
      </c>
      <c r="Z84" s="190">
        <f>+(SUMIF('TB Mar18'!$E:$E,Z$4&amp;$C84,'TB Mar18'!$AB:$AB)*-1)-HLOOKUP(Z$4,'Sep 2017 HY'!$3:$83,81,0)</f>
        <v>0</v>
      </c>
      <c r="AA84" s="190">
        <f>+(SUMIF('TB Mar18'!$E:$E,AA$4&amp;$C84,'TB Mar18'!$AB:$AB)*-1)-HLOOKUP(AA$4,'Sep 2017 HY'!$3:$83,81,0)</f>
        <v>0.4982235770000002</v>
      </c>
      <c r="AB84" s="190">
        <f>+(SUMIF('TB Mar18'!$E:$E,AB$4&amp;$C84,'TB Mar18'!$AB:$AB)*-1)-HLOOKUP(AB$4,'Sep 2017 HY'!$3:$83,81,0)</f>
        <v>0</v>
      </c>
      <c r="AC84" s="190">
        <f>+(SUMIF('TB Mar18'!$E:$E,AC$4&amp;$C84,'TB Mar18'!$AB:$AB)*-1)-HLOOKUP(AC$4,'Sep 2017 HY'!$3:$83,81,0)</f>
        <v>-0.48637029200000381</v>
      </c>
      <c r="AD84" s="190">
        <f>+(SUMIF('TB Mar18'!$E:$E,AD$4&amp;$C84,'TB Mar18'!$AB:$AB)*-1)-HLOOKUP(AD$4,'Sep 2017 HY'!$3:$83,81,0)</f>
        <v>-0.41921946300000196</v>
      </c>
      <c r="AE84" s="190">
        <f>+(SUMIF('TB Mar18'!$E:$E,AE$4&amp;$C84,'TB Mar18'!$AB:$AB)*-1)-HLOOKUP(AE$4,'Sep 2017 HY'!$3:$83,81,0)</f>
        <v>-0.18808015099999881</v>
      </c>
      <c r="AF84" s="190">
        <f>+(SUMIF('TB Mar18'!$E:$E,AF$4&amp;$C84,'TB Mar18'!$AB:$AB)*-1)-HLOOKUP(AF$4,'Sep 2017 HY'!$3:$83,81,0)</f>
        <v>-1.1731822170000019</v>
      </c>
      <c r="AG84" s="190">
        <f>+(SUMIF('TB Mar18'!$E:$E,AG$4&amp;$C84,'TB Mar18'!$AB:$AB)*-1)-HLOOKUP(AG$4,'Sep 2017 HY'!$3:$83,81,0)</f>
        <v>-2.2515087070000002</v>
      </c>
      <c r="AH84" s="190">
        <f>+(SUMIF('TB Mar18'!$E:$E,AH$4&amp;$C84,'TB Mar18'!$AB:$AB)*-1)-HLOOKUP(AH$4,'Sep 2017 HY'!$3:$83,81,0)</f>
        <v>-1.3979303299999963</v>
      </c>
      <c r="AI84" s="190">
        <f>+(SUMIF('TB Mar18'!$E:$E,AI$4&amp;$C84,'TB Mar18'!$AB:$AB)*-1)-HLOOKUP(AI$4,'Sep 2017 HY'!$3:$83,81,0)</f>
        <v>-4.0231176E-2</v>
      </c>
      <c r="AJ84" s="190">
        <f>+(SUMIF('TB Mar18'!$E:$E,AJ$4&amp;$C84,'TB Mar18'!$AB:$AB)*-1)-HLOOKUP(AJ$4,'Sep 2017 HY'!$3:$83,81,0)</f>
        <v>0.37749799600000777</v>
      </c>
      <c r="AK84" s="190">
        <f>+(SUMIF('TB Mar18'!$E:$E,AK$4&amp;$C84,'TB Mar18'!$AB:$AB)*-1)-HLOOKUP(AK$4,'Sep 2017 HY'!$3:$83,81,0)</f>
        <v>0.36701717300005399</v>
      </c>
      <c r="AL84" s="190">
        <f>+(SUMIF('TB Mar18'!$E:$E,AL$4&amp;$C84,'TB Mar18'!$AB:$AB)*-1)-HLOOKUP(AL$4,'Sep 2017 HY'!$3:$83,81,0)</f>
        <v>0.69975909299992711</v>
      </c>
      <c r="AM84" s="190">
        <f>+(SUMIF('TB Mar18'!$E:$E,AM$4&amp;$C84,'TB Mar18'!$AB:$AB)*-1)-HLOOKUP(AM$4,'Sep 2017 HY'!$3:$83,81,0)</f>
        <v>3.1077583999999998E-2</v>
      </c>
      <c r="AN84" s="190">
        <f>+(SUMIF('TB Mar18'!$E:$E,AN$4&amp;$C84,'TB Mar18'!$AB:$AB)*-1)-HLOOKUP(AN$4,'Sep 2017 HY'!$3:$83,81,0)</f>
        <v>0.37360467099999317</v>
      </c>
      <c r="AO84" s="190">
        <f>+(SUMIF('TB Mar18'!$E:$E,AO$4&amp;$C84,'TB Mar18'!$AB:$AB)*-1)-HLOOKUP(AO$4,'Sep 2017 HY'!$3:$83,81,0)</f>
        <v>2.5504492500000064</v>
      </c>
      <c r="AP84" s="190">
        <f>+(SUMIF('TB Mar18'!$E:$E,AP$4&amp;$C84,'TB Mar18'!$AB:$AB)*-1)-HLOOKUP(AP$4,'Sep 2017 HY'!$3:$83,81,0)</f>
        <v>4.3333308000000015E-2</v>
      </c>
      <c r="AQ84" s="190">
        <f>+(SUMIF('TB Mar18'!$E:$E,AQ$4&amp;$C84,'TB Mar18'!$AB:$AB)*-1)-HLOOKUP(AQ$4,'Sep 2017 HY'!$3:$83,81,0)</f>
        <v>0.67266637900000004</v>
      </c>
      <c r="AR84" s="190">
        <f>+(SUMIF('TB Mar18'!$E:$E,AR$4&amp;$C84,'TB Mar18'!$AB:$AB)*-1)-HLOOKUP(AR$4,'Sep 2017 HY'!$3:$83,81,0)</f>
        <v>0.17849301499999998</v>
      </c>
      <c r="AS84" s="190">
        <f>+(SUMIF('TB Mar18'!$E:$E,AS$4&amp;$C84,'TB Mar18'!$AB:$AB)*-1)-HLOOKUP(AS$4,'Sep 2017 HY'!$3:$83,81,0)</f>
        <v>1.5110594370000607</v>
      </c>
      <c r="AT84" s="190">
        <f>+(SUMIF('TB Mar18'!$E:$E,AT$4&amp;$C84,'TB Mar18'!$AB:$AB)*-1)-HLOOKUP(AT$4,'Sep 2017 HY'!$3:$83,81,0)</f>
        <v>0.87613406699999985</v>
      </c>
      <c r="AU84" s="190">
        <f>+(SUMIF('TB Mar18'!$E:$E,AU$4&amp;$C84,'TB Mar18'!$AB:$AB)*-1)-HLOOKUP(AU$4,'Sep 2017 HY'!$3:$83,81,0)</f>
        <v>0.58899817000000088</v>
      </c>
      <c r="AV84" s="190">
        <f>+(SUMIF('TB Mar18'!$E:$E,AV$4&amp;$C84,'TB Mar18'!$AB:$AB)*-1)-HLOOKUP(AV$4,'Sep 2017 HY'!$3:$83,81,0)</f>
        <v>3.6897575000000002E-2</v>
      </c>
      <c r="AW84" s="190">
        <f>+(SUMIF('TB Mar18'!$E:$E,AW$4&amp;$C84,'TB Mar18'!$AB:$AB)*-1)-HLOOKUP(AW$4,'Sep 2017 HY'!$3:$83,81,0)</f>
        <v>2.1104836000000005E-2</v>
      </c>
      <c r="AX84" s="191">
        <f>+(SUMIF('TB Mar18'!$E:$E,AX$4&amp;$C84,'TB Mar18'!$AB:$AB)*-1)-HLOOKUP(AX$4,'Sep 2017 HY'!$3:$83,81,0)</f>
        <v>2.0783437000000002E-2</v>
      </c>
      <c r="AZ84" s="7">
        <v>-818.95981221200066</v>
      </c>
    </row>
    <row r="85" spans="1:54" ht="12.75" customHeight="1">
      <c r="C85" s="179">
        <v>5.3</v>
      </c>
      <c r="D85" s="171" t="s">
        <v>144</v>
      </c>
      <c r="E85" s="190">
        <f>+(SUMIF('TB Mar18'!$E:$E,E$4&amp;$C85,'TB Mar18'!$AB:$AB)*-1)-HLOOKUP(E$4,'Sep 2017 HY'!$3:$84,82,0)</f>
        <v>11.919139767999997</v>
      </c>
      <c r="F85" s="190">
        <f>+(SUMIF('TB Mar18'!$E:$E,F$4&amp;$C85,'TB Mar18'!$AB:$AB)*-1)-HLOOKUP(F$4,'Sep 2017 HY'!$3:$84,82,0)</f>
        <v>5.9718015450000026</v>
      </c>
      <c r="G85" s="190">
        <f>+(SUMIF('TB Mar18'!$E:$E,G$4&amp;$C85,'TB Mar18'!$AB:$AB)*-1)-HLOOKUP(G$4,'Sep 2017 HY'!$3:$84,82,0)</f>
        <v>13.096677614000008</v>
      </c>
      <c r="H85" s="190">
        <f>+(SUMIF('TB Mar18'!$E:$E,H$4&amp;$C85,'TB Mar18'!$AB:$AB)*-1)-HLOOKUP(H$4,'Sep 2017 HY'!$3:$84,82,0)</f>
        <v>12.007470029999997</v>
      </c>
      <c r="I85" s="190">
        <f>+(SUMIF('TB Mar18'!$E:$E,I$4&amp;$C85,'TB Mar18'!$AB:$AB)*-1)-HLOOKUP(I$4,'Sep 2017 HY'!$3:$84,82,0)</f>
        <v>4.311988149000002</v>
      </c>
      <c r="J85" s="190">
        <f>+(SUMIF('TB Mar18'!$E:$E,J$4&amp;$C85,'TB Mar18'!$AB:$AB)*-1)-HLOOKUP(J$4,'Sep 2017 HY'!$3:$84,82,0)</f>
        <v>2.0430916770000014</v>
      </c>
      <c r="K85" s="190">
        <f>+(SUMIF('TB Mar18'!$E:$E,K$4&amp;$C85,'TB Mar18'!$AB:$AB)*-1)-HLOOKUP(K$4,'Sep 2017 HY'!$3:$84,82,0)</f>
        <v>-8.7637159090000001</v>
      </c>
      <c r="L85" s="190">
        <f>+(SUMIF('TB Mar18'!$E:$E,L$4&amp;$C85,'TB Mar18'!$AB:$AB)*-1)-HLOOKUP(L$4,'Sep 2017 HY'!$3:$84,82,0)</f>
        <v>-2.4747821090000004</v>
      </c>
      <c r="M85" s="190">
        <f>+(SUMIF('TB Mar18'!$E:$E,M$4&amp;$C85,'TB Mar18'!$AB:$AB)*-1)-HLOOKUP(M$4,'Sep 2017 HY'!$3:$84,82,0)</f>
        <v>3.6406762999999565E-2</v>
      </c>
      <c r="N85" s="190">
        <f>+(SUMIF('TB Mar18'!$E:$E,N$4&amp;$C85,'TB Mar18'!$AB:$AB)*-1)-HLOOKUP(N$4,'Sep 2017 HY'!$3:$84,82,0)</f>
        <v>-0.124060505</v>
      </c>
      <c r="O85" s="190">
        <f>+(SUMIF('TB Mar18'!$E:$E,O$4&amp;$C85,'TB Mar18'!$AB:$AB)*-1)-HLOOKUP(O$4,'Sep 2017 HY'!$3:$84,82,0)</f>
        <v>0.7832414099999998</v>
      </c>
      <c r="P85" s="190">
        <f>+(SUMIF('TB Mar18'!$E:$E,P$4&amp;$C85,'TB Mar18'!$AB:$AB)*-1)-HLOOKUP(P$4,'Sep 2017 HY'!$3:$84,82,0)</f>
        <v>2.1512301659999999</v>
      </c>
      <c r="Q85" s="190">
        <f>+(SUMIF('TB Mar18'!$E:$E,Q$4&amp;$C85,'TB Mar18'!$AB:$AB)*-1)-HLOOKUP(Q$4,'Sep 2017 HY'!$3:$84,82,0)</f>
        <v>3.5245021329999995</v>
      </c>
      <c r="R85" s="190">
        <f>+(SUMIF('TB Mar18'!$E:$E,R$4&amp;$C85,'TB Mar18'!$AB:$AB)*-1)-HLOOKUP(R$4,'Sep 2017 HY'!$3:$84,82,0)</f>
        <v>-0.16206988999999997</v>
      </c>
      <c r="S85" s="190">
        <f>+(SUMIF('TB Mar18'!$E:$E,S$4&amp;$C85,'TB Mar18'!$AB:$AB)*-1)-HLOOKUP(S$4,'Sep 2017 HY'!$3:$84,82,0)</f>
        <v>1.103386419</v>
      </c>
      <c r="T85" s="190">
        <f>+(SUMIF('TB Mar18'!$E:$E,T$4&amp;$C85,'TB Mar18'!$AB:$AB)*-1)-HLOOKUP(T$4,'Sep 2017 HY'!$3:$84,82,0)</f>
        <v>0</v>
      </c>
      <c r="U85" s="190">
        <f>+(SUMIF('TB Mar18'!$E:$E,U$4&amp;$C85,'TB Mar18'!$AB:$AB)*-1)-HLOOKUP(U$4,'Sep 2017 HY'!$3:$84,82,0)</f>
        <v>0</v>
      </c>
      <c r="V85" s="190">
        <f>+(SUMIF('TB Mar18'!$E:$E,V$4&amp;$C85,'TB Mar18'!$AB:$AB)*-1)-HLOOKUP(V$4,'Sep 2017 HY'!$3:$84,82,0)</f>
        <v>0</v>
      </c>
      <c r="W85" s="190">
        <f>+(SUMIF('TB Mar18'!$E:$E,W$4&amp;$C85,'TB Mar18'!$AB:$AB)*-1)-HLOOKUP(W$4,'Sep 2017 HY'!$3:$84,82,0)</f>
        <v>0</v>
      </c>
      <c r="X85" s="190">
        <f>+(SUMIF('TB Mar18'!$E:$E,X$4&amp;$C85,'TB Mar18'!$AB:$AB)*-1)-HLOOKUP(X$4,'Sep 2017 HY'!$3:$84,82,0)</f>
        <v>0</v>
      </c>
      <c r="Y85" s="190">
        <f>+(SUMIF('TB Mar18'!$E:$E,Y$4&amp;$C85,'TB Mar18'!$AB:$AB)*-1)-HLOOKUP(Y$4,'Sep 2017 HY'!$3:$84,82,0)</f>
        <v>0</v>
      </c>
      <c r="Z85" s="190">
        <f>+(SUMIF('TB Mar18'!$E:$E,Z$4&amp;$C85,'TB Mar18'!$AB:$AB)*-1)-HLOOKUP(Z$4,'Sep 2017 HY'!$3:$84,82,0)</f>
        <v>0</v>
      </c>
      <c r="AA85" s="190">
        <f>+(SUMIF('TB Mar18'!$E:$E,AA$4&amp;$C85,'TB Mar18'!$AB:$AB)*-1)-HLOOKUP(AA$4,'Sep 2017 HY'!$3:$84,82,0)</f>
        <v>5.2974577000000002E-2</v>
      </c>
      <c r="AB85" s="190">
        <f>+(SUMIF('TB Mar18'!$E:$E,AB$4&amp;$C85,'TB Mar18'!$AB:$AB)*-1)-HLOOKUP(AB$4,'Sep 2017 HY'!$3:$84,82,0)</f>
        <v>0</v>
      </c>
      <c r="AC85" s="190">
        <f>+(SUMIF('TB Mar18'!$E:$E,AC$4&amp;$C85,'TB Mar18'!$AB:$AB)*-1)-HLOOKUP(AC$4,'Sep 2017 HY'!$3:$84,82,0)</f>
        <v>-0.88742180799999981</v>
      </c>
      <c r="AD85" s="190">
        <f>+(SUMIF('TB Mar18'!$E:$E,AD$4&amp;$C85,'TB Mar18'!$AB:$AB)*-1)-HLOOKUP(AD$4,'Sep 2017 HY'!$3:$84,82,0)</f>
        <v>0.26765359999999999</v>
      </c>
      <c r="AE85" s="190">
        <f>+(SUMIF('TB Mar18'!$E:$E,AE$4&amp;$C85,'TB Mar18'!$AB:$AB)*-1)-HLOOKUP(AE$4,'Sep 2017 HY'!$3:$84,82,0)</f>
        <v>0.120435025</v>
      </c>
      <c r="AF85" s="190">
        <f>+(SUMIF('TB Mar18'!$E:$E,AF$4&amp;$C85,'TB Mar18'!$AB:$AB)*-1)-HLOOKUP(AF$4,'Sep 2017 HY'!$3:$84,82,0)</f>
        <v>9.7280000000000005E-2</v>
      </c>
      <c r="AG85" s="190">
        <f>+(SUMIF('TB Mar18'!$E:$E,AG$4&amp;$C85,'TB Mar18'!$AB:$AB)*-1)-HLOOKUP(AG$4,'Sep 2017 HY'!$3:$84,82,0)</f>
        <v>0.79794553999999995</v>
      </c>
      <c r="AH85" s="190">
        <f>+(SUMIF('TB Mar18'!$E:$E,AH$4&amp;$C85,'TB Mar18'!$AB:$AB)*-1)-HLOOKUP(AH$4,'Sep 2017 HY'!$3:$84,82,0)</f>
        <v>-1.2200304009999998</v>
      </c>
      <c r="AI85" s="190">
        <f>+(SUMIF('TB Mar18'!$E:$E,AI$4&amp;$C85,'TB Mar18'!$AB:$AB)*-1)-HLOOKUP(AI$4,'Sep 2017 HY'!$3:$84,82,0)</f>
        <v>-3.7695829860000005</v>
      </c>
      <c r="AJ85" s="190">
        <f>+(SUMIF('TB Mar18'!$E:$E,AJ$4&amp;$C85,'TB Mar18'!$AB:$AB)*-1)-HLOOKUP(AJ$4,'Sep 2017 HY'!$3:$84,82,0)</f>
        <v>1.4634868560000001</v>
      </c>
      <c r="AK85" s="190">
        <f>+(SUMIF('TB Mar18'!$E:$E,AK$4&amp;$C85,'TB Mar18'!$AB:$AB)*-1)-HLOOKUP(AK$4,'Sep 2017 HY'!$3:$84,82,0)</f>
        <v>-6.0934000000000044E-2</v>
      </c>
      <c r="AL85" s="190">
        <f>+(SUMIF('TB Mar18'!$E:$E,AL$4&amp;$C85,'TB Mar18'!$AB:$AB)*-1)-HLOOKUP(AL$4,'Sep 2017 HY'!$3:$84,82,0)</f>
        <v>-0.17484519999999992</v>
      </c>
      <c r="AM85" s="190">
        <f>+(SUMIF('TB Mar18'!$E:$E,AM$4&amp;$C85,'TB Mar18'!$AB:$AB)*-1)-HLOOKUP(AM$4,'Sep 2017 HY'!$3:$84,82,0)</f>
        <v>3.9804442569999998</v>
      </c>
      <c r="AN85" s="190">
        <f>+(SUMIF('TB Mar18'!$E:$E,AN$4&amp;$C85,'TB Mar18'!$AB:$AB)*-1)-HLOOKUP(AN$4,'Sep 2017 HY'!$3:$84,82,0)</f>
        <v>-3.8720599999999994E-2</v>
      </c>
      <c r="AO85" s="190">
        <f>+(SUMIF('TB Mar18'!$E:$E,AO$4&amp;$C85,'TB Mar18'!$AB:$AB)*-1)-HLOOKUP(AO$4,'Sep 2017 HY'!$3:$84,82,0)</f>
        <v>0.26564838400000002</v>
      </c>
      <c r="AP85" s="190">
        <f>+(SUMIF('TB Mar18'!$E:$E,AP$4&amp;$C85,'TB Mar18'!$AB:$AB)*-1)-HLOOKUP(AP$4,'Sep 2017 HY'!$3:$84,82,0)</f>
        <v>5.0143747510000001</v>
      </c>
      <c r="AQ85" s="190">
        <f>+(SUMIF('TB Mar18'!$E:$E,AQ$4&amp;$C85,'TB Mar18'!$AB:$AB)*-1)-HLOOKUP(AQ$4,'Sep 2017 HY'!$3:$84,82,0)</f>
        <v>11.960627291000003</v>
      </c>
      <c r="AR85" s="190">
        <f>+(SUMIF('TB Mar18'!$E:$E,AR$4&amp;$C85,'TB Mar18'!$AB:$AB)*-1)-HLOOKUP(AR$4,'Sep 2017 HY'!$3:$84,82,0)</f>
        <v>1.8474691620000008</v>
      </c>
      <c r="AS85" s="190">
        <f>+(SUMIF('TB Mar18'!$E:$E,AS$4&amp;$C85,'TB Mar18'!$AB:$AB)*-1)-HLOOKUP(AS$4,'Sep 2017 HY'!$3:$84,82,0)</f>
        <v>-0.11941455999999984</v>
      </c>
      <c r="AT85" s="190">
        <f>+(SUMIF('TB Mar18'!$E:$E,AT$4&amp;$C85,'TB Mar18'!$AB:$AB)*-1)-HLOOKUP(AT$4,'Sep 2017 HY'!$3:$84,82,0)</f>
        <v>-3.6506032999999993E-2</v>
      </c>
      <c r="AU85" s="190">
        <f>+(SUMIF('TB Mar18'!$E:$E,AU$4&amp;$C85,'TB Mar18'!$AB:$AB)*-1)-HLOOKUP(AU$4,'Sep 2017 HY'!$3:$84,82,0)</f>
        <v>-2.7955459999999821E-3</v>
      </c>
      <c r="AV85" s="190">
        <f>+(SUMIF('TB Mar18'!$E:$E,AV$4&amp;$C85,'TB Mar18'!$AB:$AB)*-1)-HLOOKUP(AV$4,'Sep 2017 HY'!$3:$84,82,0)</f>
        <v>0.77583685199999941</v>
      </c>
      <c r="AW85" s="190">
        <f>+(SUMIF('TB Mar18'!$E:$E,AW$4&amp;$C85,'TB Mar18'!$AB:$AB)*-1)-HLOOKUP(AW$4,'Sep 2017 HY'!$3:$84,82,0)</f>
        <v>3.3928621999999464E-2</v>
      </c>
      <c r="AX85" s="191">
        <f>+(SUMIF('TB Mar18'!$E:$E,AX$4&amp;$C85,'TB Mar18'!$AB:$AB)*-1)-HLOOKUP(AX$4,'Sep 2017 HY'!$3:$84,82,0)</f>
        <v>0.49905377900000003</v>
      </c>
    </row>
    <row r="86" spans="1:54" ht="12.75" customHeight="1">
      <c r="C86" s="179"/>
      <c r="D86" s="171" t="s">
        <v>145</v>
      </c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  <c r="AG86" s="190"/>
      <c r="AH86" s="190"/>
      <c r="AI86" s="190"/>
      <c r="AJ86" s="190"/>
      <c r="AK86" s="190"/>
      <c r="AL86" s="190"/>
      <c r="AM86" s="190"/>
      <c r="AN86" s="190"/>
      <c r="AO86" s="190"/>
      <c r="AP86" s="190"/>
      <c r="AQ86" s="190"/>
      <c r="AR86" s="190"/>
      <c r="AS86" s="190"/>
      <c r="AT86" s="190"/>
      <c r="AU86" s="190"/>
      <c r="AV86" s="190"/>
      <c r="AW86" s="190"/>
      <c r="AX86" s="191"/>
    </row>
    <row r="87" spans="1:54" ht="12.75">
      <c r="C87" s="179">
        <v>5.4</v>
      </c>
      <c r="D87" s="171" t="s">
        <v>146</v>
      </c>
      <c r="E87" s="190">
        <f>+(SUMIF('TB Mar18'!$E:$E,E$4&amp;$C87,'TB Mar18'!$AB:$AB)*-1)-HLOOKUP(E$4,'Sep 2017 HY'!$3:$86,84,0)</f>
        <v>0</v>
      </c>
      <c r="F87" s="190">
        <f>+(SUMIF('TB Mar18'!$E:$E,F$4&amp;$C87,'TB Mar18'!$AB:$AB)*-1)-HLOOKUP(F$4,'Sep 2017 HY'!$3:$86,84,0)</f>
        <v>-0.27986111500000005</v>
      </c>
      <c r="G87" s="190">
        <f>+(SUMIF('TB Mar18'!$E:$E,G$4&amp;$C87,'TB Mar18'!$AB:$AB)*-1)-HLOOKUP(G$4,'Sep 2017 HY'!$3:$86,84,0)</f>
        <v>0</v>
      </c>
      <c r="H87" s="190">
        <f>+(SUMIF('TB Mar18'!$E:$E,H$4&amp;$C87,'TB Mar18'!$AB:$AB)*-1)-HLOOKUP(H$4,'Sep 2017 HY'!$3:$86,84,0)</f>
        <v>0</v>
      </c>
      <c r="I87" s="190">
        <f>+(SUMIF('TB Mar18'!$E:$E,I$4&amp;$C87,'TB Mar18'!$AB:$AB)*-1)-HLOOKUP(I$4,'Sep 2017 HY'!$3:$86,84,0)</f>
        <v>0</v>
      </c>
      <c r="J87" s="190">
        <f>+(SUMIF('TB Mar18'!$E:$E,J$4&amp;$C87,'TB Mar18'!$AB:$AB)*-1)-HLOOKUP(J$4,'Sep 2017 HY'!$3:$86,84,0)</f>
        <v>-0.10500983500000001</v>
      </c>
      <c r="K87" s="190">
        <f>+(SUMIF('TB Mar18'!$E:$E,K$4&amp;$C87,'TB Mar18'!$AB:$AB)*-1)-HLOOKUP(K$4,'Sep 2017 HY'!$3:$86,84,0)</f>
        <v>-3.3803071999999976E-2</v>
      </c>
      <c r="L87" s="190">
        <f>+(SUMIF('TB Mar18'!$E:$E,L$4&amp;$C87,'TB Mar18'!$AB:$AB)*-1)-HLOOKUP(L$4,'Sep 2017 HY'!$3:$86,84,0)</f>
        <v>-0.56698440999999999</v>
      </c>
      <c r="M87" s="190">
        <f>+(SUMIF('TB Mar18'!$E:$E,M$4&amp;$C87,'TB Mar18'!$AB:$AB)*-1)-HLOOKUP(M$4,'Sep 2017 HY'!$3:$86,84,0)</f>
        <v>0</v>
      </c>
      <c r="N87" s="190">
        <f>+(SUMIF('TB Mar18'!$E:$E,N$4&amp;$C87,'TB Mar18'!$AB:$AB)*-1)-HLOOKUP(N$4,'Sep 2017 HY'!$3:$86,84,0)</f>
        <v>-0.168121521</v>
      </c>
      <c r="O87" s="190">
        <f>+(SUMIF('TB Mar18'!$E:$E,O$4&amp;$C87,'TB Mar18'!$AB:$AB)*-1)-HLOOKUP(O$4,'Sep 2017 HY'!$3:$86,84,0)</f>
        <v>0</v>
      </c>
      <c r="P87" s="190">
        <f>+(SUMIF('TB Mar18'!$E:$E,P$4&amp;$C87,'TB Mar18'!$AB:$AB)*-1)-HLOOKUP(P$4,'Sep 2017 HY'!$3:$86,84,0)</f>
        <v>0</v>
      </c>
      <c r="Q87" s="190">
        <f>+(SUMIF('TB Mar18'!$E:$E,Q$4&amp;$C87,'TB Mar18'!$AB:$AB)*-1)-HLOOKUP(Q$4,'Sep 2017 HY'!$3:$86,84,0)</f>
        <v>-1.1246867640000002</v>
      </c>
      <c r="R87" s="190">
        <f>+(SUMIF('TB Mar18'!$E:$E,R$4&amp;$C87,'TB Mar18'!$AB:$AB)*-1)-HLOOKUP(R$4,'Sep 2017 HY'!$3:$86,84,0)</f>
        <v>3.2108160000001718E-3</v>
      </c>
      <c r="S87" s="190">
        <f>+(SUMIF('TB Mar18'!$E:$E,S$4&amp;$C87,'TB Mar18'!$AB:$AB)*-1)-HLOOKUP(S$4,'Sep 2017 HY'!$3:$86,84,0)</f>
        <v>0</v>
      </c>
      <c r="T87" s="190">
        <f>+(SUMIF('TB Mar18'!$E:$E,T$4&amp;$C87,'TB Mar18'!$AB:$AB)*-1)-HLOOKUP(T$4,'Sep 2017 HY'!$3:$86,84,0)</f>
        <v>0</v>
      </c>
      <c r="U87" s="190">
        <f>+(SUMIF('TB Mar18'!$E:$E,U$4&amp;$C87,'TB Mar18'!$AB:$AB)*-1)-HLOOKUP(U$4,'Sep 2017 HY'!$3:$86,84,0)</f>
        <v>0</v>
      </c>
      <c r="V87" s="190">
        <f>+(SUMIF('TB Mar18'!$E:$E,V$4&amp;$C87,'TB Mar18'!$AB:$AB)*-1)-HLOOKUP(V$4,'Sep 2017 HY'!$3:$86,84,0)</f>
        <v>0</v>
      </c>
      <c r="W87" s="190">
        <f>+(SUMIF('TB Mar18'!$E:$E,W$4&amp;$C87,'TB Mar18'!$AB:$AB)*-1)-HLOOKUP(W$4,'Sep 2017 HY'!$3:$86,84,0)</f>
        <v>0</v>
      </c>
      <c r="X87" s="190">
        <f>+(SUMIF('TB Mar18'!$E:$E,X$4&amp;$C87,'TB Mar18'!$AB:$AB)*-1)-HLOOKUP(X$4,'Sep 2017 HY'!$3:$86,84,0)</f>
        <v>0</v>
      </c>
      <c r="Y87" s="190">
        <f>+(SUMIF('TB Mar18'!$E:$E,Y$4&amp;$C87,'TB Mar18'!$AB:$AB)*-1)-HLOOKUP(Y$4,'Sep 2017 HY'!$3:$86,84,0)</f>
        <v>0</v>
      </c>
      <c r="Z87" s="190">
        <f>+(SUMIF('TB Mar18'!$E:$E,Z$4&amp;$C87,'TB Mar18'!$AB:$AB)*-1)-HLOOKUP(Z$4,'Sep 2017 HY'!$3:$86,84,0)</f>
        <v>0</v>
      </c>
      <c r="AA87" s="190">
        <f>+(SUMIF('TB Mar18'!$E:$E,AA$4&amp;$C87,'TB Mar18'!$AB:$AB)*-1)-HLOOKUP(AA$4,'Sep 2017 HY'!$3:$86,84,0)</f>
        <v>0</v>
      </c>
      <c r="AB87" s="190">
        <f>+(SUMIF('TB Mar18'!$E:$E,AB$4&amp;$C87,'TB Mar18'!$AB:$AB)*-1)-HLOOKUP(AB$4,'Sep 2017 HY'!$3:$86,84,0)</f>
        <v>0</v>
      </c>
      <c r="AC87" s="190">
        <f>+(SUMIF('TB Mar18'!$E:$E,AC$4&amp;$C87,'TB Mar18'!$AB:$AB)*-1)-HLOOKUP(AC$4,'Sep 2017 HY'!$3:$86,84,0)</f>
        <v>0</v>
      </c>
      <c r="AD87" s="190">
        <f>+(SUMIF('TB Mar18'!$E:$E,AD$4&amp;$C87,'TB Mar18'!$AB:$AB)*-1)-HLOOKUP(AD$4,'Sep 2017 HY'!$3:$86,84,0)</f>
        <v>0</v>
      </c>
      <c r="AE87" s="190">
        <f>+(SUMIF('TB Mar18'!$E:$E,AE$4&amp;$C87,'TB Mar18'!$AB:$AB)*-1)-HLOOKUP(AE$4,'Sep 2017 HY'!$3:$86,84,0)</f>
        <v>0</v>
      </c>
      <c r="AF87" s="190">
        <f>+(SUMIF('TB Mar18'!$E:$E,AF$4&amp;$C87,'TB Mar18'!$AB:$AB)*-1)-HLOOKUP(AF$4,'Sep 2017 HY'!$3:$86,84,0)</f>
        <v>0</v>
      </c>
      <c r="AG87" s="190">
        <f>+(SUMIF('TB Mar18'!$E:$E,AG$4&amp;$C87,'TB Mar18'!$AB:$AB)*-1)-HLOOKUP(AG$4,'Sep 2017 HY'!$3:$86,84,0)</f>
        <v>0</v>
      </c>
      <c r="AH87" s="190">
        <f>+(SUMIF('TB Mar18'!$E:$E,AH$4&amp;$C87,'TB Mar18'!$AB:$AB)*-1)-HLOOKUP(AH$4,'Sep 2017 HY'!$3:$86,84,0)</f>
        <v>0</v>
      </c>
      <c r="AI87" s="190">
        <f>+(SUMIF('TB Mar18'!$E:$E,AI$4&amp;$C87,'TB Mar18'!$AB:$AB)*-1)-HLOOKUP(AI$4,'Sep 2017 HY'!$3:$86,84,0)</f>
        <v>0</v>
      </c>
      <c r="AJ87" s="190">
        <f>+(SUMIF('TB Mar18'!$E:$E,AJ$4&amp;$C87,'TB Mar18'!$AB:$AB)*-1)-HLOOKUP(AJ$4,'Sep 2017 HY'!$3:$86,84,0)</f>
        <v>0</v>
      </c>
      <c r="AK87" s="190">
        <f>+(SUMIF('TB Mar18'!$E:$E,AK$4&amp;$C87,'TB Mar18'!$AB:$AB)*-1)-HLOOKUP(AK$4,'Sep 2017 HY'!$3:$86,84,0)</f>
        <v>0</v>
      </c>
      <c r="AL87" s="190">
        <f>+(SUMIF('TB Mar18'!$E:$E,AL$4&amp;$C87,'TB Mar18'!$AB:$AB)*-1)-HLOOKUP(AL$4,'Sep 2017 HY'!$3:$86,84,0)</f>
        <v>0</v>
      </c>
      <c r="AM87" s="190">
        <f>+(SUMIF('TB Mar18'!$E:$E,AM$4&amp;$C87,'TB Mar18'!$AB:$AB)*-1)-HLOOKUP(AM$4,'Sep 2017 HY'!$3:$86,84,0)</f>
        <v>0</v>
      </c>
      <c r="AN87" s="190">
        <f>+(SUMIF('TB Mar18'!$E:$E,AN$4&amp;$C87,'TB Mar18'!$AB:$AB)*-1)-HLOOKUP(AN$4,'Sep 2017 HY'!$3:$86,84,0)</f>
        <v>0</v>
      </c>
      <c r="AO87" s="190">
        <f>+(SUMIF('TB Mar18'!$E:$E,AO$4&amp;$C87,'TB Mar18'!$AB:$AB)*-1)-HLOOKUP(AO$4,'Sep 2017 HY'!$3:$86,84,0)</f>
        <v>-2.1882926880000002</v>
      </c>
      <c r="AP87" s="190">
        <f>+(SUMIF('TB Mar18'!$E:$E,AP$4&amp;$C87,'TB Mar18'!$AB:$AB)*-1)-HLOOKUP(AP$4,'Sep 2017 HY'!$3:$86,84,0)</f>
        <v>4.6248480000000002E-2</v>
      </c>
      <c r="AQ87" s="190">
        <f>+(SUMIF('TB Mar18'!$E:$E,AQ$4&amp;$C87,'TB Mar18'!$AB:$AB)*-1)-HLOOKUP(AQ$4,'Sep 2017 HY'!$3:$86,84,0)</f>
        <v>0</v>
      </c>
      <c r="AR87" s="190">
        <f>+(SUMIF('TB Mar18'!$E:$E,AR$4&amp;$C87,'TB Mar18'!$AB:$AB)*-1)-HLOOKUP(AR$4,'Sep 2017 HY'!$3:$86,84,0)</f>
        <v>0</v>
      </c>
      <c r="AS87" s="190">
        <f>+(SUMIF('TB Mar18'!$E:$E,AS$4&amp;$C87,'TB Mar18'!$AB:$AB)*-1)-HLOOKUP(AS$4,'Sep 2017 HY'!$3:$86,84,0)</f>
        <v>0</v>
      </c>
      <c r="AT87" s="190">
        <f>+(SUMIF('TB Mar18'!$E:$E,AT$4&amp;$C87,'TB Mar18'!$AB:$AB)*-1)-HLOOKUP(AT$4,'Sep 2017 HY'!$3:$86,84,0)</f>
        <v>0</v>
      </c>
      <c r="AU87" s="190">
        <f>+(SUMIF('TB Mar18'!$E:$E,AU$4&amp;$C87,'TB Mar18'!$AB:$AB)*-1)-HLOOKUP(AU$4,'Sep 2017 HY'!$3:$86,84,0)</f>
        <v>0</v>
      </c>
      <c r="AV87" s="190">
        <f>+(SUMIF('TB Mar18'!$E:$E,AV$4&amp;$C87,'TB Mar18'!$AB:$AB)*-1)-HLOOKUP(AV$4,'Sep 2017 HY'!$3:$86,84,0)</f>
        <v>0</v>
      </c>
      <c r="AW87" s="190">
        <f>+(SUMIF('TB Mar18'!$E:$E,AW$4&amp;$C87,'TB Mar18'!$AB:$AB)*-1)-HLOOKUP(AW$4,'Sep 2017 HY'!$3:$86,84,0)</f>
        <v>0</v>
      </c>
      <c r="AX87" s="191">
        <f>+(SUMIF('TB Mar18'!$E:$E,AX$4&amp;$C87,'TB Mar18'!$AB:$AB)*-1)-HLOOKUP(AX$4,'Sep 2017 HY'!$3:$86,84,0)</f>
        <v>0</v>
      </c>
    </row>
    <row r="88" spans="1:54" ht="12.75">
      <c r="C88" s="179"/>
      <c r="D88" s="171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90"/>
      <c r="AM88" s="190"/>
      <c r="AN88" s="190"/>
      <c r="AO88" s="190"/>
      <c r="AP88" s="190"/>
      <c r="AQ88" s="190"/>
      <c r="AR88" s="190"/>
      <c r="AS88" s="190"/>
      <c r="AT88" s="190"/>
      <c r="AU88" s="190"/>
      <c r="AV88" s="190"/>
      <c r="AW88" s="190"/>
      <c r="AX88" s="191"/>
    </row>
    <row r="89" spans="1:54" ht="12.75" customHeight="1">
      <c r="C89" s="179">
        <v>5.5</v>
      </c>
      <c r="D89" s="171" t="s">
        <v>147</v>
      </c>
      <c r="E89" s="190">
        <f>+(SUMIF('TB Mar18'!$E:$E,E$4&amp;$C89,'TB Mar18'!$AB:$AB)*-1)-HLOOKUP(E$4,'Sep 2017 HY'!$3:$88,86,0)</f>
        <v>9.2432500000000036E-4</v>
      </c>
      <c r="F89" s="190">
        <f>+(SUMIF('TB Mar18'!$E:$E,F$4&amp;$C89,'TB Mar18'!$AB:$AB)*-1)-HLOOKUP(F$4,'Sep 2017 HY'!$3:$88,86,0)</f>
        <v>0.11472437000000002</v>
      </c>
      <c r="G89" s="190">
        <f>+(SUMIF('TB Mar18'!$E:$E,G$4&amp;$C89,'TB Mar18'!$AB:$AB)*-1)-HLOOKUP(G$4,'Sep 2017 HY'!$3:$88,86,0)</f>
        <v>1.6258379999999999E-2</v>
      </c>
      <c r="H89" s="190">
        <f>+(SUMIF('TB Mar18'!$E:$E,H$4&amp;$C89,'TB Mar18'!$AB:$AB)*-1)-HLOOKUP(H$4,'Sep 2017 HY'!$3:$88,86,0)</f>
        <v>3.4088939000000026E-2</v>
      </c>
      <c r="I89" s="190">
        <f>+(SUMIF('TB Mar18'!$E:$E,I$4&amp;$C89,'TB Mar18'!$AB:$AB)*-1)-HLOOKUP(I$4,'Sep 2017 HY'!$3:$88,86,0)</f>
        <v>1.4563000000000006E-5</v>
      </c>
      <c r="J89" s="190">
        <f>+(SUMIF('TB Mar18'!$E:$E,J$4&amp;$C89,'TB Mar18'!$AB:$AB)*-1)-HLOOKUP(J$4,'Sep 2017 HY'!$3:$88,86,0)</f>
        <v>4.1757321999999972E-2</v>
      </c>
      <c r="K89" s="190">
        <f>+(SUMIF('TB Mar18'!$E:$E,K$4&amp;$C89,'TB Mar18'!$AB:$AB)*-1)-HLOOKUP(K$4,'Sep 2017 HY'!$3:$88,86,0)</f>
        <v>2.1880593999999975E-2</v>
      </c>
      <c r="L89" s="190">
        <f>+(SUMIF('TB Mar18'!$E:$E,L$4&amp;$C89,'TB Mar18'!$AB:$AB)*-1)-HLOOKUP(L$4,'Sep 2017 HY'!$3:$88,86,0)</f>
        <v>-3.7345150000000001E-2</v>
      </c>
      <c r="M89" s="190">
        <f>+(SUMIF('TB Mar18'!$E:$E,M$4&amp;$C89,'TB Mar18'!$AB:$AB)*-1)-HLOOKUP(M$4,'Sep 2017 HY'!$3:$88,86,0)</f>
        <v>9.3470239999999798E-3</v>
      </c>
      <c r="N89" s="190">
        <f>+(SUMIF('TB Mar18'!$E:$E,N$4&amp;$C89,'TB Mar18'!$AB:$AB)*-1)-HLOOKUP(N$4,'Sep 2017 HY'!$3:$88,86,0)</f>
        <v>2.768197E-3</v>
      </c>
      <c r="O89" s="190">
        <f>+(SUMIF('TB Mar18'!$E:$E,O$4&amp;$C89,'TB Mar18'!$AB:$AB)*-1)-HLOOKUP(O$4,'Sep 2017 HY'!$3:$88,86,0)</f>
        <v>1.871939999999999E-4</v>
      </c>
      <c r="P89" s="190">
        <f>+(SUMIF('TB Mar18'!$E:$E,P$4&amp;$C89,'TB Mar18'!$AB:$AB)*-1)-HLOOKUP(P$4,'Sep 2017 HY'!$3:$88,86,0)</f>
        <v>6.8872399999999993E-4</v>
      </c>
      <c r="Q89" s="190">
        <f>+(SUMIF('TB Mar18'!$E:$E,Q$4&amp;$C89,'TB Mar18'!$AB:$AB)*-1)-HLOOKUP(Q$4,'Sep 2017 HY'!$3:$88,86,0)</f>
        <v>1.4954200000002609E-4</v>
      </c>
      <c r="R89" s="190">
        <f>+(SUMIF('TB Mar18'!$E:$E,R$4&amp;$C89,'TB Mar18'!$AB:$AB)*-1)-HLOOKUP(R$4,'Sep 2017 HY'!$3:$88,86,0)</f>
        <v>-1.1786450000000004E-2</v>
      </c>
      <c r="S89" s="190">
        <f>+(SUMIF('TB Mar18'!$E:$E,S$4&amp;$C89,'TB Mar18'!$AB:$AB)*-1)-HLOOKUP(S$4,'Sep 2017 HY'!$3:$88,86,0)</f>
        <v>5.5999900000000061E-3</v>
      </c>
      <c r="T89" s="190">
        <f>+(SUMIF('TB Mar18'!$E:$E,T$4&amp;$C89,'TB Mar18'!$AB:$AB)*-1)-HLOOKUP(T$4,'Sep 2017 HY'!$3:$88,86,0)</f>
        <v>-7.4000000000000014E-8</v>
      </c>
      <c r="U89" s="190">
        <f>+(SUMIF('TB Mar18'!$E:$E,U$4&amp;$C89,'TB Mar18'!$AB:$AB)*-1)-HLOOKUP(U$4,'Sep 2017 HY'!$3:$88,86,0)</f>
        <v>-7.663000000000001E-6</v>
      </c>
      <c r="V89" s="190">
        <f>+(SUMIF('TB Mar18'!$E:$E,V$4&amp;$C89,'TB Mar18'!$AB:$AB)*-1)-HLOOKUP(V$4,'Sep 2017 HY'!$3:$88,86,0)</f>
        <v>-5.0000000000000051E-9</v>
      </c>
      <c r="W89" s="190">
        <f>+(SUMIF('TB Mar18'!$E:$E,W$4&amp;$C89,'TB Mar18'!$AB:$AB)*-1)-HLOOKUP(W$4,'Sep 2017 HY'!$3:$88,86,0)</f>
        <v>-1.8000000000000016E-8</v>
      </c>
      <c r="X89" s="190">
        <f>+(SUMIF('TB Mar18'!$E:$E,X$4&amp;$C89,'TB Mar18'!$AB:$AB)*-1)-HLOOKUP(X$4,'Sep 2017 HY'!$3:$88,86,0)</f>
        <v>-1.36E-7</v>
      </c>
      <c r="Y89" s="190">
        <f>+(SUMIF('TB Mar18'!$E:$E,Y$4&amp;$C89,'TB Mar18'!$AB:$AB)*-1)-HLOOKUP(Y$4,'Sep 2017 HY'!$3:$88,86,0)</f>
        <v>-2.2700000000000001E-7</v>
      </c>
      <c r="Z89" s="190">
        <f>+(SUMIF('TB Mar18'!$E:$E,Z$4&amp;$C89,'TB Mar18'!$AB:$AB)*-1)-HLOOKUP(Z$4,'Sep 2017 HY'!$3:$88,86,0)</f>
        <v>-6.5E-8</v>
      </c>
      <c r="AA89" s="190">
        <f>+(SUMIF('TB Mar18'!$E:$E,AA$4&amp;$C89,'TB Mar18'!$AB:$AB)*-1)-HLOOKUP(AA$4,'Sep 2017 HY'!$3:$88,86,0)</f>
        <v>5.6999999999996236E-8</v>
      </c>
      <c r="AB89" s="190">
        <f>+(SUMIF('TB Mar18'!$E:$E,AB$4&amp;$C89,'TB Mar18'!$AB:$AB)*-1)-HLOOKUP(AB$4,'Sep 2017 HY'!$3:$88,86,0)</f>
        <v>-2.2100000000000001E-7</v>
      </c>
      <c r="AC89" s="190">
        <f>+(SUMIF('TB Mar18'!$E:$E,AC$4&amp;$C89,'TB Mar18'!$AB:$AB)*-1)-HLOOKUP(AC$4,'Sep 2017 HY'!$3:$88,86,0)</f>
        <v>-8.3000000000000002E-8</v>
      </c>
      <c r="AD89" s="190">
        <f>+(SUMIF('TB Mar18'!$E:$E,AD$4&amp;$C89,'TB Mar18'!$AB:$AB)*-1)-HLOOKUP(AD$4,'Sep 2017 HY'!$3:$88,86,0)</f>
        <v>-2.0000000000000001E-9</v>
      </c>
      <c r="AE89" s="190">
        <f>+(SUMIF('TB Mar18'!$E:$E,AE$4&amp;$C89,'TB Mar18'!$AB:$AB)*-1)-HLOOKUP(AE$4,'Sep 2017 HY'!$3:$88,86,0)</f>
        <v>-1.79E-7</v>
      </c>
      <c r="AF89" s="190">
        <f>+(SUMIF('TB Mar18'!$E:$E,AF$4&amp;$C89,'TB Mar18'!$AB:$AB)*-1)-HLOOKUP(AF$4,'Sep 2017 HY'!$3:$88,86,0)</f>
        <v>2.5699999999999999E-7</v>
      </c>
      <c r="AG89" s="190">
        <f>+(SUMIF('TB Mar18'!$E:$E,AG$4&amp;$C89,'TB Mar18'!$AB:$AB)*-1)-HLOOKUP(AG$4,'Sep 2017 HY'!$3:$88,86,0)</f>
        <v>4.0000000000000002E-9</v>
      </c>
      <c r="AH89" s="190">
        <f>+(SUMIF('TB Mar18'!$E:$E,AH$4&amp;$C89,'TB Mar18'!$AB:$AB)*-1)-HLOOKUP(AH$4,'Sep 2017 HY'!$3:$88,86,0)</f>
        <v>-2.5818299999999999E-4</v>
      </c>
      <c r="AI89" s="190">
        <f>+(SUMIF('TB Mar18'!$E:$E,AI$4&amp;$C89,'TB Mar18'!$AB:$AB)*-1)-HLOOKUP(AI$4,'Sep 2017 HY'!$3:$88,86,0)</f>
        <v>-1.15256E-4</v>
      </c>
      <c r="AJ89" s="190">
        <f>+(SUMIF('TB Mar18'!$E:$E,AJ$4&amp;$C89,'TB Mar18'!$AB:$AB)*-1)-HLOOKUP(AJ$4,'Sep 2017 HY'!$3:$88,86,0)</f>
        <v>0</v>
      </c>
      <c r="AK89" s="190">
        <f>+(SUMIF('TB Mar18'!$E:$E,AK$4&amp;$C89,'TB Mar18'!$AB:$AB)*-1)-HLOOKUP(AK$4,'Sep 2017 HY'!$3:$88,86,0)</f>
        <v>0</v>
      </c>
      <c r="AL89" s="190">
        <f>+(SUMIF('TB Mar18'!$E:$E,AL$4&amp;$C89,'TB Mar18'!$AB:$AB)*-1)-HLOOKUP(AL$4,'Sep 2017 HY'!$3:$88,86,0)</f>
        <v>0</v>
      </c>
      <c r="AM89" s="190">
        <f>+(SUMIF('TB Mar18'!$E:$E,AM$4&amp;$C89,'TB Mar18'!$AB:$AB)*-1)-HLOOKUP(AM$4,'Sep 2017 HY'!$3:$88,86,0)</f>
        <v>-2.603000000000002E-6</v>
      </c>
      <c r="AN89" s="190">
        <f>+(SUMIF('TB Mar18'!$E:$E,AN$4&amp;$C89,'TB Mar18'!$AB:$AB)*-1)-HLOOKUP(AN$4,'Sep 2017 HY'!$3:$88,86,0)</f>
        <v>0</v>
      </c>
      <c r="AO89" s="190">
        <f>+(SUMIF('TB Mar18'!$E:$E,AO$4&amp;$C89,'TB Mar18'!$AB:$AB)*-1)-HLOOKUP(AO$4,'Sep 2017 HY'!$3:$88,86,0)</f>
        <v>-2.4124089999999999E-3</v>
      </c>
      <c r="AP89" s="190">
        <f>+(SUMIF('TB Mar18'!$E:$E,AP$4&amp;$C89,'TB Mar18'!$AB:$AB)*-1)-HLOOKUP(AP$4,'Sep 2017 HY'!$3:$88,86,0)</f>
        <v>2.9899999999999832E-7</v>
      </c>
      <c r="AQ89" s="190">
        <f>+(SUMIF('TB Mar18'!$E:$E,AQ$4&amp;$C89,'TB Mar18'!$AB:$AB)*-1)-HLOOKUP(AQ$4,'Sep 2017 HY'!$3:$88,86,0)</f>
        <v>0.11436010000000001</v>
      </c>
      <c r="AR89" s="190">
        <f>+(SUMIF('TB Mar18'!$E:$E,AR$4&amp;$C89,'TB Mar18'!$AB:$AB)*-1)-HLOOKUP(AR$4,'Sep 2017 HY'!$3:$88,86,0)</f>
        <v>5.6074992000000004E-2</v>
      </c>
      <c r="AS89" s="190">
        <f>+(SUMIF('TB Mar18'!$E:$E,AS$4&amp;$C89,'TB Mar18'!$AB:$AB)*-1)-HLOOKUP(AS$4,'Sep 2017 HY'!$3:$88,86,0)</f>
        <v>-1.5733399999999999E-4</v>
      </c>
      <c r="AT89" s="190">
        <f>+(SUMIF('TB Mar18'!$E:$E,AT$4&amp;$C89,'TB Mar18'!$AB:$AB)*-1)-HLOOKUP(AT$4,'Sep 2017 HY'!$3:$88,86,0)</f>
        <v>-2.7550000000000007E-6</v>
      </c>
      <c r="AU89" s="190">
        <f>+(SUMIF('TB Mar18'!$E:$E,AU$4&amp;$C89,'TB Mar18'!$AB:$AB)*-1)-HLOOKUP(AU$4,'Sep 2017 HY'!$3:$88,86,0)</f>
        <v>-7.5470999999999996E-5</v>
      </c>
      <c r="AV89" s="190">
        <f>+(SUMIF('TB Mar18'!$E:$E,AV$4&amp;$C89,'TB Mar18'!$AB:$AB)*-1)-HLOOKUP(AV$4,'Sep 2017 HY'!$3:$88,86,0)</f>
        <v>9.2668999999999976E-5</v>
      </c>
      <c r="AW89" s="190">
        <f>+(SUMIF('TB Mar18'!$E:$E,AW$4&amp;$C89,'TB Mar18'!$AB:$AB)*-1)-HLOOKUP(AW$4,'Sep 2017 HY'!$3:$88,86,0)</f>
        <v>7.8751999999999967E-5</v>
      </c>
      <c r="AX89" s="191">
        <f>+(SUMIF('TB Mar18'!$E:$E,AX$4&amp;$C89,'TB Mar18'!$AB:$AB)*-1)-HLOOKUP(AX$4,'Sep 2017 HY'!$3:$88,86,0)</f>
        <v>7.4302000000000049E-5</v>
      </c>
    </row>
    <row r="90" spans="1:54" ht="12.75" customHeight="1">
      <c r="C90" s="179"/>
      <c r="D90" s="171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2"/>
      <c r="Q90" s="192"/>
      <c r="R90" s="192"/>
      <c r="S90" s="192"/>
      <c r="T90" s="192"/>
      <c r="U90" s="192"/>
      <c r="V90" s="192"/>
      <c r="W90" s="192"/>
      <c r="X90" s="192"/>
      <c r="Y90" s="192"/>
      <c r="Z90" s="192"/>
      <c r="AA90" s="192"/>
      <c r="AB90" s="192"/>
      <c r="AC90" s="192"/>
      <c r="AD90" s="192"/>
      <c r="AE90" s="192"/>
      <c r="AF90" s="192"/>
      <c r="AG90" s="192"/>
      <c r="AH90" s="192"/>
      <c r="AI90" s="192"/>
      <c r="AJ90" s="192"/>
      <c r="AK90" s="192"/>
      <c r="AL90" s="192"/>
      <c r="AM90" s="192"/>
      <c r="AN90" s="192"/>
      <c r="AO90" s="192"/>
      <c r="AP90" s="192"/>
      <c r="AQ90" s="192"/>
      <c r="AR90" s="192"/>
      <c r="AS90" s="192"/>
      <c r="AT90" s="192"/>
      <c r="AU90" s="192"/>
      <c r="AV90" s="192"/>
      <c r="AW90" s="192"/>
      <c r="AX90" s="193"/>
    </row>
    <row r="91" spans="1:54" s="49" customFormat="1" ht="12.75" customHeight="1">
      <c r="A91" s="300"/>
      <c r="B91" s="300"/>
      <c r="C91" s="179">
        <v>5.6</v>
      </c>
      <c r="D91" s="171" t="s">
        <v>148</v>
      </c>
      <c r="E91" s="192">
        <f>+E83+E84+E85+E89</f>
        <v>14.374644872999994</v>
      </c>
      <c r="F91" s="192">
        <f t="shared" ref="F91:AX91" si="1">+F83+F84+F85+F89</f>
        <v>9.9370271859999892</v>
      </c>
      <c r="G91" s="192">
        <f t="shared" si="1"/>
        <v>14.699755837000009</v>
      </c>
      <c r="H91" s="192">
        <f t="shared" si="1"/>
        <v>12.825831177999996</v>
      </c>
      <c r="I91" s="192">
        <f t="shared" si="1"/>
        <v>4.7113268420000018</v>
      </c>
      <c r="J91" s="192">
        <f t="shared" si="1"/>
        <v>5.3546188460000019</v>
      </c>
      <c r="K91" s="192">
        <f t="shared" si="1"/>
        <v>6.9579035170000578</v>
      </c>
      <c r="L91" s="192">
        <f t="shared" si="1"/>
        <v>0.2438143269999748</v>
      </c>
      <c r="M91" s="192">
        <f t="shared" si="1"/>
        <v>0.33202051499999979</v>
      </c>
      <c r="N91" s="192">
        <f t="shared" si="1"/>
        <v>472.99062707500008</v>
      </c>
      <c r="O91" s="192">
        <f t="shared" si="1"/>
        <v>0.83462005599999978</v>
      </c>
      <c r="P91" s="192">
        <f t="shared" si="1"/>
        <v>2.2701637510000001</v>
      </c>
      <c r="Q91" s="192">
        <f t="shared" si="1"/>
        <v>117.27373681999984</v>
      </c>
      <c r="R91" s="192">
        <f t="shared" si="1"/>
        <v>7.3460964209999249</v>
      </c>
      <c r="S91" s="192">
        <f t="shared" si="1"/>
        <v>1.4313386670000001</v>
      </c>
      <c r="T91" s="192">
        <f t="shared" si="1"/>
        <v>4.3144629000000004E-2</v>
      </c>
      <c r="U91" s="192">
        <f t="shared" ref="U91" si="2">+U83+U84+U85+U89</f>
        <v>0.13688663700000003</v>
      </c>
      <c r="V91" s="192">
        <f t="shared" ref="V91:W91" si="3">+V83+V84+V85+V89</f>
        <v>8.0027778999999993E-2</v>
      </c>
      <c r="W91" s="192">
        <f t="shared" si="3"/>
        <v>6.7843681000000031E-2</v>
      </c>
      <c r="X91" s="192">
        <f t="shared" si="1"/>
        <v>-1.36E-7</v>
      </c>
      <c r="Y91" s="192">
        <f t="shared" si="1"/>
        <v>-2.2700000000000001E-7</v>
      </c>
      <c r="Z91" s="192">
        <f t="shared" si="1"/>
        <v>-6.5E-8</v>
      </c>
      <c r="AA91" s="192">
        <f t="shared" si="1"/>
        <v>0.55805095700000018</v>
      </c>
      <c r="AB91" s="192">
        <f t="shared" si="1"/>
        <v>-2.2100000000000001E-7</v>
      </c>
      <c r="AC91" s="192">
        <f t="shared" si="1"/>
        <v>-1.3832299630000036</v>
      </c>
      <c r="AD91" s="192">
        <f t="shared" si="1"/>
        <v>-0.15156586500000196</v>
      </c>
      <c r="AE91" s="192">
        <f t="shared" si="1"/>
        <v>-6.7645304999998809E-2</v>
      </c>
      <c r="AF91" s="192">
        <f t="shared" si="1"/>
        <v>-1.0759019600000019</v>
      </c>
      <c r="AG91" s="192">
        <f t="shared" si="1"/>
        <v>-1.4535631630000001</v>
      </c>
      <c r="AH91" s="192">
        <f t="shared" si="1"/>
        <v>-2.6629339289999963</v>
      </c>
      <c r="AI91" s="192">
        <f t="shared" si="1"/>
        <v>-4.2188230330000005</v>
      </c>
      <c r="AJ91" s="192">
        <f t="shared" si="1"/>
        <v>1.8540949520000078</v>
      </c>
      <c r="AK91" s="192">
        <f t="shared" ref="AK91" si="4">+AK83+AK84+AK85+AK89</f>
        <v>0.30608317300005394</v>
      </c>
      <c r="AL91" s="192">
        <f t="shared" ref="AL91:AM91" si="5">+AL83+AL84+AL85+AL89</f>
        <v>0.52491389299992719</v>
      </c>
      <c r="AM91" s="192">
        <f t="shared" si="5"/>
        <v>4.0799142879999994</v>
      </c>
      <c r="AN91" s="192">
        <f t="shared" ref="AN91" si="6">+AN83+AN84+AN85+AN89</f>
        <v>0.33488407099999318</v>
      </c>
      <c r="AO91" s="192">
        <f t="shared" si="1"/>
        <v>2.8136852250000062</v>
      </c>
      <c r="AP91" s="192">
        <f t="shared" ref="AP91" si="7">+AP83+AP84+AP85+AP89</f>
        <v>5.1450406580000001</v>
      </c>
      <c r="AQ91" s="192">
        <f t="shared" si="1"/>
        <v>13.165713475000004</v>
      </c>
      <c r="AR91" s="192">
        <f t="shared" si="1"/>
        <v>2.2984180390000009</v>
      </c>
      <c r="AS91" s="192">
        <f t="shared" si="1"/>
        <v>1.4641577530000609</v>
      </c>
      <c r="AT91" s="192">
        <f t="shared" si="1"/>
        <v>0.88654830599999979</v>
      </c>
      <c r="AU91" s="192">
        <f t="shared" si="1"/>
        <v>0.62527368100000091</v>
      </c>
      <c r="AV91" s="192">
        <f t="shared" si="1"/>
        <v>3.0954385149999988</v>
      </c>
      <c r="AW91" s="192">
        <f t="shared" si="1"/>
        <v>1.1458801279999991</v>
      </c>
      <c r="AX91" s="193">
        <f t="shared" si="1"/>
        <v>2.003883474999999</v>
      </c>
      <c r="AZ91" s="301">
        <v>818.95981228199992</v>
      </c>
    </row>
    <row r="92" spans="1:54" ht="12.75" customHeight="1">
      <c r="C92" s="179"/>
      <c r="D92" s="171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94"/>
      <c r="S92" s="194"/>
      <c r="T92" s="194"/>
      <c r="U92" s="194"/>
      <c r="V92" s="194"/>
      <c r="W92" s="194"/>
      <c r="X92" s="171"/>
      <c r="Y92" s="171"/>
      <c r="Z92" s="171"/>
      <c r="AA92" s="171"/>
      <c r="AB92" s="194"/>
      <c r="AC92" s="194"/>
      <c r="AD92" s="171"/>
      <c r="AE92" s="171"/>
      <c r="AF92" s="171"/>
      <c r="AG92" s="171"/>
      <c r="AH92" s="194"/>
      <c r="AI92" s="194"/>
      <c r="AJ92" s="194"/>
      <c r="AK92" s="194"/>
      <c r="AL92" s="194"/>
      <c r="AM92" s="194"/>
      <c r="AN92" s="194"/>
      <c r="AO92" s="194"/>
      <c r="AP92" s="194"/>
      <c r="AQ92" s="194"/>
      <c r="AR92" s="194"/>
      <c r="AS92" s="194"/>
      <c r="AT92" s="194"/>
      <c r="AU92" s="194"/>
      <c r="AV92" s="194"/>
      <c r="AW92" s="194"/>
      <c r="AX92" s="195"/>
    </row>
    <row r="93" spans="1:54" ht="12.75" customHeight="1">
      <c r="C93" s="179"/>
      <c r="D93" s="188" t="s">
        <v>149</v>
      </c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  <c r="S93" s="170"/>
      <c r="T93" s="170"/>
      <c r="U93" s="170"/>
      <c r="V93" s="170"/>
      <c r="W93" s="170"/>
      <c r="X93" s="171"/>
      <c r="Y93" s="171"/>
      <c r="Z93" s="171"/>
      <c r="AA93" s="171"/>
      <c r="AB93" s="194"/>
      <c r="AC93" s="194"/>
      <c r="AD93" s="171"/>
      <c r="AE93" s="171"/>
      <c r="AF93" s="171"/>
      <c r="AG93" s="171"/>
      <c r="AH93" s="194"/>
      <c r="AI93" s="194"/>
      <c r="AJ93" s="170"/>
      <c r="AK93" s="170"/>
      <c r="AL93" s="170"/>
      <c r="AM93" s="170"/>
      <c r="AN93" s="170"/>
      <c r="AO93" s="194"/>
      <c r="AP93" s="170"/>
      <c r="AQ93" s="194"/>
      <c r="AR93" s="194"/>
      <c r="AS93" s="194"/>
      <c r="AT93" s="194"/>
      <c r="AU93" s="194"/>
      <c r="AV93" s="194"/>
      <c r="AW93" s="194"/>
      <c r="AX93" s="195"/>
    </row>
    <row r="94" spans="1:54" ht="12" customHeight="1">
      <c r="C94" s="179">
        <v>6.1</v>
      </c>
      <c r="D94" s="171" t="s">
        <v>150</v>
      </c>
      <c r="E94" s="302">
        <f>SUMIF('TB Mar18'!$D:$D,E$4&amp;$C94,'TB Mar18'!$AB:$AB)-HLOOKUP(E$4,'Sep 2017 HY'!$3:$93,91,0)</f>
        <v>2.3807958150000004</v>
      </c>
      <c r="F94" s="302">
        <f>SUMIF('TB Mar18'!$D:$D,F$4&amp;$C94,'TB Mar18'!$AB:$AB)-HLOOKUP(F$4,'Sep 2017 HY'!$3:$93,91,0)</f>
        <v>1.4007155049999993</v>
      </c>
      <c r="G94" s="302">
        <f>SUMIF('TB Mar18'!$D:$D,G$4&amp;$C94,'TB Mar18'!$AB:$AB)-HLOOKUP(G$4,'Sep 2017 HY'!$3:$93,91,0)</f>
        <v>3.5999193479999998</v>
      </c>
      <c r="H94" s="302">
        <f>SUMIF('TB Mar18'!$D:$D,H$4&amp;$C94,'TB Mar18'!$AB:$AB)-HLOOKUP(H$4,'Sep 2017 HY'!$3:$93,91,0)</f>
        <v>2.3116169080000004</v>
      </c>
      <c r="I94" s="302">
        <f>SUMIF('TB Mar18'!$D:$D,I$4&amp;$C94,'TB Mar18'!$AB:$AB)-HLOOKUP(I$4,'Sep 2017 HY'!$3:$93,91,0)</f>
        <v>1.2698010699999998</v>
      </c>
      <c r="J94" s="302">
        <f>SUMIF('TB Mar18'!$D:$D,J$4&amp;$C94,'TB Mar18'!$AB:$AB)-HLOOKUP(J$4,'Sep 2017 HY'!$3:$93,91,0)</f>
        <v>1.1727152429999996</v>
      </c>
      <c r="K94" s="302">
        <f>SUMIF('TB Mar18'!$D:$D,K$4&amp;$C94,'TB Mar18'!$AB:$AB)-HLOOKUP(K$4,'Sep 2017 HY'!$3:$93,91,0)</f>
        <v>1.3746003399999993</v>
      </c>
      <c r="L94" s="302">
        <f>SUMIF('TB Mar18'!$D:$D,L$4&amp;$C94,'TB Mar18'!$AB:$AB)-HLOOKUP(L$4,'Sep 2017 HY'!$3:$93,91,0)</f>
        <v>0.72453289900000006</v>
      </c>
      <c r="M94" s="302">
        <f>SUMIF('TB Mar18'!$D:$D,M$4&amp;$C94,'TB Mar18'!$AB:$AB)-HLOOKUP(M$4,'Sep 2017 HY'!$3:$93,91,0)</f>
        <v>0.14140748000000003</v>
      </c>
      <c r="N94" s="302">
        <f>SUMIF('TB Mar18'!$D:$D,N$4&amp;$C94,'TB Mar18'!$AB:$AB)-HLOOKUP(N$4,'Sep 2017 HY'!$3:$93,91,0)</f>
        <v>4.800115627000002</v>
      </c>
      <c r="O94" s="302">
        <f>SUMIF('TB Mar18'!$D:$D,O$4&amp;$C94,'TB Mar18'!$AB:$AB)-HLOOKUP(O$4,'Sep 2017 HY'!$3:$93,91,0)</f>
        <v>8.8773053000000005E-2</v>
      </c>
      <c r="P94" s="302">
        <f>SUMIF('TB Mar18'!$D:$D,P$4&amp;$C94,'TB Mar18'!$AB:$AB)-HLOOKUP(P$4,'Sep 2017 HY'!$3:$93,91,0)</f>
        <v>6.713953899999997E-2</v>
      </c>
      <c r="Q94" s="302">
        <f>SUMIF('TB Mar18'!$D:$D,Q$4&amp;$C94,'TB Mar18'!$AB:$AB)-HLOOKUP(Q$4,'Sep 2017 HY'!$3:$93,91,0)</f>
        <v>4.2762593530000004</v>
      </c>
      <c r="R94" s="302">
        <f>SUMIF('TB Mar18'!$D:$D,R$4&amp;$C94,'TB Mar18'!$AB:$AB)-HLOOKUP(R$4,'Sep 2017 HY'!$3:$93,91,0)</f>
        <v>0.5314534240000004</v>
      </c>
      <c r="S94" s="302">
        <f>SUMIF('TB Mar18'!$D:$D,S$4&amp;$C94,'TB Mar18'!$AB:$AB)-HLOOKUP(S$4,'Sep 2017 HY'!$3:$93,91,0)</f>
        <v>0.62775750000000008</v>
      </c>
      <c r="T94" s="302">
        <f>(SUMIF('TB Mar18'!$D:$D,T$4&amp;$C94,'TB Mar18'!$AB:$AB)-HLOOKUP(T$4,'Sep 2017 HY'!$3:$93,91,0))*0</f>
        <v>0</v>
      </c>
      <c r="U94" s="302">
        <f>(SUMIF('TB Mar18'!$D:$D,U$4&amp;$C94,'TB Mar18'!$AB:$AB)-HLOOKUP(U$4,'Sep 2017 HY'!$3:$93,91,0))*0</f>
        <v>0</v>
      </c>
      <c r="V94" s="302">
        <f>(SUMIF('TB Mar18'!$D:$D,V$4&amp;$C94,'TB Mar18'!$AB:$AB)-HLOOKUP(V$4,'Sep 2017 HY'!$3:$93,91,0))*0</f>
        <v>0</v>
      </c>
      <c r="W94" s="302">
        <f>(SUMIF('TB Mar18'!$D:$D,W$4&amp;$C94,'TB Mar18'!$AB:$AB)-HLOOKUP(W$4,'Sep 2017 HY'!$3:$93,91,0))*0</f>
        <v>0</v>
      </c>
      <c r="X94" s="302" t="e">
        <f>SUMIF('TB Mar18'!$D:$D,X$4&amp;$C94,'TB Mar18'!$AB:$AB)-HLOOKUP(X$4,'Sep 2017 HY'!$3:$93,91,0)</f>
        <v>#VALUE!</v>
      </c>
      <c r="Y94" s="302" t="e">
        <f>SUMIF('TB Mar18'!$D:$D,Y$4&amp;$C94,'TB Mar18'!$AB:$AB)-HLOOKUP(Y$4,'Sep 2017 HY'!$3:$93,91,0)</f>
        <v>#VALUE!</v>
      </c>
      <c r="Z94" s="302" t="e">
        <f>SUMIF('TB Mar18'!$D:$D,Z$4&amp;$C94,'TB Mar18'!$AB:$AB)-HLOOKUP(Z$4,'Sep 2017 HY'!$3:$93,91,0)</f>
        <v>#VALUE!</v>
      </c>
      <c r="AA94" s="302">
        <f>SUMIF('TB Mar18'!$D:$D,AA$4&amp;$C94,'TB Mar18'!$AB:$AB)-HLOOKUP(AA$4,'Sep 2017 HY'!$3:$93,91,0)</f>
        <v>0.198589659</v>
      </c>
      <c r="AB94" s="302" t="e">
        <f>SUMIF('TB Mar18'!$D:$D,AB$4&amp;$C94,'TB Mar18'!$AB:$AB)-HLOOKUP(AB$4,'Sep 2017 HY'!$3:$93,91,0)</f>
        <v>#VALUE!</v>
      </c>
      <c r="AC94" s="302">
        <f>SUMIF('TB Mar18'!$D:$D,AC$4&amp;$C94,'TB Mar18'!$AB:$AB)-HLOOKUP(AC$4,'Sep 2017 HY'!$3:$93,91,0)</f>
        <v>-0.14233426700000001</v>
      </c>
      <c r="AD94" s="302">
        <f>SUMIF('TB Mar18'!$D:$D,AD$4&amp;$C94,'TB Mar18'!$AB:$AB)-HLOOKUP(AD$4,'Sep 2017 HY'!$3:$93,91,0)</f>
        <v>-5.5388970000000001E-3</v>
      </c>
      <c r="AE94" s="302">
        <f>SUMIF('TB Mar18'!$D:$D,AE$4&amp;$C94,'TB Mar18'!$AB:$AB)-HLOOKUP(AE$4,'Sep 2017 HY'!$3:$93,91,0)</f>
        <v>-2.1749630000000002E-3</v>
      </c>
      <c r="AF94" s="302">
        <f>SUMIF('TB Mar18'!$D:$D,AF$4&amp;$C94,'TB Mar18'!$AB:$AB)-HLOOKUP(AF$4,'Sep 2017 HY'!$3:$93,91,0)</f>
        <v>-2.8586909999999997E-2</v>
      </c>
      <c r="AG94" s="302">
        <f>SUMIF('TB Mar18'!$D:$D,AG$4&amp;$C94,'TB Mar18'!$AB:$AB)-HLOOKUP(AG$4,'Sep 2017 HY'!$3:$93,91,0)</f>
        <v>-5.1685465999999999E-2</v>
      </c>
      <c r="AH94" s="302">
        <f>SUMIF('TB Mar18'!$D:$D,AH$4&amp;$C94,'TB Mar18'!$AB:$AB)-HLOOKUP(AH$4,'Sep 2017 HY'!$3:$93,91,0)</f>
        <v>-0.48437023700000009</v>
      </c>
      <c r="AI94" s="302">
        <f>SUMIF('TB Mar18'!$D:$D,AI$4&amp;$C94,'TB Mar18'!$AB:$AB)-HLOOKUP(AI$4,'Sep 2017 HY'!$3:$93,91,0)</f>
        <v>-0.71233621800000002</v>
      </c>
      <c r="AJ94" s="302">
        <f>SUMIF('TB Mar18'!$D:$D,AJ$4&amp;$C94,'TB Mar18'!$AB:$AB)-HLOOKUP(AJ$4,'Sep 2017 HY'!$3:$93,91,0)</f>
        <v>0.16131934999999997</v>
      </c>
      <c r="AK94" s="302">
        <f>SUMIF('TB Mar18'!$D:$D,AK$4&amp;$C94,'TB Mar18'!$AB:$AB)-HLOOKUP(AK$4,'Sep 2017 HY'!$3:$93,91,0)</f>
        <v>7.3705389999999954E-3</v>
      </c>
      <c r="AL94" s="302">
        <f>SUMIF('TB Mar18'!$D:$D,AL$4&amp;$C94,'TB Mar18'!$AB:$AB)-HLOOKUP(AL$4,'Sep 2017 HY'!$3:$93,91,0)</f>
        <v>1.3811990999999996E-2</v>
      </c>
      <c r="AM94" s="302">
        <f>SUMIF('TB Mar18'!$D:$D,AM$4&amp;$C94,'TB Mar18'!$AB:$AB)-HLOOKUP(AM$4,'Sep 2017 HY'!$3:$93,91,0)</f>
        <v>0.13989205700000007</v>
      </c>
      <c r="AN94" s="302">
        <f>SUMIF('TB Mar18'!$D:$D,AN$4&amp;$C94,'TB Mar18'!$AB:$AB)-HLOOKUP(AN$4,'Sep 2017 HY'!$3:$93,91,0)</f>
        <v>2.4981089999999984E-3</v>
      </c>
      <c r="AO94" s="302">
        <f>SUMIF('TB Mar18'!$D:$D,AO$4&amp;$C94,'TB Mar18'!$AB:$AB)-HLOOKUP(AO$4,'Sep 2017 HY'!$3:$93,91,0)</f>
        <v>6.2890608000000001E-2</v>
      </c>
      <c r="AP94" s="302">
        <f>SUMIF('TB Mar18'!$D:$D,AP$4&amp;$C94,'TB Mar18'!$AB:$AB)-HLOOKUP(AP$4,'Sep 2017 HY'!$3:$93,91,0)</f>
        <v>0.37139684399999995</v>
      </c>
      <c r="AQ94" s="302">
        <f>SUMIF('TB Mar18'!$D:$D,AQ$4&amp;$C94,'TB Mar18'!$AB:$AB)-HLOOKUP(AQ$4,'Sep 2017 HY'!$3:$93,91,0)</f>
        <v>0.98591718700000031</v>
      </c>
      <c r="AR94" s="302">
        <f>SUMIF('TB Mar18'!$D:$D,AR$4&amp;$C94,'TB Mar18'!$AB:$AB)-HLOOKUP(AR$4,'Sep 2017 HY'!$3:$93,91,0)</f>
        <v>0.65932915100000011</v>
      </c>
      <c r="AS94" s="302">
        <f>SUMIF('TB Mar18'!$D:$D,AS$4&amp;$C94,'TB Mar18'!$AB:$AB)-HLOOKUP(AS$4,'Sep 2017 HY'!$3:$93,91,0)</f>
        <v>0.32150406900000011</v>
      </c>
      <c r="AT94" s="302">
        <f>SUMIF('TB Mar18'!$D:$D,AT$4&amp;$C94,'TB Mar18'!$AB:$AB)-HLOOKUP(AT$4,'Sep 2017 HY'!$3:$93,91,0)</f>
        <v>0.22312786199999998</v>
      </c>
      <c r="AU94" s="302">
        <f>SUMIF('TB Mar18'!$D:$D,AU$4&amp;$C94,'TB Mar18'!$AB:$AB)-HLOOKUP(AU$4,'Sep 2017 HY'!$3:$93,91,0)</f>
        <v>0.16431451000000002</v>
      </c>
      <c r="AV94" s="302">
        <f>SUMIF('TB Mar18'!$D:$D,AV$4&amp;$C94,'TB Mar18'!$AB:$AB)-HLOOKUP(AV$4,'Sep 2017 HY'!$3:$93,91,0)</f>
        <v>0.11852059700000001</v>
      </c>
      <c r="AW94" s="302">
        <f>SUMIF('TB Mar18'!$D:$D,AW$4&amp;$C94,'TB Mar18'!$AB:$AB)-HLOOKUP(AW$4,'Sep 2017 HY'!$3:$93,91,0)</f>
        <v>7.5084745999999994E-2</v>
      </c>
      <c r="AX94" s="303">
        <f>SUMIF('TB Mar18'!$D:$D,AX$4&amp;$C94,'TB Mar18'!$AB:$AB)-HLOOKUP(AX$4,'Sep 2017 HY'!$3:$93,91,0)</f>
        <v>0.31449136199999994</v>
      </c>
      <c r="AZ94" s="22"/>
    </row>
    <row r="95" spans="1:54" ht="12.75" customHeight="1">
      <c r="C95" s="179">
        <v>6.2</v>
      </c>
      <c r="D95" s="171" t="s">
        <v>151</v>
      </c>
      <c r="E95" s="302">
        <f>SUMIF('TB Mar18'!$D:$D,E$4&amp;$C95,'TB Mar18'!$AB:$AB)-HLOOKUP(E$4,'Sep 2017 HY'!$3:$94,92,0)</f>
        <v>1.7547540000000003E-3</v>
      </c>
      <c r="F95" s="302">
        <f>SUMIF('TB Mar18'!$D:$D,F$4&amp;$C95,'TB Mar18'!$AB:$AB)-HLOOKUP(F$4,'Sep 2017 HY'!$3:$94,92,0)</f>
        <v>1.820629E-3</v>
      </c>
      <c r="G95" s="302">
        <f>SUMIF('TB Mar18'!$D:$D,G$4&amp;$C95,'TB Mar18'!$AB:$AB)-HLOOKUP(G$4,'Sep 2017 HY'!$3:$94,92,0)</f>
        <v>2.5360019999999999E-3</v>
      </c>
      <c r="H95" s="302">
        <f>SUMIF('TB Mar18'!$D:$D,H$4&amp;$C95,'TB Mar18'!$AB:$AB)-HLOOKUP(H$4,'Sep 2017 HY'!$3:$94,92,0)</f>
        <v>1.6282400000000004E-3</v>
      </c>
      <c r="I95" s="302">
        <f>SUMIF('TB Mar18'!$D:$D,I$4&amp;$C95,'TB Mar18'!$AB:$AB)-HLOOKUP(I$4,'Sep 2017 HY'!$3:$94,92,0)</f>
        <v>9.5280200000000021E-4</v>
      </c>
      <c r="J95" s="302">
        <f>SUMIF('TB Mar18'!$D:$D,J$4&amp;$C95,'TB Mar18'!$AB:$AB)-HLOOKUP(J$4,'Sep 2017 HY'!$3:$94,92,0)</f>
        <v>7.9642299999999988E-4</v>
      </c>
      <c r="K95" s="302">
        <f>SUMIF('TB Mar18'!$D:$D,K$4&amp;$C95,'TB Mar18'!$AB:$AB)-HLOOKUP(K$4,'Sep 2017 HY'!$3:$94,92,0)</f>
        <v>3.4061789999999996E-3</v>
      </c>
      <c r="L95" s="302">
        <f>SUMIF('TB Mar18'!$D:$D,L$4&amp;$C95,'TB Mar18'!$AB:$AB)-HLOOKUP(L$4,'Sep 2017 HY'!$3:$94,92,0)</f>
        <v>6.3674899999999993E-4</v>
      </c>
      <c r="M95" s="302">
        <f>SUMIF('TB Mar18'!$D:$D,M$4&amp;$C95,'TB Mar18'!$AB:$AB)-HLOOKUP(M$4,'Sep 2017 HY'!$3:$94,92,0)</f>
        <v>1.6263300000000003E-4</v>
      </c>
      <c r="N95" s="302">
        <f>SUMIF('TB Mar18'!$D:$D,N$4&amp;$C95,'TB Mar18'!$AB:$AB)-HLOOKUP(N$4,'Sep 2017 HY'!$3:$94,92,0)</f>
        <v>0.10483334799999999</v>
      </c>
      <c r="O95" s="302">
        <f>SUMIF('TB Mar18'!$D:$D,O$4&amp;$C95,'TB Mar18'!$AB:$AB)-HLOOKUP(O$4,'Sep 2017 HY'!$3:$94,92,0)</f>
        <v>1.0506800000000002E-4</v>
      </c>
      <c r="P95" s="302">
        <f>SUMIF('TB Mar18'!$D:$D,P$4&amp;$C95,'TB Mar18'!$AB:$AB)-HLOOKUP(P$4,'Sep 2017 HY'!$3:$94,92,0)</f>
        <v>1.5483600000000005E-4</v>
      </c>
      <c r="Q95" s="302">
        <f>SUMIF('TB Mar18'!$D:$D,Q$4&amp;$C95,'TB Mar18'!$AB:$AB)-HLOOKUP(Q$4,'Sep 2017 HY'!$3:$94,92,0)</f>
        <v>2.3214156999999999E-2</v>
      </c>
      <c r="R95" s="302">
        <f>SUMIF('TB Mar18'!$D:$D,R$4&amp;$C95,'TB Mar18'!$AB:$AB)-HLOOKUP(R$4,'Sep 2017 HY'!$3:$94,92,0)</f>
        <v>1.7550059999999999E-3</v>
      </c>
      <c r="S95" s="302">
        <f>SUMIF('TB Mar18'!$D:$D,S$4&amp;$C95,'TB Mar18'!$AB:$AB)-HLOOKUP(S$4,'Sep 2017 HY'!$3:$94,92,0)</f>
        <v>4.8359499999999997E-4</v>
      </c>
      <c r="T95" s="302">
        <f>SUMIF('TB Mar18'!$D:$D,T$4&amp;$C95,'TB Mar18'!$AB:$AB)-HLOOKUP(T$4,'Sep 2017 HY'!$3:$94,92,0)</f>
        <v>2.0422999999999997E-5</v>
      </c>
      <c r="U95" s="302">
        <f>SUMIF('TB Mar18'!$D:$D,U$4&amp;$C95,'TB Mar18'!$AB:$AB)-HLOOKUP(U$4,'Sep 2017 HY'!$3:$94,92,0)</f>
        <v>6.7322000000000004E-5</v>
      </c>
      <c r="V95" s="302">
        <f>SUMIF('TB Mar18'!$D:$D,V$4&amp;$C95,'TB Mar18'!$AB:$AB)-HLOOKUP(V$4,'Sep 2017 HY'!$3:$94,92,0)</f>
        <v>3.3998000000000002E-5</v>
      </c>
      <c r="W95" s="302">
        <f>SUMIF('TB Mar18'!$D:$D,W$4&amp;$C95,'TB Mar18'!$AB:$AB)-HLOOKUP(W$4,'Sep 2017 HY'!$3:$94,92,0)</f>
        <v>3.3327000000000001E-5</v>
      </c>
      <c r="X95" s="302" t="e">
        <f>SUMIF('TB Mar18'!$D:$D,X$4&amp;$C95,'TB Mar18'!$AB:$AB)-HLOOKUP(X$4,'Sep 2017 HY'!$3:$94,92,0)</f>
        <v>#VALUE!</v>
      </c>
      <c r="Y95" s="302" t="e">
        <f>SUMIF('TB Mar18'!$D:$D,Y$4&amp;$C95,'TB Mar18'!$AB:$AB)-HLOOKUP(Y$4,'Sep 2017 HY'!$3:$94,92,0)</f>
        <v>#VALUE!</v>
      </c>
      <c r="Z95" s="302" t="e">
        <f>SUMIF('TB Mar18'!$D:$D,Z$4&amp;$C95,'TB Mar18'!$AB:$AB)-HLOOKUP(Z$4,'Sep 2017 HY'!$3:$94,92,0)</f>
        <v>#VALUE!</v>
      </c>
      <c r="AA95" s="302">
        <f>SUMIF('TB Mar18'!$D:$D,AA$4&amp;$C95,'TB Mar18'!$AB:$AB)-HLOOKUP(AA$4,'Sep 2017 HY'!$3:$94,92,0)</f>
        <v>1.3653200000000003E-4</v>
      </c>
      <c r="AB95" s="302" t="e">
        <f>SUMIF('TB Mar18'!$D:$D,AB$4&amp;$C95,'TB Mar18'!$AB:$AB)-HLOOKUP(AB$4,'Sep 2017 HY'!$3:$94,92,0)</f>
        <v>#VALUE!</v>
      </c>
      <c r="AC95" s="302">
        <f>SUMIF('TB Mar18'!$D:$D,AC$4&amp;$C95,'TB Mar18'!$AB:$AB)-HLOOKUP(AC$4,'Sep 2017 HY'!$3:$94,92,0)</f>
        <v>-7.9635000000000006E-5</v>
      </c>
      <c r="AD95" s="302">
        <f>SUMIF('TB Mar18'!$D:$D,AD$4&amp;$C95,'TB Mar18'!$AB:$AB)-HLOOKUP(AD$4,'Sep 2017 HY'!$3:$94,92,0)</f>
        <v>-5.4762999999999997E-5</v>
      </c>
      <c r="AE95" s="302">
        <f>SUMIF('TB Mar18'!$D:$D,AE$4&amp;$C95,'TB Mar18'!$AB:$AB)-HLOOKUP(AE$4,'Sep 2017 HY'!$3:$94,92,0)</f>
        <v>-2.4190999999999999E-5</v>
      </c>
      <c r="AF95" s="302">
        <f>SUMIF('TB Mar18'!$D:$D,AF$4&amp;$C95,'TB Mar18'!$AB:$AB)-HLOOKUP(AF$4,'Sep 2017 HY'!$3:$94,92,0)</f>
        <v>-1.6958399999999999E-4</v>
      </c>
      <c r="AG95" s="302">
        <f>SUMIF('TB Mar18'!$D:$D,AG$4&amp;$C95,'TB Mar18'!$AB:$AB)-HLOOKUP(AG$4,'Sep 2017 HY'!$3:$94,92,0)</f>
        <v>-2.5691000000000001E-4</v>
      </c>
      <c r="AH95" s="302">
        <f>SUMIF('TB Mar18'!$D:$D,AH$4&amp;$C95,'TB Mar18'!$AB:$AB)-HLOOKUP(AH$4,'Sep 2017 HY'!$3:$94,92,0)</f>
        <v>-1.15522E-4</v>
      </c>
      <c r="AI95" s="302">
        <f>SUMIF('TB Mar18'!$D:$D,AI$4&amp;$C95,'TB Mar18'!$AB:$AB)-HLOOKUP(AI$4,'Sep 2017 HY'!$3:$94,92,0)</f>
        <v>-1.5537999999999999E-4</v>
      </c>
      <c r="AJ95" s="302">
        <f>SUMIF('TB Mar18'!$D:$D,AJ$4&amp;$C95,'TB Mar18'!$AB:$AB)-HLOOKUP(AJ$4,'Sep 2017 HY'!$3:$94,92,0)</f>
        <v>1.67963E-4</v>
      </c>
      <c r="AK95" s="302">
        <f>SUMIF('TB Mar18'!$D:$D,AK$4&amp;$C95,'TB Mar18'!$AB:$AB)-HLOOKUP(AK$4,'Sep 2017 HY'!$3:$94,92,0)</f>
        <v>2.8187600000000002E-4</v>
      </c>
      <c r="AL95" s="302">
        <f>SUMIF('TB Mar18'!$D:$D,AL$4&amp;$C95,'TB Mar18'!$AB:$AB)-HLOOKUP(AL$4,'Sep 2017 HY'!$3:$94,92,0)</f>
        <v>3.1905699999999998E-4</v>
      </c>
      <c r="AM95" s="302">
        <f>SUMIF('TB Mar18'!$D:$D,AM$4&amp;$C95,'TB Mar18'!$AB:$AB)-HLOOKUP(AM$4,'Sep 2017 HY'!$3:$94,92,0)</f>
        <v>1.6098299999999996E-4</v>
      </c>
      <c r="AN95" s="302">
        <f>SUMIF('TB Mar18'!$D:$D,AN$4&amp;$C95,'TB Mar18'!$AB:$AB)-HLOOKUP(AN$4,'Sep 2017 HY'!$3:$94,92,0)</f>
        <v>1.1556800000000002E-4</v>
      </c>
      <c r="AO95" s="302">
        <f>SUMIF('TB Mar18'!$D:$D,AO$4&amp;$C95,'TB Mar18'!$AB:$AB)-HLOOKUP(AO$4,'Sep 2017 HY'!$3:$94,92,0)</f>
        <v>5.2880099999999997E-4</v>
      </c>
      <c r="AP95" s="302">
        <f>SUMIF('TB Mar18'!$D:$D,AP$4&amp;$C95,'TB Mar18'!$AB:$AB)-HLOOKUP(AP$4,'Sep 2017 HY'!$3:$94,92,0)</f>
        <v>2.2885999999999997E-4</v>
      </c>
      <c r="AQ95" s="302">
        <f>SUMIF('TB Mar18'!$D:$D,AQ$4&amp;$C95,'TB Mar18'!$AB:$AB)-HLOOKUP(AQ$4,'Sep 2017 HY'!$3:$94,92,0)</f>
        <v>1.5720400000000002E-3</v>
      </c>
      <c r="AR95" s="302">
        <f>SUMIF('TB Mar18'!$D:$D,AR$4&amp;$C95,'TB Mar18'!$AB:$AB)-HLOOKUP(AR$4,'Sep 2017 HY'!$3:$94,92,0)</f>
        <v>5.4737099999999995E-4</v>
      </c>
      <c r="AS95" s="302">
        <f>SUMIF('TB Mar18'!$D:$D,AS$4&amp;$C95,'TB Mar18'!$AB:$AB)-HLOOKUP(AS$4,'Sep 2017 HY'!$3:$94,92,0)</f>
        <v>3.716870000000001E-4</v>
      </c>
      <c r="AT95" s="302">
        <f>SUMIF('TB Mar18'!$D:$D,AT$4&amp;$C95,'TB Mar18'!$AB:$AB)-HLOOKUP(AT$4,'Sep 2017 HY'!$3:$94,92,0)</f>
        <v>2.3285099999999998E-4</v>
      </c>
      <c r="AU95" s="302">
        <f>SUMIF('TB Mar18'!$D:$D,AU$4&amp;$C95,'TB Mar18'!$AB:$AB)-HLOOKUP(AU$4,'Sep 2017 HY'!$3:$94,92,0)</f>
        <v>1.7531800000000002E-4</v>
      </c>
      <c r="AV95" s="302">
        <f>SUMIF('TB Mar18'!$D:$D,AV$4&amp;$C95,'TB Mar18'!$AB:$AB)-HLOOKUP(AV$4,'Sep 2017 HY'!$3:$94,92,0)</f>
        <v>3.1419519999999999E-3</v>
      </c>
      <c r="AW95" s="302">
        <f>SUMIF('TB Mar18'!$D:$D,AW$4&amp;$C95,'TB Mar18'!$AB:$AB)-HLOOKUP(AW$4,'Sep 2017 HY'!$3:$94,92,0)</f>
        <v>2.3162290000000004E-3</v>
      </c>
      <c r="AX95" s="303">
        <f>SUMIF('TB Mar18'!$D:$D,AX$4&amp;$C95,'TB Mar18'!$AB:$AB)-HLOOKUP(AX$4,'Sep 2017 HY'!$3:$94,92,0)</f>
        <v>2.0411579999999999E-3</v>
      </c>
    </row>
    <row r="96" spans="1:54" ht="12.75" customHeight="1">
      <c r="C96" s="179">
        <v>6.3</v>
      </c>
      <c r="D96" s="177" t="s">
        <v>152</v>
      </c>
      <c r="E96" s="302">
        <f>SUMIF('TB Mar18'!$E:$E,E$4&amp;$C96,'TB Mar18'!$AB:$AB)-HLOOKUP(E$4,'Sep 2017 HY'!$3:$95,93,0)</f>
        <v>3.2906047249999997</v>
      </c>
      <c r="F96" s="302">
        <f>SUMIF('TB Mar18'!$E:$E,F$4&amp;$C96,'TB Mar18'!$AB:$AB)-HLOOKUP(F$4,'Sep 2017 HY'!$3:$95,93,0)</f>
        <v>3.9653731529999998</v>
      </c>
      <c r="G96" s="302">
        <f>SUMIF('TB Mar18'!$E:$E,G$4&amp;$C96,'TB Mar18'!$AB:$AB)-HLOOKUP(G$4,'Sep 2017 HY'!$3:$95,93,0)</f>
        <v>4.4576230410000033</v>
      </c>
      <c r="H96" s="302">
        <f>SUMIF('TB Mar18'!$E:$E,H$4&amp;$C96,'TB Mar18'!$AB:$AB)-HLOOKUP(H$4,'Sep 2017 HY'!$3:$95,93,0)</f>
        <v>3.2279811809999992</v>
      </c>
      <c r="I96" s="302">
        <f>SUMIF('TB Mar18'!$E:$E,I$4&amp;$C96,'TB Mar18'!$AB:$AB)-HLOOKUP(I$4,'Sep 2017 HY'!$3:$95,93,0)</f>
        <v>2.1133791479999999</v>
      </c>
      <c r="J96" s="302">
        <f>SUMIF('TB Mar18'!$E:$E,J$4&amp;$C96,'TB Mar18'!$AB:$AB)-HLOOKUP(J$4,'Sep 2017 HY'!$3:$95,93,0)</f>
        <v>1.4861738540000005</v>
      </c>
      <c r="K96" s="302">
        <f>SUMIF('TB Mar18'!$E:$E,K$4&amp;$C96,'TB Mar18'!$AB:$AB)-HLOOKUP(K$4,'Sep 2017 HY'!$3:$95,93,0)</f>
        <v>2.0906560419999991</v>
      </c>
      <c r="L96" s="302">
        <f>SUMIF('TB Mar18'!$E:$E,L$4&amp;$C96,'TB Mar18'!$AB:$AB)-HLOOKUP(L$4,'Sep 2017 HY'!$3:$95,93,0)</f>
        <v>0.91120004200000015</v>
      </c>
      <c r="M96" s="302">
        <f>SUMIF('TB Mar18'!$E:$E,M$4&amp;$C96,'TB Mar18'!$AB:$AB)-HLOOKUP(M$4,'Sep 2017 HY'!$3:$95,93,0)</f>
        <v>0.22222713600000002</v>
      </c>
      <c r="N96" s="302">
        <f>SUMIF('TB Mar18'!$E:$E,N$4&amp;$C96,'TB Mar18'!$AB:$AB)-HLOOKUP(N$4,'Sep 2017 HY'!$3:$95,93,0)</f>
        <v>9.8913364359999996</v>
      </c>
      <c r="O96" s="302">
        <f>SUMIF('TB Mar18'!$E:$E,O$4&amp;$C96,'TB Mar18'!$AB:$AB)-HLOOKUP(O$4,'Sep 2017 HY'!$3:$95,93,0)</f>
        <v>0.13506098299999997</v>
      </c>
      <c r="P96" s="302">
        <f>SUMIF('TB Mar18'!$E:$E,P$4&amp;$C96,'TB Mar18'!$AB:$AB)-HLOOKUP(P$4,'Sep 2017 HY'!$3:$95,93,0)</f>
        <v>0.11618497800000001</v>
      </c>
      <c r="Q96" s="302">
        <f>SUMIF('TB Mar18'!$E:$E,Q$4&amp;$C96,'TB Mar18'!$AB:$AB)-HLOOKUP(Q$4,'Sep 2017 HY'!$3:$95,93,0)</f>
        <v>6.9381632419999999</v>
      </c>
      <c r="R96" s="302">
        <f>SUMIF('TB Mar18'!$E:$E,R$4&amp;$C96,'TB Mar18'!$AB:$AB)-HLOOKUP(R$4,'Sep 2017 HY'!$3:$95,93,0)</f>
        <v>0.99163225199999983</v>
      </c>
      <c r="S96" s="302">
        <f>SUMIF('TB Mar18'!$E:$E,S$4&amp;$C96,'TB Mar18'!$AB:$AB)-HLOOKUP(S$4,'Sep 2017 HY'!$3:$95,93,0)</f>
        <v>0.95456731400000017</v>
      </c>
      <c r="T96" s="302">
        <f>SUMIF('TB Mar18'!$E:$E,T$4&amp;$C96,'TB Mar18'!$AB:$AB)-HLOOKUP(T$4,'Sep 2017 HY'!$3:$95,93,0)</f>
        <v>3.7602329999999982E-3</v>
      </c>
      <c r="U96" s="302">
        <f>SUMIF('TB Mar18'!$E:$E,U$4&amp;$C96,'TB Mar18'!$AB:$AB)-HLOOKUP(U$4,'Sep 2017 HY'!$3:$95,93,0)</f>
        <v>1.0024798000000008E-2</v>
      </c>
      <c r="V96" s="302">
        <f>SUMIF('TB Mar18'!$E:$E,V$4&amp;$C96,'TB Mar18'!$AB:$AB)-HLOOKUP(V$4,'Sep 2017 HY'!$3:$95,93,0)</f>
        <v>4.4329199999999964E-3</v>
      </c>
      <c r="W96" s="302">
        <f>SUMIF('TB Mar18'!$E:$E,W$4&amp;$C96,'TB Mar18'!$AB:$AB)-HLOOKUP(W$4,'Sep 2017 HY'!$3:$95,93,0)</f>
        <v>4.6679079999999949E-3</v>
      </c>
      <c r="X96" s="302" t="e">
        <f>SUMIF('TB Mar18'!$E:$E,X$4&amp;$C96,'TB Mar18'!$AB:$AB)-HLOOKUP(X$4,'Sep 2017 HY'!$3:$95,93,0)</f>
        <v>#VALUE!</v>
      </c>
      <c r="Y96" s="302" t="e">
        <f>SUMIF('TB Mar18'!$E:$E,Y$4&amp;$C96,'TB Mar18'!$AB:$AB)-HLOOKUP(Y$4,'Sep 2017 HY'!$3:$95,93,0)</f>
        <v>#VALUE!</v>
      </c>
      <c r="Z96" s="302" t="e">
        <f>SUMIF('TB Mar18'!$E:$E,Z$4&amp;$C96,'TB Mar18'!$AB:$AB)-HLOOKUP(Z$4,'Sep 2017 HY'!$3:$95,93,0)</f>
        <v>#VALUE!</v>
      </c>
      <c r="AA96" s="302">
        <f>SUMIF('TB Mar18'!$E:$E,AA$4&amp;$C96,'TB Mar18'!$AB:$AB)-HLOOKUP(AA$4,'Sep 2017 HY'!$3:$95,93,0)</f>
        <v>0.24184090400000005</v>
      </c>
      <c r="AB96" s="302" t="e">
        <f>SUMIF('TB Mar18'!$E:$E,AB$4&amp;$C96,'TB Mar18'!$AB:$AB)-HLOOKUP(AB$4,'Sep 2017 HY'!$3:$95,93,0)</f>
        <v>#VALUE!</v>
      </c>
      <c r="AC96" s="302">
        <f>SUMIF('TB Mar18'!$E:$E,AC$4&amp;$C96,'TB Mar18'!$AB:$AB)-HLOOKUP(AC$4,'Sep 2017 HY'!$3:$95,93,0)</f>
        <v>-0.19220203800000002</v>
      </c>
      <c r="AD96" s="302">
        <f>SUMIF('TB Mar18'!$E:$E,AD$4&amp;$C96,'TB Mar18'!$AB:$AB)-HLOOKUP(AD$4,'Sep 2017 HY'!$3:$95,93,0)</f>
        <v>-2.2748758000000004E-2</v>
      </c>
      <c r="AE96" s="302">
        <f>SUMIF('TB Mar18'!$E:$E,AE$4&amp;$C96,'TB Mar18'!$AB:$AB)-HLOOKUP(AE$4,'Sep 2017 HY'!$3:$95,93,0)</f>
        <v>-6.2933060000000011E-3</v>
      </c>
      <c r="AF96" s="302">
        <f>SUMIF('TB Mar18'!$E:$E,AF$4&amp;$C96,'TB Mar18'!$AB:$AB)-HLOOKUP(AF$4,'Sep 2017 HY'!$3:$95,93,0)</f>
        <v>-6.3944913999999992E-2</v>
      </c>
      <c r="AG96" s="302">
        <f>SUMIF('TB Mar18'!$E:$E,AG$4&amp;$C96,'TB Mar18'!$AB:$AB)-HLOOKUP(AG$4,'Sep 2017 HY'!$3:$95,93,0)</f>
        <v>-7.4302466000000011E-2</v>
      </c>
      <c r="AH96" s="302">
        <f>SUMIF('TB Mar18'!$E:$E,AH$4&amp;$C96,'TB Mar18'!$AB:$AB)-HLOOKUP(AH$4,'Sep 2017 HY'!$3:$95,93,0)</f>
        <v>-0.53296637300000005</v>
      </c>
      <c r="AI96" s="302">
        <f>SUMIF('TB Mar18'!$E:$E,AI$4&amp;$C96,'TB Mar18'!$AB:$AB)-HLOOKUP(AI$4,'Sep 2017 HY'!$3:$95,93,0)</f>
        <v>-0.77366385100000001</v>
      </c>
      <c r="AJ96" s="302">
        <f>SUMIF('TB Mar18'!$E:$E,AJ$4&amp;$C96,'TB Mar18'!$AB:$AB)-HLOOKUP(AJ$4,'Sep 2017 HY'!$3:$95,93,0)</f>
        <v>0.17217978599999983</v>
      </c>
      <c r="AK96" s="302">
        <f>SUMIF('TB Mar18'!$E:$E,AK$4&amp;$C96,'TB Mar18'!$AB:$AB)-HLOOKUP(AK$4,'Sep 2017 HY'!$3:$95,93,0)</f>
        <v>1.4787677999999999E-2</v>
      </c>
      <c r="AL96" s="302">
        <f>SUMIF('TB Mar18'!$E:$E,AL$4&amp;$C96,'TB Mar18'!$AB:$AB)-HLOOKUP(AL$4,'Sep 2017 HY'!$3:$95,93,0)</f>
        <v>3.1631881999999958E-2</v>
      </c>
      <c r="AM96" s="302">
        <f>SUMIF('TB Mar18'!$E:$E,AM$4&amp;$C96,'TB Mar18'!$AB:$AB)-HLOOKUP(AM$4,'Sep 2017 HY'!$3:$95,93,0)</f>
        <v>0.17423430100000009</v>
      </c>
      <c r="AN96" s="302">
        <f>SUMIF('TB Mar18'!$E:$E,AN$4&amp;$C96,'TB Mar18'!$AB:$AB)-HLOOKUP(AN$4,'Sep 2017 HY'!$3:$95,93,0)</f>
        <v>2.1765357999999971E-2</v>
      </c>
      <c r="AO96" s="302">
        <f>SUMIF('TB Mar18'!$E:$E,AO$4&amp;$C96,'TB Mar18'!$AB:$AB)-HLOOKUP(AO$4,'Sep 2017 HY'!$3:$95,93,0)</f>
        <v>9.8603085999999951E-2</v>
      </c>
      <c r="AP96" s="302">
        <f>SUMIF('TB Mar18'!$E:$E,AP$4&amp;$C96,'TB Mar18'!$AB:$AB)-HLOOKUP(AP$4,'Sep 2017 HY'!$3:$95,93,0)</f>
        <v>0.39174115100000018</v>
      </c>
      <c r="AQ96" s="302">
        <f>SUMIF('TB Mar18'!$E:$E,AQ$4&amp;$C96,'TB Mar18'!$AB:$AB)-HLOOKUP(AQ$4,'Sep 2017 HY'!$3:$95,93,0)</f>
        <v>3.3094832640000007</v>
      </c>
      <c r="AR96" s="302">
        <f>SUMIF('TB Mar18'!$E:$E,AR$4&amp;$C96,'TB Mar18'!$AB:$AB)-HLOOKUP(AR$4,'Sep 2017 HY'!$3:$95,93,0)</f>
        <v>1.1622803019999997</v>
      </c>
      <c r="AS96" s="302">
        <f>SUMIF('TB Mar18'!$E:$E,AS$4&amp;$C96,'TB Mar18'!$AB:$AB)-HLOOKUP(AS$4,'Sep 2017 HY'!$3:$95,93,0)</f>
        <v>0.54980768000000024</v>
      </c>
      <c r="AT96" s="302">
        <f>SUMIF('TB Mar18'!$E:$E,AT$4&amp;$C96,'TB Mar18'!$AB:$AB)-HLOOKUP(AT$4,'Sep 2017 HY'!$3:$95,93,0)</f>
        <v>0.35699117300000005</v>
      </c>
      <c r="AU96" s="302">
        <f>SUMIF('TB Mar18'!$E:$E,AU$4&amp;$C96,'TB Mar18'!$AB:$AB)-HLOOKUP(AU$4,'Sep 2017 HY'!$3:$95,93,0)</f>
        <v>0.26476364100000005</v>
      </c>
      <c r="AV96" s="302">
        <f>SUMIF('TB Mar18'!$E:$E,AV$4&amp;$C96,'TB Mar18'!$AB:$AB)-HLOOKUP(AV$4,'Sep 2017 HY'!$3:$95,93,0)</f>
        <v>0.25880656899999988</v>
      </c>
      <c r="AW96" s="302">
        <f>SUMIF('TB Mar18'!$E:$E,AW$4&amp;$C96,'TB Mar18'!$AB:$AB)-HLOOKUP(AW$4,'Sep 2017 HY'!$3:$95,93,0)</f>
        <v>0.18596794199999997</v>
      </c>
      <c r="AX96" s="303">
        <f>SUMIF('TB Mar18'!$E:$E,AX$4&amp;$C96,'TB Mar18'!$AB:$AB)-HLOOKUP(AX$4,'Sep 2017 HY'!$3:$95,93,0)</f>
        <v>0.40757524200000006</v>
      </c>
      <c r="AZ96" s="22">
        <v>51.875721274000014</v>
      </c>
      <c r="BA96" s="17">
        <v>51.861663267000075</v>
      </c>
      <c r="BB96" s="17">
        <v>1.4058006999938755E-2</v>
      </c>
    </row>
    <row r="97" spans="1:50" ht="25.5">
      <c r="C97" s="304">
        <v>6.4</v>
      </c>
      <c r="D97" s="233" t="s">
        <v>153</v>
      </c>
      <c r="E97" s="305">
        <f>+VLOOKUP(E$4,'Exp ratio'!$D:$S,16,0)</f>
        <v>1.8932312809109748E-2</v>
      </c>
      <c r="F97" s="305">
        <f>+VLOOKUP(F$4,'Exp ratio'!$D:$S,16,0)</f>
        <v>9.5334182438859758E-3</v>
      </c>
      <c r="G97" s="305">
        <f>+VLOOKUP(G$4,'Exp ratio'!$D:$S,16,0)</f>
        <v>1.9919745591598991E-2</v>
      </c>
      <c r="H97" s="305">
        <f>+VLOOKUP(H$4,'Exp ratio'!$D:$S,16,0)</f>
        <v>1.9870521559375621E-2</v>
      </c>
      <c r="I97" s="305">
        <f>+VLOOKUP(I$4,'Exp ratio'!$D:$S,16,0)</f>
        <v>1.7513516235310278E-2</v>
      </c>
      <c r="J97" s="305">
        <f>+VLOOKUP(J$4,'Exp ratio'!$D:$S,16,0)</f>
        <v>2.1314312690922644E-2</v>
      </c>
      <c r="K97" s="305">
        <f>+VLOOKUP(K$4,'Exp ratio'!$D:$S,16,0)</f>
        <v>6.3702322157024741E-3</v>
      </c>
      <c r="L97" s="305">
        <f>+VLOOKUP(L$4,'Exp ratio'!$D:$S,16,0)</f>
        <v>1.775247481417187E-2</v>
      </c>
      <c r="M97" s="305">
        <f>+VLOOKUP(M$4,'Exp ratio'!$D:$S,16,0)</f>
        <v>1.4824936035489596E-2</v>
      </c>
      <c r="N97" s="305">
        <f>+VLOOKUP(N$4,'Exp ratio'!$D:$S,16,0)</f>
        <v>6.7853100522240477E-4</v>
      </c>
      <c r="O97" s="305">
        <f>+VLOOKUP(O$4,'Exp ratio'!$D:$S,16,0)</f>
        <v>1.2250249913547425E-2</v>
      </c>
      <c r="P97" s="305">
        <f>+VLOOKUP(P$4,'Exp ratio'!$D:$S,16,0)</f>
        <v>6.061420138535327E-3</v>
      </c>
      <c r="Q97" s="305">
        <f>+VLOOKUP(Q$4,'Exp ratio'!$D:$S,16,0)</f>
        <v>2.7437817325029123E-3</v>
      </c>
      <c r="R97" s="305">
        <f>+VLOOKUP(R$4,'Exp ratio'!$D:$S,16,0)</f>
        <v>4.7532872291945229E-3</v>
      </c>
      <c r="S97" s="305">
        <f>+VLOOKUP(S$4,'Exp ratio'!$D:$S,16,0)</f>
        <v>1.7977008199880375E-2</v>
      </c>
      <c r="T97" s="305">
        <f>+VLOOKUP(T$4,'Exp ratio'!$D:$S,16,0)*0</f>
        <v>0</v>
      </c>
      <c r="U97" s="305">
        <f>+VLOOKUP(U$4,'Exp ratio'!$D:$S,16,0)*0</f>
        <v>0</v>
      </c>
      <c r="V97" s="305">
        <f>+VLOOKUP(V$4,'Exp ratio'!$D:$S,16,0)*0</f>
        <v>0</v>
      </c>
      <c r="W97" s="305">
        <f>+VLOOKUP(W$4,'Exp ratio'!$D:$S,16,0)*0</f>
        <v>0</v>
      </c>
      <c r="X97" s="305" t="e">
        <f>+VLOOKUP(X$4,'Exp ratio'!$D:$S,16,0)</f>
        <v>#N/A</v>
      </c>
      <c r="Y97" s="305" t="e">
        <f>+VLOOKUP(Y$4,'Exp ratio'!$D:$S,16,0)</f>
        <v>#N/A</v>
      </c>
      <c r="Z97" s="305" t="e">
        <f>+VLOOKUP(Z$4,'Exp ratio'!$D:$S,16,0)</f>
        <v>#N/A</v>
      </c>
      <c r="AA97" s="305">
        <f>+VLOOKUP(AA$4,'Exp ratio'!$D:$S,16,0)</f>
        <v>2.056026536410395E-2</v>
      </c>
      <c r="AB97" s="305" t="e">
        <f>+VLOOKUP(AB$4,'Exp ratio'!$D:$S,16,0)</f>
        <v>#N/A</v>
      </c>
      <c r="AC97" s="305" t="e">
        <f>+VLOOKUP(AC$4,'Exp ratio'!$D:$S,16,0)</f>
        <v>#N/A</v>
      </c>
      <c r="AD97" s="305" t="e">
        <f>+VLOOKUP(AD$4,'Exp ratio'!$D:$S,16,0)</f>
        <v>#N/A</v>
      </c>
      <c r="AE97" s="305" t="e">
        <f>+VLOOKUP(AE$4,'Exp ratio'!$D:$S,16,0)</f>
        <v>#N/A</v>
      </c>
      <c r="AF97" s="305" t="e">
        <f>+VLOOKUP(AF$4,'Exp ratio'!$D:$S,16,0)</f>
        <v>#N/A</v>
      </c>
      <c r="AG97" s="305" t="e">
        <f>+VLOOKUP(AG$4,'Exp ratio'!$D:$S,16,0)</f>
        <v>#N/A</v>
      </c>
      <c r="AH97" s="305" t="e">
        <f>+VLOOKUP(AH$4,'Exp ratio'!$D:$S,16,0)</f>
        <v>#N/A</v>
      </c>
      <c r="AI97" s="305" t="e">
        <f>+VLOOKUP(AI$4,'Exp ratio'!$D:$S,16,0)</f>
        <v>#N/A</v>
      </c>
      <c r="AJ97" s="305">
        <f>+VLOOKUP(AJ$4,'Exp ratio'!$D:$S,16,0)</f>
        <v>2.4428517129240386E-2</v>
      </c>
      <c r="AK97" s="305">
        <f>+VLOOKUP(AK$4,'Exp ratio'!$D:$S,16,0)</f>
        <v>1.2980050738278773E-3</v>
      </c>
      <c r="AL97" s="305">
        <f>+VLOOKUP(AL$4,'Exp ratio'!$D:$S,16,0)</f>
        <v>1.298006428447025E-3</v>
      </c>
      <c r="AM97" s="305">
        <f>+VLOOKUP(AM$4,'Exp ratio'!$D:$S,16,0)</f>
        <v>2.0148275180569997E-2</v>
      </c>
      <c r="AN97" s="305">
        <f>+VLOOKUP(AN$4,'Exp ratio'!$D:$S,16,0)</f>
        <v>4.5204970590353094E-4</v>
      </c>
      <c r="AO97" s="305">
        <f>+VLOOKUP(AO$4,'Exp ratio'!$D:$S,16,0)</f>
        <v>1.7610376300761224E-3</v>
      </c>
      <c r="AP97" s="305">
        <f>+VLOOKUP(AP$4,'Exp ratio'!$D:$S,16,0)</f>
        <v>2.7615088356036696E-2</v>
      </c>
      <c r="AQ97" s="305">
        <f>+VLOOKUP(AQ$4,'Exp ratio'!$D:$S,16,0)</f>
        <v>7.9245699066708038E-3</v>
      </c>
      <c r="AR97" s="305">
        <f>+VLOOKUP(AR$4,'Exp ratio'!$D:$S,16,0)</f>
        <v>1.7057473559017766E-2</v>
      </c>
      <c r="AS97" s="305">
        <f>+VLOOKUP(AS$4,'Exp ratio'!$D:$S,16,0)</f>
        <v>1.2168018929887706E-2</v>
      </c>
      <c r="AT97" s="305">
        <f>+VLOOKUP(AT$4,'Exp ratio'!$D:$S,16,0)</f>
        <v>1.3492863918456638E-2</v>
      </c>
      <c r="AU97" s="305">
        <f>+VLOOKUP(AU$4,'Exp ratio'!$D:$S,16,0)</f>
        <v>1.3191230028277608E-2</v>
      </c>
      <c r="AV97" s="305">
        <f>+VLOOKUP(AV$4,'Exp ratio'!$D:$S,16,0)</f>
        <v>5.2722813109784105E-4</v>
      </c>
      <c r="AW97" s="305">
        <f>+VLOOKUP(AW$4,'Exp ratio'!$D:$S,16,0)</f>
        <v>4.5240578792872711E-4</v>
      </c>
      <c r="AX97" s="306">
        <f>+VLOOKUP(AX$4,'Exp ratio'!$D:$S,16,0)</f>
        <v>2.1560713235160857E-3</v>
      </c>
    </row>
    <row r="98" spans="1:50" ht="25.5">
      <c r="C98" s="304">
        <v>6.5</v>
      </c>
      <c r="D98" s="233" t="s">
        <v>154</v>
      </c>
      <c r="E98" s="305">
        <f>+VLOOKUP(E$4,'Exp ratio'!$D:$U,18,0)</f>
        <v>2.6167199048455374E-2</v>
      </c>
      <c r="F98" s="305">
        <f>+VLOOKUP(F$4,'Exp ratio'!$D:$U,18,0)</f>
        <v>2.6988750124976937E-2</v>
      </c>
      <c r="G98" s="305">
        <f>+VLOOKUP(G$4,'Exp ratio'!$D:$U,18,0)</f>
        <v>2.4665751739494226E-2</v>
      </c>
      <c r="H98" s="305">
        <f>+VLOOKUP(H$4,'Exp ratio'!$D:$U,18,0)</f>
        <v>2.7747534389603649E-2</v>
      </c>
      <c r="I98" s="305">
        <f>+VLOOKUP(I$4,'Exp ratio'!$D:$U,18,0)</f>
        <v>2.9148424028233182E-2</v>
      </c>
      <c r="J98" s="305">
        <f>+VLOOKUP(J$4,'Exp ratio'!$D:$U,18,0)</f>
        <v>2.7011479919196064E-2</v>
      </c>
      <c r="K98" s="305">
        <f>+VLOOKUP(K$4,'Exp ratio'!$D:$U,18,0)</f>
        <v>9.6886084508762925E-3</v>
      </c>
      <c r="L98" s="305">
        <f>+VLOOKUP(L$4,'Exp ratio'!$D:$U,18,0)</f>
        <v>2.2326185351422331E-2</v>
      </c>
      <c r="M98" s="305">
        <f>+VLOOKUP(M$4,'Exp ratio'!$D:$U,18,0)</f>
        <v>2.3297940650311051E-2</v>
      </c>
      <c r="N98" s="305">
        <f>+VLOOKUP(N$4,'Exp ratio'!$D:$U,18,0)</f>
        <v>1.3982118299735026E-3</v>
      </c>
      <c r="O98" s="305">
        <f>+VLOOKUP(O$4,'Exp ratio'!$D:$U,18,0)</f>
        <v>1.8637759313283719E-2</v>
      </c>
      <c r="P98" s="305">
        <f>+VLOOKUP(P$4,'Exp ratio'!$D:$U,18,0)</f>
        <v>1.0489288069798699E-2</v>
      </c>
      <c r="Q98" s="305">
        <f>+VLOOKUP(Q$4,'Exp ratio'!$D:$U,18,0)</f>
        <v>4.4517425135048357E-3</v>
      </c>
      <c r="R98" s="305">
        <f>+VLOOKUP(R$4,'Exp ratio'!$D:$U,18,0)</f>
        <v>8.8690987895281674E-3</v>
      </c>
      <c r="S98" s="305">
        <f>+VLOOKUP(S$4,'Exp ratio'!$D:$U,18,0)</f>
        <v>2.7335817463137891E-2</v>
      </c>
      <c r="T98" s="305">
        <f>+VLOOKUP(T$4,'Exp ratio'!$D:$U,18,0)</f>
        <v>4.9452631598947338E-3</v>
      </c>
      <c r="U98" s="305">
        <f>+VLOOKUP(U$4,'Exp ratio'!$D:$U,18,0)</f>
        <v>4.1935019822922897E-3</v>
      </c>
      <c r="V98" s="305">
        <f>+VLOOKUP(V$4,'Exp ratio'!$D:$U,18,0)</f>
        <v>3.3013925874282681E-3</v>
      </c>
      <c r="W98" s="305">
        <f>+VLOOKUP(W$4,'Exp ratio'!$D:$U,18,0)</f>
        <v>3.9006569217301078E-3</v>
      </c>
      <c r="X98" s="305" t="e">
        <f>+VLOOKUP(X$4,'Exp ratio'!$D:$U,18,0)</f>
        <v>#N/A</v>
      </c>
      <c r="Y98" s="305" t="e">
        <f>+VLOOKUP(Y$4,'Exp ratio'!$D:$U,18,0)</f>
        <v>#N/A</v>
      </c>
      <c r="Z98" s="305" t="e">
        <f>+VLOOKUP(Z$4,'Exp ratio'!$D:$U,18,0)</f>
        <v>#N/A</v>
      </c>
      <c r="AA98" s="305">
        <f>+VLOOKUP(AA$4,'Exp ratio'!$D:$U,18,0)</f>
        <v>2.5038127298132821E-2</v>
      </c>
      <c r="AB98" s="305" t="e">
        <f>+VLOOKUP(AB$4,'Exp ratio'!$D:$U,18,0)</f>
        <v>#N/A</v>
      </c>
      <c r="AC98" s="305" t="e">
        <f>+VLOOKUP(AC$4,'Exp ratio'!$D:$U,18,0)</f>
        <v>#N/A</v>
      </c>
      <c r="AD98" s="305" t="e">
        <f>+VLOOKUP(AD$4,'Exp ratio'!$D:$U,18,0)</f>
        <v>#N/A</v>
      </c>
      <c r="AE98" s="305" t="e">
        <f>+VLOOKUP(AE$4,'Exp ratio'!$D:$U,18,0)</f>
        <v>#N/A</v>
      </c>
      <c r="AF98" s="305" t="e">
        <f>+VLOOKUP(AF$4,'Exp ratio'!$D:$U,18,0)</f>
        <v>#N/A</v>
      </c>
      <c r="AG98" s="305" t="e">
        <f>+VLOOKUP(AG$4,'Exp ratio'!$D:$U,18,0)</f>
        <v>#N/A</v>
      </c>
      <c r="AH98" s="305" t="e">
        <f>+VLOOKUP(AH$4,'Exp ratio'!$D:$U,18,0)</f>
        <v>#N/A</v>
      </c>
      <c r="AI98" s="305" t="e">
        <f>+VLOOKUP(AI$4,'Exp ratio'!$D:$U,18,0)</f>
        <v>#N/A</v>
      </c>
      <c r="AJ98" s="305">
        <f>+VLOOKUP(AJ$4,'Exp ratio'!$D:$U,18,0)</f>
        <v>2.6073108102716382E-2</v>
      </c>
      <c r="AK98" s="305">
        <f>+VLOOKUP(AK$4,'Exp ratio'!$D:$U,18,0)</f>
        <v>2.6042167437324332E-3</v>
      </c>
      <c r="AL98" s="305">
        <f>+VLOOKUP(AL$4,'Exp ratio'!$D:$U,18,0)</f>
        <v>2.9726623902287279E-3</v>
      </c>
      <c r="AM98" s="305">
        <f>+VLOOKUP(AM$4,'Exp ratio'!$D:$U,18,0)</f>
        <v>2.5094495840048026E-2</v>
      </c>
      <c r="AN98" s="305">
        <f>+VLOOKUP(AN$4,'Exp ratio'!$D:$U,18,0)</f>
        <v>3.9385886215473542E-3</v>
      </c>
      <c r="AO98" s="305">
        <f>+VLOOKUP(AO$4,'Exp ratio'!$D:$U,18,0)</f>
        <v>2.7610441433104285E-3</v>
      </c>
      <c r="AP98" s="305">
        <f>+VLOOKUP(AP$4,'Exp ratio'!$D:$U,18,0)</f>
        <v>2.9127782511691243E-2</v>
      </c>
      <c r="AQ98" s="305">
        <f>+VLOOKUP(AQ$4,'Exp ratio'!$D:$U,18,0)</f>
        <v>2.6600846223532839E-2</v>
      </c>
      <c r="AR98" s="305">
        <f>+VLOOKUP(AR$4,'Exp ratio'!$D:$U,18,0)</f>
        <v>3.0069299210360827E-2</v>
      </c>
      <c r="AS98" s="305">
        <f>+VLOOKUP(AS$4,'Exp ratio'!$D:$U,18,0)</f>
        <v>2.080866434706816E-2</v>
      </c>
      <c r="AT98" s="305">
        <f>+VLOOKUP(AT$4,'Exp ratio'!$D:$U,18,0)</f>
        <v>2.158777157726368E-2</v>
      </c>
      <c r="AU98" s="305">
        <f>+VLOOKUP(AU$4,'Exp ratio'!$D:$U,18,0)</f>
        <v>2.1255323656780595E-2</v>
      </c>
      <c r="AV98" s="305">
        <f>+VLOOKUP(AV$4,'Exp ratio'!$D:$U,18,0)</f>
        <v>1.151277559711536E-3</v>
      </c>
      <c r="AW98" s="305">
        <f>+VLOOKUP(AW$4,'Exp ratio'!$D:$U,18,0)</f>
        <v>1.1205068647364648E-3</v>
      </c>
      <c r="AX98" s="306">
        <f>+VLOOKUP(AX$4,'Exp ratio'!$D:$U,18,0)</f>
        <v>2.7942302957476121E-3</v>
      </c>
    </row>
    <row r="99" spans="1:50" ht="12.75">
      <c r="C99" s="179"/>
      <c r="D99" s="171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94"/>
      <c r="S99" s="194"/>
      <c r="T99" s="194"/>
      <c r="U99" s="194"/>
      <c r="V99" s="194"/>
      <c r="W99" s="194"/>
      <c r="X99" s="171"/>
      <c r="Y99" s="171"/>
      <c r="Z99" s="171"/>
      <c r="AA99" s="171"/>
      <c r="AB99" s="194"/>
      <c r="AC99" s="194"/>
      <c r="AD99" s="171"/>
      <c r="AE99" s="171"/>
      <c r="AF99" s="171"/>
      <c r="AG99" s="171"/>
      <c r="AH99" s="194"/>
      <c r="AI99" s="194"/>
      <c r="AJ99" s="194"/>
      <c r="AK99" s="194"/>
      <c r="AL99" s="194"/>
      <c r="AM99" s="194"/>
      <c r="AN99" s="194"/>
      <c r="AO99" s="194"/>
      <c r="AP99" s="194"/>
      <c r="AQ99" s="194"/>
      <c r="AR99" s="194"/>
      <c r="AS99" s="194"/>
      <c r="AT99" s="194"/>
      <c r="AU99" s="194"/>
      <c r="AV99" s="194"/>
      <c r="AW99" s="194"/>
      <c r="AX99" s="195"/>
    </row>
    <row r="100" spans="1:50" s="57" customFormat="1" ht="12.75">
      <c r="A100" s="53"/>
      <c r="B100" s="53"/>
      <c r="C100" s="196">
        <v>7.1</v>
      </c>
      <c r="D100" s="197" t="s">
        <v>155</v>
      </c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E100" s="198"/>
      <c r="AF100" s="198"/>
      <c r="AG100" s="198"/>
      <c r="AH100" s="198"/>
      <c r="AI100" s="198"/>
      <c r="AJ100" s="198"/>
      <c r="AK100" s="198"/>
      <c r="AL100" s="198"/>
      <c r="AM100" s="198"/>
      <c r="AN100" s="198"/>
      <c r="AO100" s="198"/>
      <c r="AP100" s="198"/>
      <c r="AQ100" s="198"/>
      <c r="AR100" s="198"/>
      <c r="AS100" s="198"/>
      <c r="AT100" s="198"/>
      <c r="AU100" s="198"/>
      <c r="AV100" s="198"/>
      <c r="AW100" s="198"/>
      <c r="AX100" s="199"/>
    </row>
    <row r="101" spans="1:50" s="57" customFormat="1" ht="12.75">
      <c r="A101" s="1" t="s">
        <v>156</v>
      </c>
      <c r="B101" s="1" t="s">
        <v>105</v>
      </c>
      <c r="C101" s="196"/>
      <c r="D101" s="197" t="s">
        <v>106</v>
      </c>
      <c r="E101" s="190">
        <v>3.7165924276169271</v>
      </c>
      <c r="F101" s="190">
        <v>2.8501893447980153</v>
      </c>
      <c r="G101" s="190">
        <v>4.1006960724203845</v>
      </c>
      <c r="H101" s="190">
        <v>-0.32428607110148722</v>
      </c>
      <c r="I101" s="190">
        <v>6.250607695601218</v>
      </c>
      <c r="J101" s="190">
        <v>2.0941330218006815</v>
      </c>
      <c r="K101" s="190">
        <v>-6.1654021079593502E-2</v>
      </c>
      <c r="L101" s="190">
        <v>-0.82355106991250926</v>
      </c>
      <c r="M101" s="190">
        <v>-2.8382927792746648</v>
      </c>
      <c r="N101" s="190">
        <v>6.7159396513252441</v>
      </c>
      <c r="O101" s="190">
        <v>4.8650570621740608</v>
      </c>
      <c r="P101" s="190">
        <v>2.5197974862912087</v>
      </c>
      <c r="Q101" s="190">
        <v>3.1439819366773314</v>
      </c>
      <c r="R101" s="190">
        <v>2.3617552285561949</v>
      </c>
      <c r="S101" s="190">
        <v>5.3146586212718505</v>
      </c>
      <c r="T101" s="190" t="s">
        <v>157</v>
      </c>
      <c r="U101" s="190" t="s">
        <v>157</v>
      </c>
      <c r="V101" s="190" t="s">
        <v>157</v>
      </c>
      <c r="W101" s="190" t="s">
        <v>157</v>
      </c>
      <c r="X101" s="190" t="s">
        <v>157</v>
      </c>
      <c r="Y101" s="190" t="s">
        <v>157</v>
      </c>
      <c r="Z101" s="190" t="s">
        <v>157</v>
      </c>
      <c r="AA101" s="190">
        <v>1.3286155074221373</v>
      </c>
      <c r="AB101" s="190" t="s">
        <v>157</v>
      </c>
      <c r="AC101" s="190" t="s">
        <v>157</v>
      </c>
      <c r="AD101" s="190" t="s">
        <v>157</v>
      </c>
      <c r="AE101" s="190" t="s">
        <v>157</v>
      </c>
      <c r="AF101" s="190" t="s">
        <v>157</v>
      </c>
      <c r="AG101" s="190" t="s">
        <v>157</v>
      </c>
      <c r="AH101" s="190" t="s">
        <v>157</v>
      </c>
      <c r="AI101" s="190" t="s">
        <v>157</v>
      </c>
      <c r="AJ101" s="190" t="s">
        <v>157</v>
      </c>
      <c r="AK101" s="190" t="s">
        <v>157</v>
      </c>
      <c r="AL101" s="190" t="s">
        <v>157</v>
      </c>
      <c r="AM101" s="190" t="s">
        <v>157</v>
      </c>
      <c r="AN101" s="190" t="s">
        <v>157</v>
      </c>
      <c r="AO101" s="190">
        <v>-1.090779703331235</v>
      </c>
      <c r="AP101" s="190" t="s">
        <v>157</v>
      </c>
      <c r="AQ101" s="190">
        <v>4.6278135458516001</v>
      </c>
      <c r="AR101" s="190">
        <v>-4.9261665682220901</v>
      </c>
      <c r="AS101" s="190">
        <v>1.8462229283962683</v>
      </c>
      <c r="AT101" s="190">
        <v>1.5784378133536059</v>
      </c>
      <c r="AU101" s="190">
        <v>1.4738235193014981</v>
      </c>
      <c r="AV101" s="190">
        <v>3.7527899267850939</v>
      </c>
      <c r="AW101" s="190">
        <v>5.7318386494715989</v>
      </c>
      <c r="AX101" s="190">
        <v>3.7246149265832029</v>
      </c>
    </row>
    <row r="102" spans="1:50" s="57" customFormat="1" ht="12.75">
      <c r="A102" s="1" t="s">
        <v>156</v>
      </c>
      <c r="B102" s="1" t="s">
        <v>109</v>
      </c>
      <c r="C102" s="196"/>
      <c r="D102" s="197" t="s">
        <v>110</v>
      </c>
      <c r="E102" s="190">
        <v>4.2965953501472809</v>
      </c>
      <c r="F102" s="190">
        <v>3.7952735272301474</v>
      </c>
      <c r="G102" s="190">
        <v>4.4515392747869642</v>
      </c>
      <c r="H102" s="190">
        <v>0.28558382466035148</v>
      </c>
      <c r="I102" s="190">
        <v>6.934356158642685</v>
      </c>
      <c r="J102" s="190">
        <v>2.46882592334281</v>
      </c>
      <c r="K102" s="190">
        <v>0.18624222931313827</v>
      </c>
      <c r="L102" s="190">
        <v>-0.37850942363336637</v>
      </c>
      <c r="M102" s="190">
        <v>-2.3929357332280077</v>
      </c>
      <c r="N102" s="190">
        <v>6.8606589753994447</v>
      </c>
      <c r="O102" s="190">
        <v>5.1612071016226224</v>
      </c>
      <c r="P102" s="190">
        <v>2.8018747613317796</v>
      </c>
      <c r="Q102" s="190">
        <v>3.4205103226048195</v>
      </c>
      <c r="R102" s="190">
        <v>2.6914320389456847</v>
      </c>
      <c r="S102" s="190">
        <v>5.9951937265483313</v>
      </c>
      <c r="T102" s="190" t="s">
        <v>157</v>
      </c>
      <c r="U102" s="190" t="s">
        <v>157</v>
      </c>
      <c r="V102" s="190" t="s">
        <v>157</v>
      </c>
      <c r="W102" s="190" t="s">
        <v>157</v>
      </c>
      <c r="X102" s="190" t="s">
        <v>157</v>
      </c>
      <c r="Y102" s="190" t="s">
        <v>157</v>
      </c>
      <c r="Z102" s="190" t="s">
        <v>157</v>
      </c>
      <c r="AA102" s="190">
        <v>1.5785706212560813</v>
      </c>
      <c r="AB102" s="190" t="s">
        <v>157</v>
      </c>
      <c r="AC102" s="190" t="s">
        <v>157</v>
      </c>
      <c r="AD102" s="190" t="s">
        <v>157</v>
      </c>
      <c r="AE102" s="190" t="s">
        <v>157</v>
      </c>
      <c r="AF102" s="190" t="s">
        <v>157</v>
      </c>
      <c r="AG102" s="190" t="s">
        <v>157</v>
      </c>
      <c r="AH102" s="190" t="s">
        <v>157</v>
      </c>
      <c r="AI102" s="190" t="s">
        <v>157</v>
      </c>
      <c r="AJ102" s="190" t="s">
        <v>157</v>
      </c>
      <c r="AK102" s="190" t="s">
        <v>157</v>
      </c>
      <c r="AL102" s="190" t="s">
        <v>157</v>
      </c>
      <c r="AM102" s="190" t="s">
        <v>157</v>
      </c>
      <c r="AN102" s="190" t="s">
        <v>157</v>
      </c>
      <c r="AO102" s="190" t="s">
        <v>157</v>
      </c>
      <c r="AP102" s="190" t="s">
        <v>157</v>
      </c>
      <c r="AQ102" s="190">
        <v>5.6936949730190367</v>
      </c>
      <c r="AR102" s="190">
        <v>-4.0999359385009644</v>
      </c>
      <c r="AS102" s="190">
        <v>2.4350430802369427</v>
      </c>
      <c r="AT102" s="190">
        <v>2.0954411254642258</v>
      </c>
      <c r="AU102" s="190">
        <v>1.9866377966687221</v>
      </c>
      <c r="AV102" s="190" t="s">
        <v>157</v>
      </c>
      <c r="AW102" s="190" t="s">
        <v>157</v>
      </c>
      <c r="AX102" s="190" t="s">
        <v>157</v>
      </c>
    </row>
    <row r="103" spans="1:50" ht="12.75">
      <c r="C103" s="179"/>
      <c r="D103" s="171"/>
      <c r="E103" s="23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71"/>
      <c r="Y103" s="171"/>
      <c r="Z103" s="171"/>
      <c r="AA103" s="171"/>
      <c r="AB103" s="190"/>
      <c r="AC103" s="190"/>
      <c r="AD103" s="171"/>
      <c r="AE103" s="171"/>
      <c r="AF103" s="171"/>
      <c r="AG103" s="171"/>
      <c r="AH103" s="190"/>
      <c r="AI103" s="190"/>
      <c r="AJ103" s="190"/>
      <c r="AK103" s="190"/>
      <c r="AL103" s="190"/>
      <c r="AM103" s="190"/>
      <c r="AN103" s="190"/>
      <c r="AO103" s="190"/>
      <c r="AP103" s="190"/>
      <c r="AQ103" s="190"/>
      <c r="AR103" s="190"/>
      <c r="AS103" s="190"/>
      <c r="AT103" s="190"/>
      <c r="AU103" s="190"/>
      <c r="AV103" s="190"/>
      <c r="AW103" s="190"/>
      <c r="AX103" s="191"/>
    </row>
    <row r="104" spans="1:50" ht="12.75">
      <c r="C104" s="179">
        <v>7.2</v>
      </c>
      <c r="D104" s="171" t="s">
        <v>158</v>
      </c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71"/>
      <c r="Y104" s="171"/>
      <c r="Z104" s="171"/>
      <c r="AA104" s="171"/>
      <c r="AB104" s="190"/>
      <c r="AC104" s="190"/>
      <c r="AD104" s="171"/>
      <c r="AE104" s="171"/>
      <c r="AF104" s="171"/>
      <c r="AG104" s="171"/>
      <c r="AH104" s="190"/>
      <c r="AI104" s="190"/>
      <c r="AJ104" s="190"/>
      <c r="AK104" s="190"/>
      <c r="AL104" s="190"/>
      <c r="AM104" s="190"/>
      <c r="AN104" s="190"/>
      <c r="AO104" s="190"/>
      <c r="AP104" s="190"/>
      <c r="AQ104" s="190"/>
      <c r="AR104" s="190"/>
      <c r="AS104" s="190"/>
      <c r="AT104" s="190"/>
      <c r="AU104" s="190"/>
      <c r="AV104" s="190"/>
      <c r="AW104" s="190"/>
      <c r="AX104" s="191"/>
    </row>
    <row r="105" spans="1:50" ht="12.75">
      <c r="C105" s="179"/>
      <c r="D105" s="171" t="s">
        <v>159</v>
      </c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177"/>
      <c r="V105" s="190"/>
      <c r="W105" s="190"/>
      <c r="X105" s="190"/>
      <c r="Y105" s="190"/>
      <c r="Z105" s="190"/>
      <c r="AA105" s="190"/>
      <c r="AB105" s="190"/>
      <c r="AC105" s="190"/>
      <c r="AD105" s="190"/>
      <c r="AE105" s="190"/>
      <c r="AF105" s="190"/>
      <c r="AG105" s="190"/>
      <c r="AH105" s="190"/>
      <c r="AI105" s="190"/>
      <c r="AJ105" s="190"/>
      <c r="AK105" s="190"/>
      <c r="AL105" s="190"/>
      <c r="AM105" s="190"/>
      <c r="AN105" s="190"/>
      <c r="AO105" s="190"/>
      <c r="AP105" s="190"/>
      <c r="AQ105" s="190"/>
      <c r="AR105" s="190"/>
      <c r="AS105" s="190"/>
      <c r="AT105" s="190"/>
      <c r="AU105" s="190"/>
      <c r="AV105" s="190"/>
      <c r="AW105" s="190"/>
      <c r="AX105" s="191"/>
    </row>
    <row r="106" spans="1:50" ht="12.75">
      <c r="A106" s="1" t="s">
        <v>160</v>
      </c>
      <c r="B106" s="1" t="s">
        <v>105</v>
      </c>
      <c r="C106" s="179"/>
      <c r="D106" s="197" t="s">
        <v>106</v>
      </c>
      <c r="E106" s="190">
        <v>10.580500000000001</v>
      </c>
      <c r="F106" s="190">
        <v>2.6145999999999998</v>
      </c>
      <c r="G106" s="190">
        <v>2.2656000000000001</v>
      </c>
      <c r="H106" s="190">
        <v>8.2325999999999997</v>
      </c>
      <c r="I106" s="190">
        <v>14.727</v>
      </c>
      <c r="J106" s="190">
        <v>4.2316000000000003</v>
      </c>
      <c r="K106" s="190">
        <v>3.3845999999999998</v>
      </c>
      <c r="L106" s="190">
        <v>2.0164</v>
      </c>
      <c r="M106" s="190">
        <v>-2.2759</v>
      </c>
      <c r="N106" s="190">
        <v>6.7176999999999998</v>
      </c>
      <c r="O106" s="190">
        <v>10.8332</v>
      </c>
      <c r="P106" s="190">
        <v>9.7335999999999991</v>
      </c>
      <c r="Q106" s="190">
        <v>6.5838000000000001</v>
      </c>
      <c r="R106" s="190">
        <v>5.7412000000000001</v>
      </c>
      <c r="S106" s="190">
        <v>12.1808</v>
      </c>
      <c r="T106" s="190" t="s">
        <v>157</v>
      </c>
      <c r="U106" s="190" t="s">
        <v>157</v>
      </c>
      <c r="V106" s="190" t="s">
        <v>157</v>
      </c>
      <c r="W106" s="190" t="s">
        <v>157</v>
      </c>
      <c r="X106" s="190" t="s">
        <v>157</v>
      </c>
      <c r="Y106" s="190" t="s">
        <v>157</v>
      </c>
      <c r="Z106" s="190" t="s">
        <v>157</v>
      </c>
      <c r="AA106" s="190">
        <v>2.9409000000000001</v>
      </c>
      <c r="AB106" s="190" t="s">
        <v>157</v>
      </c>
      <c r="AC106" s="190" t="s">
        <v>157</v>
      </c>
      <c r="AD106" s="190" t="s">
        <v>157</v>
      </c>
      <c r="AE106" s="190" t="s">
        <v>157</v>
      </c>
      <c r="AF106" s="190" t="s">
        <v>157</v>
      </c>
      <c r="AG106" s="190" t="s">
        <v>157</v>
      </c>
      <c r="AH106" s="190" t="s">
        <v>157</v>
      </c>
      <c r="AI106" s="190" t="s">
        <v>157</v>
      </c>
      <c r="AJ106" s="190" t="s">
        <v>157</v>
      </c>
      <c r="AK106" s="190" t="s">
        <v>157</v>
      </c>
      <c r="AL106" s="190" t="s">
        <v>157</v>
      </c>
      <c r="AM106" s="190" t="s">
        <v>157</v>
      </c>
      <c r="AN106" s="190" t="s">
        <v>157</v>
      </c>
      <c r="AO106" s="190">
        <v>1.7964</v>
      </c>
      <c r="AP106" s="190" t="s">
        <v>157</v>
      </c>
      <c r="AQ106" s="190">
        <v>13.4565</v>
      </c>
      <c r="AR106" s="190">
        <v>-5.3518999999999997</v>
      </c>
      <c r="AS106" s="190">
        <v>5.2179000000000002</v>
      </c>
      <c r="AT106" s="190">
        <v>4.6599000000000004</v>
      </c>
      <c r="AU106" s="190">
        <v>4.4042000000000003</v>
      </c>
      <c r="AV106" s="190">
        <v>11.651199999999999</v>
      </c>
      <c r="AW106" s="190">
        <v>12.775499999999999</v>
      </c>
      <c r="AX106" s="190">
        <v>12.083299999999999</v>
      </c>
    </row>
    <row r="107" spans="1:50" ht="12.75">
      <c r="A107" s="1" t="s">
        <v>160</v>
      </c>
      <c r="B107" s="1" t="s">
        <v>109</v>
      </c>
      <c r="C107" s="179"/>
      <c r="D107" s="197" t="s">
        <v>110</v>
      </c>
      <c r="E107" s="190">
        <v>11.958600000000001</v>
      </c>
      <c r="F107" s="190">
        <v>4.1734</v>
      </c>
      <c r="G107" s="190">
        <v>3.2141000000000002</v>
      </c>
      <c r="H107" s="190">
        <v>9.5876000000000001</v>
      </c>
      <c r="I107" s="190">
        <v>16.2181</v>
      </c>
      <c r="J107" s="190">
        <v>5.0637999999999996</v>
      </c>
      <c r="K107" s="190">
        <v>3.8948</v>
      </c>
      <c r="L107" s="190">
        <v>2.8738000000000001</v>
      </c>
      <c r="M107" s="190">
        <v>-1.4017999999999999</v>
      </c>
      <c r="N107" s="190">
        <v>6.8672000000000004</v>
      </c>
      <c r="O107" s="190">
        <v>11.465299999999999</v>
      </c>
      <c r="P107" s="190">
        <v>10.3469</v>
      </c>
      <c r="Q107" s="190">
        <v>7.2497999999999996</v>
      </c>
      <c r="R107" s="190">
        <v>6.4535</v>
      </c>
      <c r="S107" s="190">
        <v>13.645</v>
      </c>
      <c r="T107" s="190" t="s">
        <v>157</v>
      </c>
      <c r="U107" s="190" t="s">
        <v>157</v>
      </c>
      <c r="V107" s="190" t="s">
        <v>157</v>
      </c>
      <c r="W107" s="190" t="s">
        <v>157</v>
      </c>
      <c r="X107" s="190" t="s">
        <v>157</v>
      </c>
      <c r="Y107" s="190" t="s">
        <v>157</v>
      </c>
      <c r="Z107" s="190" t="s">
        <v>157</v>
      </c>
      <c r="AA107" s="190">
        <v>3.456</v>
      </c>
      <c r="AB107" s="190" t="s">
        <v>157</v>
      </c>
      <c r="AC107" s="190" t="s">
        <v>157</v>
      </c>
      <c r="AD107" s="190" t="s">
        <v>157</v>
      </c>
      <c r="AE107" s="190" t="s">
        <v>157</v>
      </c>
      <c r="AF107" s="190" t="s">
        <v>157</v>
      </c>
      <c r="AG107" s="190" t="s">
        <v>157</v>
      </c>
      <c r="AH107" s="190" t="s">
        <v>157</v>
      </c>
      <c r="AI107" s="190" t="s">
        <v>157</v>
      </c>
      <c r="AJ107" s="190" t="s">
        <v>157</v>
      </c>
      <c r="AK107" s="190" t="s">
        <v>157</v>
      </c>
      <c r="AL107" s="190" t="s">
        <v>157</v>
      </c>
      <c r="AM107" s="190" t="s">
        <v>157</v>
      </c>
      <c r="AN107" s="190" t="s">
        <v>157</v>
      </c>
      <c r="AO107" s="190" t="s">
        <v>157</v>
      </c>
      <c r="AP107" s="190" t="s">
        <v>157</v>
      </c>
      <c r="AQ107" s="190">
        <v>15.594799999999999</v>
      </c>
      <c r="AR107" s="190">
        <v>-3.6768999999999998</v>
      </c>
      <c r="AS107" s="190">
        <v>6.4568000000000003</v>
      </c>
      <c r="AT107" s="190">
        <v>5.7427999999999999</v>
      </c>
      <c r="AU107" s="190">
        <v>5.4756999999999998</v>
      </c>
      <c r="AV107" s="190" t="s">
        <v>157</v>
      </c>
      <c r="AW107" s="190" t="s">
        <v>157</v>
      </c>
      <c r="AX107" s="190" t="s">
        <v>157</v>
      </c>
    </row>
    <row r="108" spans="1:50" ht="12.75">
      <c r="C108" s="179"/>
      <c r="D108" s="171" t="s">
        <v>161</v>
      </c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  <c r="Z108" s="190"/>
      <c r="AA108" s="190"/>
      <c r="AB108" s="190"/>
      <c r="AC108" s="190"/>
      <c r="AD108" s="190"/>
      <c r="AE108" s="190"/>
      <c r="AF108" s="190"/>
      <c r="AG108" s="190"/>
      <c r="AH108" s="190"/>
      <c r="AI108" s="190"/>
      <c r="AJ108" s="190"/>
      <c r="AK108" s="190"/>
      <c r="AL108" s="190"/>
      <c r="AM108" s="190"/>
      <c r="AN108" s="190"/>
      <c r="AO108" s="190"/>
      <c r="AP108" s="190"/>
      <c r="AQ108" s="190"/>
      <c r="AR108" s="190"/>
      <c r="AS108" s="190"/>
      <c r="AT108" s="190"/>
      <c r="AU108" s="190"/>
      <c r="AV108" s="190"/>
      <c r="AW108" s="190"/>
      <c r="AX108" s="191"/>
    </row>
    <row r="109" spans="1:50" ht="12.75">
      <c r="A109" s="1" t="s">
        <v>162</v>
      </c>
      <c r="B109" s="1" t="s">
        <v>105</v>
      </c>
      <c r="C109" s="179"/>
      <c r="D109" s="197" t="s">
        <v>106</v>
      </c>
      <c r="E109" s="190">
        <v>4.9055</v>
      </c>
      <c r="F109" s="190">
        <v>2.3633999999999999</v>
      </c>
      <c r="G109" s="190">
        <v>1.8252999999999999</v>
      </c>
      <c r="H109" s="190">
        <v>4.3040000000000003</v>
      </c>
      <c r="I109" s="190">
        <v>7.1870000000000003</v>
      </c>
      <c r="J109" s="190">
        <v>5.9589999999999996</v>
      </c>
      <c r="K109" s="190">
        <v>5.9833999999999996</v>
      </c>
      <c r="L109" s="190">
        <v>5.8651999999999997</v>
      </c>
      <c r="M109" s="190">
        <v>3.8696000000000002</v>
      </c>
      <c r="N109" s="190">
        <v>7.3704000000000001</v>
      </c>
      <c r="O109" s="190">
        <v>5.2152000000000003</v>
      </c>
      <c r="P109" s="190">
        <v>5.7205000000000004</v>
      </c>
      <c r="Q109" s="190">
        <v>7.3669000000000002</v>
      </c>
      <c r="R109" s="190">
        <v>6.5991</v>
      </c>
      <c r="S109" s="190">
        <v>5.1433</v>
      </c>
      <c r="T109" s="190" t="s">
        <v>157</v>
      </c>
      <c r="U109" s="190" t="s">
        <v>157</v>
      </c>
      <c r="V109" s="190" t="s">
        <v>157</v>
      </c>
      <c r="W109" s="190" t="s">
        <v>157</v>
      </c>
      <c r="X109" s="190" t="s">
        <v>157</v>
      </c>
      <c r="Y109" s="190" t="s">
        <v>157</v>
      </c>
      <c r="Z109" s="190" t="s">
        <v>157</v>
      </c>
      <c r="AA109" s="190">
        <v>4.2576999999999998</v>
      </c>
      <c r="AB109" s="190" t="s">
        <v>157</v>
      </c>
      <c r="AC109" s="190" t="s">
        <v>157</v>
      </c>
      <c r="AD109" s="190" t="s">
        <v>157</v>
      </c>
      <c r="AE109" s="190" t="s">
        <v>157</v>
      </c>
      <c r="AF109" s="190" t="s">
        <v>157</v>
      </c>
      <c r="AG109" s="190" t="s">
        <v>157</v>
      </c>
      <c r="AH109" s="190" t="s">
        <v>157</v>
      </c>
      <c r="AI109" s="190" t="s">
        <v>157</v>
      </c>
      <c r="AJ109" s="190" t="s">
        <v>157</v>
      </c>
      <c r="AK109" s="190" t="s">
        <v>157</v>
      </c>
      <c r="AL109" s="190" t="s">
        <v>157</v>
      </c>
      <c r="AM109" s="190" t="s">
        <v>157</v>
      </c>
      <c r="AN109" s="190" t="s">
        <v>157</v>
      </c>
      <c r="AO109" s="190">
        <v>6.8360000000000003</v>
      </c>
      <c r="AP109" s="190" t="s">
        <v>157</v>
      </c>
      <c r="AQ109" s="190">
        <v>13.048400000000001</v>
      </c>
      <c r="AR109" s="190">
        <v>1.4724999999999999</v>
      </c>
      <c r="AS109" s="190" t="s">
        <v>157</v>
      </c>
      <c r="AT109" s="190" t="s">
        <v>157</v>
      </c>
      <c r="AU109" s="190" t="s">
        <v>157</v>
      </c>
      <c r="AV109" s="190" t="s">
        <v>157</v>
      </c>
      <c r="AW109" s="190" t="s">
        <v>157</v>
      </c>
      <c r="AX109" s="190" t="s">
        <v>157</v>
      </c>
    </row>
    <row r="110" spans="1:50" ht="12.75">
      <c r="A110" s="1" t="s">
        <v>162</v>
      </c>
      <c r="B110" s="1" t="s">
        <v>109</v>
      </c>
      <c r="C110" s="179"/>
      <c r="D110" s="197" t="s">
        <v>110</v>
      </c>
      <c r="E110" s="190">
        <v>5.9278000000000004</v>
      </c>
      <c r="F110" s="190">
        <v>3.4436</v>
      </c>
      <c r="G110" s="190">
        <v>2.5448</v>
      </c>
      <c r="H110" s="190">
        <v>5.3807</v>
      </c>
      <c r="I110" s="190">
        <v>8.1455000000000002</v>
      </c>
      <c r="J110" s="190">
        <v>6.8573000000000004</v>
      </c>
      <c r="K110" s="190">
        <v>6.5130999999999997</v>
      </c>
      <c r="L110" s="190">
        <v>6.9160000000000004</v>
      </c>
      <c r="M110" s="190">
        <v>4.9359000000000002</v>
      </c>
      <c r="N110" s="190">
        <v>7.5069999999999997</v>
      </c>
      <c r="O110" s="190">
        <v>5.8045999999999998</v>
      </c>
      <c r="P110" s="190">
        <v>6.2762000000000002</v>
      </c>
      <c r="Q110" s="190">
        <v>8.2033000000000005</v>
      </c>
      <c r="R110" s="190">
        <v>7.2986000000000004</v>
      </c>
      <c r="S110" s="190">
        <v>6.4496000000000002</v>
      </c>
      <c r="T110" s="190" t="s">
        <v>157</v>
      </c>
      <c r="U110" s="190" t="s">
        <v>157</v>
      </c>
      <c r="V110" s="190" t="s">
        <v>157</v>
      </c>
      <c r="W110" s="190" t="s">
        <v>157</v>
      </c>
      <c r="X110" s="190" t="s">
        <v>157</v>
      </c>
      <c r="Y110" s="190" t="s">
        <v>157</v>
      </c>
      <c r="Z110" s="190" t="s">
        <v>157</v>
      </c>
      <c r="AA110" s="190">
        <v>4.78</v>
      </c>
      <c r="AB110" s="190" t="s">
        <v>157</v>
      </c>
      <c r="AC110" s="190" t="s">
        <v>157</v>
      </c>
      <c r="AD110" s="190" t="s">
        <v>157</v>
      </c>
      <c r="AE110" s="190" t="s">
        <v>157</v>
      </c>
      <c r="AF110" s="190" t="s">
        <v>157</v>
      </c>
      <c r="AG110" s="190" t="s">
        <v>157</v>
      </c>
      <c r="AH110" s="190" t="s">
        <v>157</v>
      </c>
      <c r="AI110" s="190" t="s">
        <v>157</v>
      </c>
      <c r="AJ110" s="190" t="s">
        <v>157</v>
      </c>
      <c r="AK110" s="190" t="s">
        <v>157</v>
      </c>
      <c r="AL110" s="190" t="s">
        <v>157</v>
      </c>
      <c r="AM110" s="190" t="s">
        <v>157</v>
      </c>
      <c r="AN110" s="190" t="s">
        <v>157</v>
      </c>
      <c r="AO110" s="190" t="s">
        <v>157</v>
      </c>
      <c r="AP110" s="190" t="s">
        <v>157</v>
      </c>
      <c r="AQ110" s="190">
        <v>14.4314</v>
      </c>
      <c r="AR110" s="190">
        <v>2.4851999999999999</v>
      </c>
      <c r="AS110" s="190" t="s">
        <v>157</v>
      </c>
      <c r="AT110" s="190" t="s">
        <v>157</v>
      </c>
      <c r="AU110" s="190" t="s">
        <v>157</v>
      </c>
      <c r="AV110" s="190" t="s">
        <v>157</v>
      </c>
      <c r="AW110" s="190" t="s">
        <v>157</v>
      </c>
      <c r="AX110" s="190" t="s">
        <v>157</v>
      </c>
    </row>
    <row r="111" spans="1:50" ht="12.75">
      <c r="C111" s="179"/>
      <c r="D111" s="171" t="s">
        <v>163</v>
      </c>
      <c r="E111" s="190"/>
      <c r="F111" s="190"/>
      <c r="G111" s="190"/>
      <c r="H111" s="190"/>
      <c r="I111" s="190"/>
      <c r="J111" s="190"/>
      <c r="K111" s="190"/>
      <c r="L111" s="190"/>
      <c r="M111" s="190"/>
      <c r="N111" s="190"/>
      <c r="O111" s="190"/>
      <c r="P111" s="190"/>
      <c r="Q111" s="190"/>
      <c r="R111" s="190"/>
      <c r="S111" s="190"/>
      <c r="T111" s="190"/>
      <c r="U111" s="190"/>
      <c r="V111" s="190"/>
      <c r="W111" s="190"/>
      <c r="X111" s="190"/>
      <c r="Y111" s="190"/>
      <c r="Z111" s="190"/>
      <c r="AA111" s="190"/>
      <c r="AB111" s="190"/>
      <c r="AC111" s="190"/>
      <c r="AD111" s="190"/>
      <c r="AE111" s="190"/>
      <c r="AF111" s="190"/>
      <c r="AG111" s="190"/>
      <c r="AH111" s="190"/>
      <c r="AI111" s="190"/>
      <c r="AJ111" s="190"/>
      <c r="AK111" s="190"/>
      <c r="AL111" s="190"/>
      <c r="AM111" s="190"/>
      <c r="AN111" s="190"/>
      <c r="AO111" s="190"/>
      <c r="AP111" s="190"/>
      <c r="AQ111" s="190"/>
      <c r="AR111" s="190"/>
      <c r="AS111" s="190"/>
      <c r="AT111" s="190"/>
      <c r="AU111" s="190"/>
      <c r="AV111" s="190"/>
      <c r="AW111" s="190"/>
      <c r="AX111" s="191"/>
    </row>
    <row r="112" spans="1:50" ht="12.75">
      <c r="A112" s="1" t="s">
        <v>164</v>
      </c>
      <c r="B112" s="1" t="s">
        <v>105</v>
      </c>
      <c r="C112" s="179"/>
      <c r="D112" s="197" t="s">
        <v>106</v>
      </c>
      <c r="E112" s="190">
        <v>11.429500000000001</v>
      </c>
      <c r="F112" s="190">
        <v>9.9614999999999991</v>
      </c>
      <c r="G112" s="190">
        <v>10.864000000000001</v>
      </c>
      <c r="H112" s="190">
        <v>13.789899999999999</v>
      </c>
      <c r="I112" s="190">
        <v>17.001000000000001</v>
      </c>
      <c r="J112" s="190">
        <v>7.5721999999999996</v>
      </c>
      <c r="K112" s="190">
        <v>7.0262000000000002</v>
      </c>
      <c r="L112" s="190">
        <v>6.7255000000000003</v>
      </c>
      <c r="M112" s="190">
        <v>10.294499999999999</v>
      </c>
      <c r="N112" s="190">
        <v>8.0571999999999999</v>
      </c>
      <c r="O112" s="190">
        <v>11.498200000000001</v>
      </c>
      <c r="P112" s="190">
        <v>11.936299999999999</v>
      </c>
      <c r="Q112" s="190">
        <v>7.8247</v>
      </c>
      <c r="R112" s="190">
        <v>7.0298999999999996</v>
      </c>
      <c r="S112" s="190">
        <v>13.243</v>
      </c>
      <c r="T112" s="190" t="s">
        <v>157</v>
      </c>
      <c r="U112" s="190" t="s">
        <v>157</v>
      </c>
      <c r="V112" s="190" t="s">
        <v>157</v>
      </c>
      <c r="W112" s="190" t="s">
        <v>157</v>
      </c>
      <c r="X112" s="190" t="s">
        <v>157</v>
      </c>
      <c r="Y112" s="190" t="s">
        <v>157</v>
      </c>
      <c r="Z112" s="190" t="s">
        <v>157</v>
      </c>
      <c r="AA112" s="190" t="s">
        <v>157</v>
      </c>
      <c r="AB112" s="190" t="s">
        <v>157</v>
      </c>
      <c r="AC112" s="190" t="s">
        <v>157</v>
      </c>
      <c r="AD112" s="190" t="s">
        <v>157</v>
      </c>
      <c r="AE112" s="190" t="s">
        <v>157</v>
      </c>
      <c r="AF112" s="190" t="s">
        <v>157</v>
      </c>
      <c r="AG112" s="190" t="s">
        <v>157</v>
      </c>
      <c r="AH112" s="190" t="s">
        <v>157</v>
      </c>
      <c r="AI112" s="190" t="s">
        <v>157</v>
      </c>
      <c r="AJ112" s="190" t="s">
        <v>157</v>
      </c>
      <c r="AK112" s="190" t="s">
        <v>157</v>
      </c>
      <c r="AL112" s="190" t="s">
        <v>157</v>
      </c>
      <c r="AM112" s="190" t="s">
        <v>157</v>
      </c>
      <c r="AN112" s="190" t="s">
        <v>157</v>
      </c>
      <c r="AO112" s="190" t="s">
        <v>157</v>
      </c>
      <c r="AP112" s="190" t="s">
        <v>157</v>
      </c>
      <c r="AQ112" s="190" t="s">
        <v>157</v>
      </c>
      <c r="AR112" s="190" t="s">
        <v>157</v>
      </c>
      <c r="AS112" s="190" t="s">
        <v>157</v>
      </c>
      <c r="AT112" s="190" t="s">
        <v>157</v>
      </c>
      <c r="AU112" s="190" t="s">
        <v>157</v>
      </c>
      <c r="AV112" s="190" t="s">
        <v>157</v>
      </c>
      <c r="AW112" s="190" t="s">
        <v>157</v>
      </c>
      <c r="AX112" s="190" t="s">
        <v>157</v>
      </c>
    </row>
    <row r="113" spans="1:50" ht="12.75">
      <c r="A113" s="1" t="s">
        <v>164</v>
      </c>
      <c r="B113" s="1" t="s">
        <v>109</v>
      </c>
      <c r="C113" s="179"/>
      <c r="D113" s="197" t="s">
        <v>110</v>
      </c>
      <c r="E113" s="190">
        <v>12.2431</v>
      </c>
      <c r="F113" s="190">
        <v>10.9222</v>
      </c>
      <c r="G113" s="190">
        <v>11.5976</v>
      </c>
      <c r="H113" s="190">
        <v>14.785600000000001</v>
      </c>
      <c r="I113" s="190">
        <v>18.056100000000001</v>
      </c>
      <c r="J113" s="190">
        <v>8.3368000000000002</v>
      </c>
      <c r="K113" s="190">
        <v>7.5831999999999997</v>
      </c>
      <c r="L113" s="190">
        <v>7.6060999999999996</v>
      </c>
      <c r="M113" s="190">
        <v>11.341699999999999</v>
      </c>
      <c r="N113" s="190">
        <v>8.1633999999999993</v>
      </c>
      <c r="O113" s="190">
        <v>12.1012</v>
      </c>
      <c r="P113" s="190">
        <v>12.510300000000001</v>
      </c>
      <c r="Q113" s="190">
        <v>8.6485000000000003</v>
      </c>
      <c r="R113" s="190">
        <v>7.8127000000000004</v>
      </c>
      <c r="S113" s="190">
        <v>14.3668</v>
      </c>
      <c r="T113" s="190" t="s">
        <v>157</v>
      </c>
      <c r="U113" s="190" t="s">
        <v>157</v>
      </c>
      <c r="V113" s="190" t="s">
        <v>157</v>
      </c>
      <c r="W113" s="190" t="s">
        <v>157</v>
      </c>
      <c r="X113" s="190" t="s">
        <v>157</v>
      </c>
      <c r="Y113" s="190" t="s">
        <v>157</v>
      </c>
      <c r="Z113" s="190" t="s">
        <v>157</v>
      </c>
      <c r="AA113" s="190" t="s">
        <v>157</v>
      </c>
      <c r="AB113" s="190" t="s">
        <v>157</v>
      </c>
      <c r="AC113" s="190" t="s">
        <v>157</v>
      </c>
      <c r="AD113" s="190" t="s">
        <v>157</v>
      </c>
      <c r="AE113" s="190" t="s">
        <v>157</v>
      </c>
      <c r="AF113" s="190" t="s">
        <v>157</v>
      </c>
      <c r="AG113" s="190" t="s">
        <v>157</v>
      </c>
      <c r="AH113" s="190" t="s">
        <v>157</v>
      </c>
      <c r="AI113" s="190" t="s">
        <v>157</v>
      </c>
      <c r="AJ113" s="190" t="s">
        <v>157</v>
      </c>
      <c r="AK113" s="190" t="s">
        <v>157</v>
      </c>
      <c r="AL113" s="190" t="s">
        <v>157</v>
      </c>
      <c r="AM113" s="190" t="s">
        <v>157</v>
      </c>
      <c r="AN113" s="190" t="s">
        <v>157</v>
      </c>
      <c r="AO113" s="190" t="s">
        <v>157</v>
      </c>
      <c r="AP113" s="190" t="s">
        <v>157</v>
      </c>
      <c r="AQ113" s="190" t="s">
        <v>157</v>
      </c>
      <c r="AR113" s="190" t="s">
        <v>157</v>
      </c>
      <c r="AS113" s="190" t="s">
        <v>157</v>
      </c>
      <c r="AT113" s="190" t="s">
        <v>157</v>
      </c>
      <c r="AU113" s="190" t="s">
        <v>157</v>
      </c>
      <c r="AV113" s="190" t="s">
        <v>157</v>
      </c>
      <c r="AW113" s="190" t="s">
        <v>157</v>
      </c>
      <c r="AX113" s="190" t="s">
        <v>157</v>
      </c>
    </row>
    <row r="114" spans="1:50" ht="12.75">
      <c r="C114" s="179"/>
      <c r="D114" s="171" t="s">
        <v>165</v>
      </c>
      <c r="E114" s="190"/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0"/>
      <c r="R114" s="190"/>
      <c r="S114" s="190"/>
      <c r="T114" s="190"/>
      <c r="U114" s="190"/>
      <c r="V114" s="190"/>
      <c r="W114" s="190"/>
      <c r="X114" s="190"/>
      <c r="Y114" s="190"/>
      <c r="Z114" s="190"/>
      <c r="AA114" s="190"/>
      <c r="AB114" s="190"/>
      <c r="AC114" s="190"/>
      <c r="AD114" s="190"/>
      <c r="AE114" s="190"/>
      <c r="AF114" s="190"/>
      <c r="AG114" s="190"/>
      <c r="AH114" s="190"/>
      <c r="AI114" s="190"/>
      <c r="AJ114" s="190"/>
      <c r="AK114" s="190"/>
      <c r="AL114" s="190"/>
      <c r="AM114" s="190"/>
      <c r="AN114" s="190"/>
      <c r="AO114" s="190"/>
      <c r="AP114" s="190"/>
      <c r="AQ114" s="190"/>
      <c r="AR114" s="190"/>
      <c r="AS114" s="190"/>
      <c r="AT114" s="190"/>
      <c r="AU114" s="190"/>
      <c r="AV114" s="190"/>
      <c r="AW114" s="190"/>
      <c r="AX114" s="191"/>
    </row>
    <row r="115" spans="1:50" ht="12.75">
      <c r="A115" s="1" t="s">
        <v>166</v>
      </c>
      <c r="B115" s="1" t="s">
        <v>105</v>
      </c>
      <c r="C115" s="179"/>
      <c r="D115" s="197" t="s">
        <v>106</v>
      </c>
      <c r="E115" s="190">
        <v>9.5634999999999994</v>
      </c>
      <c r="F115" s="190">
        <v>8.5663999999999998</v>
      </c>
      <c r="G115" s="190">
        <v>6.0453000000000001</v>
      </c>
      <c r="H115" s="190">
        <v>3.7713000000000001</v>
      </c>
      <c r="I115" s="190">
        <v>9.0984999999999996</v>
      </c>
      <c r="J115" s="190">
        <v>8.6203000000000003</v>
      </c>
      <c r="K115" s="190">
        <v>8.4718</v>
      </c>
      <c r="L115" s="190">
        <v>7.3487</v>
      </c>
      <c r="M115" s="190">
        <v>3.0958999999999999</v>
      </c>
      <c r="N115" s="190">
        <v>7.3821000000000003</v>
      </c>
      <c r="O115" s="190">
        <v>13.2517</v>
      </c>
      <c r="P115" s="190">
        <v>12.5548</v>
      </c>
      <c r="Q115" s="190">
        <v>6.8124000000000002</v>
      </c>
      <c r="R115" s="190">
        <v>7.4120999999999997</v>
      </c>
      <c r="S115" s="190">
        <v>3.6690999999999998</v>
      </c>
      <c r="T115" s="190" t="s">
        <v>157</v>
      </c>
      <c r="U115" s="190" t="s">
        <v>157</v>
      </c>
      <c r="V115" s="190" t="s">
        <v>157</v>
      </c>
      <c r="W115" s="190" t="s">
        <v>157</v>
      </c>
      <c r="X115" s="190" t="s">
        <v>157</v>
      </c>
      <c r="Y115" s="190" t="s">
        <v>157</v>
      </c>
      <c r="Z115" s="190" t="s">
        <v>157</v>
      </c>
      <c r="AA115" s="190">
        <v>6.8601000000000001</v>
      </c>
      <c r="AB115" s="190" t="s">
        <v>157</v>
      </c>
      <c r="AC115" s="190" t="s">
        <v>157</v>
      </c>
      <c r="AD115" s="190" t="s">
        <v>157</v>
      </c>
      <c r="AE115" s="190" t="s">
        <v>157</v>
      </c>
      <c r="AF115" s="190" t="s">
        <v>157</v>
      </c>
      <c r="AG115" s="190" t="s">
        <v>157</v>
      </c>
      <c r="AH115" s="190" t="s">
        <v>157</v>
      </c>
      <c r="AI115" s="190" t="s">
        <v>157</v>
      </c>
      <c r="AJ115" s="190" t="s">
        <v>157</v>
      </c>
      <c r="AK115" s="190" t="s">
        <v>157</v>
      </c>
      <c r="AL115" s="190" t="s">
        <v>157</v>
      </c>
      <c r="AM115" s="190" t="s">
        <v>157</v>
      </c>
      <c r="AN115" s="190" t="s">
        <v>157</v>
      </c>
      <c r="AO115" s="190">
        <v>7.4637000000000002</v>
      </c>
      <c r="AP115" s="190" t="s">
        <v>157</v>
      </c>
      <c r="AQ115" s="190">
        <v>12.4076</v>
      </c>
      <c r="AR115" s="190">
        <v>1.5154000000000001</v>
      </c>
      <c r="AS115" s="190">
        <v>6.2796000000000003</v>
      </c>
      <c r="AT115" s="190">
        <v>6.7240000000000002</v>
      </c>
      <c r="AU115" s="190">
        <v>7.3078000000000003</v>
      </c>
      <c r="AV115" s="190">
        <v>12.414899999999999</v>
      </c>
      <c r="AW115" s="190">
        <v>11.8294</v>
      </c>
      <c r="AX115" s="190">
        <v>18.3172</v>
      </c>
    </row>
    <row r="116" spans="1:50" ht="12.75">
      <c r="A116" s="1" t="s">
        <v>166</v>
      </c>
      <c r="B116" s="1" t="s">
        <v>109</v>
      </c>
      <c r="C116" s="179"/>
      <c r="D116" s="197" t="s">
        <v>110</v>
      </c>
      <c r="E116" s="190">
        <v>11.981299999999999</v>
      </c>
      <c r="F116" s="190">
        <v>9.8055000000000003</v>
      </c>
      <c r="G116" s="190">
        <v>9.7683999999999997</v>
      </c>
      <c r="H116" s="190">
        <v>12.6518</v>
      </c>
      <c r="I116" s="190">
        <v>16.024100000000001</v>
      </c>
      <c r="J116" s="190">
        <v>8.2355999999999998</v>
      </c>
      <c r="K116" s="190">
        <v>7.5824999999999996</v>
      </c>
      <c r="L116" s="190">
        <v>7.5163000000000002</v>
      </c>
      <c r="M116" s="190">
        <v>10.184100000000001</v>
      </c>
      <c r="N116" s="190">
        <v>8.1937999999999995</v>
      </c>
      <c r="O116" s="190">
        <v>10.7094</v>
      </c>
      <c r="P116" s="190">
        <v>10.927</v>
      </c>
      <c r="Q116" s="190">
        <v>8.6408000000000005</v>
      </c>
      <c r="R116" s="190">
        <v>7.8326000000000002</v>
      </c>
      <c r="S116" s="190">
        <v>11.764799999999999</v>
      </c>
      <c r="T116" s="190" t="s">
        <v>157</v>
      </c>
      <c r="U116" s="190" t="s">
        <v>157</v>
      </c>
      <c r="V116" s="190" t="s">
        <v>157</v>
      </c>
      <c r="W116" s="190" t="s">
        <v>157</v>
      </c>
      <c r="X116" s="190" t="s">
        <v>157</v>
      </c>
      <c r="Y116" s="190" t="s">
        <v>157</v>
      </c>
      <c r="Z116" s="190" t="s">
        <v>157</v>
      </c>
      <c r="AA116" s="190">
        <v>7.3958000000000004</v>
      </c>
      <c r="AB116" s="190" t="s">
        <v>157</v>
      </c>
      <c r="AC116" s="190" t="s">
        <v>157</v>
      </c>
      <c r="AD116" s="190" t="s">
        <v>157</v>
      </c>
      <c r="AE116" s="190" t="s">
        <v>157</v>
      </c>
      <c r="AF116" s="190" t="s">
        <v>157</v>
      </c>
      <c r="AG116" s="190" t="s">
        <v>157</v>
      </c>
      <c r="AH116" s="190" t="s">
        <v>157</v>
      </c>
      <c r="AI116" s="190" t="s">
        <v>157</v>
      </c>
      <c r="AJ116" s="190" t="s">
        <v>157</v>
      </c>
      <c r="AK116" s="190" t="s">
        <v>157</v>
      </c>
      <c r="AL116" s="190" t="s">
        <v>157</v>
      </c>
      <c r="AM116" s="190" t="s">
        <v>157</v>
      </c>
      <c r="AN116" s="190" t="s">
        <v>157</v>
      </c>
      <c r="AO116" s="190" t="s">
        <v>157</v>
      </c>
      <c r="AP116" s="190" t="s">
        <v>157</v>
      </c>
      <c r="AQ116" s="190">
        <v>13.751300000000001</v>
      </c>
      <c r="AR116" s="190">
        <v>2.5253999999999999</v>
      </c>
      <c r="AS116" s="190">
        <v>7.5307000000000004</v>
      </c>
      <c r="AT116" s="190">
        <v>7.8780999999999999</v>
      </c>
      <c r="AU116" s="190">
        <v>8.4459</v>
      </c>
      <c r="AV116" s="190" t="s">
        <v>157</v>
      </c>
      <c r="AW116" s="190" t="s">
        <v>157</v>
      </c>
      <c r="AX116" s="190" t="s">
        <v>157</v>
      </c>
    </row>
    <row r="117" spans="1:50" ht="12.75">
      <c r="C117" s="179"/>
      <c r="D117" s="197"/>
      <c r="E117" s="190"/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0"/>
      <c r="R117" s="190"/>
      <c r="S117" s="190"/>
      <c r="T117" s="190"/>
      <c r="U117" s="190"/>
      <c r="V117" s="190"/>
      <c r="W117" s="190"/>
      <c r="X117" s="190"/>
      <c r="Y117" s="190"/>
      <c r="Z117" s="190"/>
      <c r="AA117" s="190"/>
      <c r="AB117" s="190"/>
      <c r="AC117" s="190"/>
      <c r="AD117" s="190"/>
      <c r="AE117" s="190"/>
      <c r="AF117" s="190"/>
      <c r="AG117" s="190"/>
      <c r="AH117" s="190"/>
      <c r="AI117" s="190"/>
      <c r="AJ117" s="190"/>
      <c r="AK117" s="190"/>
      <c r="AL117" s="190"/>
      <c r="AM117" s="190"/>
      <c r="AN117" s="190"/>
      <c r="AO117" s="190"/>
      <c r="AP117" s="190"/>
      <c r="AQ117" s="190"/>
      <c r="AR117" s="190"/>
      <c r="AS117" s="190"/>
      <c r="AT117" s="190"/>
      <c r="AU117" s="190"/>
      <c r="AV117" s="190"/>
      <c r="AW117" s="190"/>
      <c r="AX117" s="191"/>
    </row>
    <row r="118" spans="1:50" ht="12.75">
      <c r="C118" s="179"/>
      <c r="D118" s="171" t="s">
        <v>167</v>
      </c>
      <c r="E118" s="200">
        <v>32678</v>
      </c>
      <c r="F118" s="200">
        <v>33239</v>
      </c>
      <c r="G118" s="200">
        <v>34074</v>
      </c>
      <c r="H118" s="200">
        <v>34578</v>
      </c>
      <c r="I118" s="200">
        <v>35520</v>
      </c>
      <c r="J118" s="200">
        <v>35947</v>
      </c>
      <c r="K118" s="200">
        <v>36334</v>
      </c>
      <c r="L118" s="200">
        <v>36504</v>
      </c>
      <c r="M118" s="200">
        <v>37207</v>
      </c>
      <c r="N118" s="200">
        <v>37333</v>
      </c>
      <c r="O118" s="200">
        <v>37595</v>
      </c>
      <c r="P118" s="200">
        <v>37595</v>
      </c>
      <c r="Q118" s="200">
        <v>37781</v>
      </c>
      <c r="R118" s="200">
        <v>39233</v>
      </c>
      <c r="S118" s="200">
        <v>39531</v>
      </c>
      <c r="T118" s="200">
        <v>39574</v>
      </c>
      <c r="U118" s="200">
        <v>39577</v>
      </c>
      <c r="V118" s="200">
        <v>39581</v>
      </c>
      <c r="W118" s="200">
        <v>39689</v>
      </c>
      <c r="X118" s="200">
        <v>41409</v>
      </c>
      <c r="Y118" s="200">
        <v>41610</v>
      </c>
      <c r="Z118" s="200">
        <v>41620</v>
      </c>
      <c r="AA118" s="200">
        <v>41659</v>
      </c>
      <c r="AB118" s="200">
        <v>41719</v>
      </c>
      <c r="AC118" s="200">
        <v>41768</v>
      </c>
      <c r="AD118" s="200">
        <v>41772</v>
      </c>
      <c r="AE118" s="200">
        <v>41788</v>
      </c>
      <c r="AF118" s="200">
        <v>41815</v>
      </c>
      <c r="AG118" s="200">
        <v>41823</v>
      </c>
      <c r="AH118" s="200">
        <v>41834</v>
      </c>
      <c r="AI118" s="200">
        <v>41891</v>
      </c>
      <c r="AJ118" s="200">
        <v>41913</v>
      </c>
      <c r="AK118" s="200">
        <v>41928</v>
      </c>
      <c r="AL118" s="200">
        <v>41956</v>
      </c>
      <c r="AM118" s="200">
        <v>41974</v>
      </c>
      <c r="AN118" s="200">
        <v>41983</v>
      </c>
      <c r="AO118" s="200">
        <v>41997</v>
      </c>
      <c r="AP118" s="200">
        <v>42044</v>
      </c>
      <c r="AQ118" s="200">
        <v>42060</v>
      </c>
      <c r="AR118" s="200">
        <v>42090</v>
      </c>
      <c r="AS118" s="200">
        <v>42198</v>
      </c>
      <c r="AT118" s="200">
        <v>42282</v>
      </c>
      <c r="AU118" s="200">
        <v>42327</v>
      </c>
      <c r="AV118" s="200">
        <v>42328</v>
      </c>
      <c r="AW118" s="200">
        <v>42338</v>
      </c>
      <c r="AX118" s="201">
        <v>42446</v>
      </c>
    </row>
    <row r="119" spans="1:50" ht="12.75">
      <c r="C119" s="179"/>
      <c r="D119" s="171"/>
      <c r="E119" s="231"/>
      <c r="F119" s="231"/>
      <c r="G119" s="231"/>
      <c r="H119" s="231"/>
      <c r="I119" s="231"/>
      <c r="J119" s="231"/>
      <c r="K119" s="231"/>
      <c r="L119" s="231"/>
      <c r="M119" s="231"/>
      <c r="N119" s="231"/>
      <c r="O119" s="231"/>
      <c r="P119" s="231"/>
      <c r="Q119" s="231"/>
      <c r="R119" s="231"/>
      <c r="S119" s="231"/>
      <c r="T119" s="231"/>
      <c r="U119" s="231"/>
      <c r="V119" s="231"/>
      <c r="W119" s="231"/>
      <c r="X119" s="231"/>
      <c r="Y119" s="231"/>
      <c r="Z119" s="231"/>
      <c r="AA119" s="231"/>
      <c r="AB119" s="231"/>
      <c r="AC119" s="231"/>
      <c r="AD119" s="231"/>
      <c r="AE119" s="231"/>
      <c r="AF119" s="231"/>
      <c r="AG119" s="231"/>
      <c r="AH119" s="231"/>
      <c r="AI119" s="231"/>
      <c r="AJ119" s="231"/>
      <c r="AK119" s="231"/>
      <c r="AL119" s="231"/>
      <c r="AM119" s="231"/>
      <c r="AN119" s="231"/>
      <c r="AO119" s="231"/>
      <c r="AP119" s="231"/>
      <c r="AQ119" s="231"/>
      <c r="AR119" s="231"/>
      <c r="AS119" s="231"/>
      <c r="AT119" s="231"/>
      <c r="AU119" s="231"/>
      <c r="AV119" s="231"/>
      <c r="AW119" s="231"/>
      <c r="AX119" s="231"/>
    </row>
    <row r="120" spans="1:50" s="67" customFormat="1" ht="30">
      <c r="A120" s="63"/>
      <c r="B120" s="63"/>
      <c r="C120" s="232">
        <v>7.3</v>
      </c>
      <c r="D120" s="233" t="s">
        <v>168</v>
      </c>
      <c r="E120" s="340" t="s">
        <v>1927</v>
      </c>
      <c r="F120" s="341" t="s">
        <v>1927</v>
      </c>
      <c r="G120" s="341" t="s">
        <v>1929</v>
      </c>
      <c r="H120" s="341" t="s">
        <v>1929</v>
      </c>
      <c r="I120" s="341" t="s">
        <v>1929</v>
      </c>
      <c r="J120" s="341" t="s">
        <v>1930</v>
      </c>
      <c r="K120" s="341" t="s">
        <v>172</v>
      </c>
      <c r="L120" s="341" t="s">
        <v>1932</v>
      </c>
      <c r="M120" s="341" t="s">
        <v>1927</v>
      </c>
      <c r="N120" s="341" t="s">
        <v>1933</v>
      </c>
      <c r="O120" s="341" t="s">
        <v>1929</v>
      </c>
      <c r="P120" s="341" t="s">
        <v>1928</v>
      </c>
      <c r="Q120" s="341" t="s">
        <v>1933</v>
      </c>
      <c r="R120" s="341" t="s">
        <v>1933</v>
      </c>
      <c r="S120" s="341" t="s">
        <v>1935</v>
      </c>
      <c r="T120" s="342" t="s">
        <v>177</v>
      </c>
      <c r="U120" s="342" t="s">
        <v>177</v>
      </c>
      <c r="V120" s="342" t="s">
        <v>177</v>
      </c>
      <c r="W120" s="342" t="s">
        <v>177</v>
      </c>
      <c r="X120" s="342" t="s">
        <v>178</v>
      </c>
      <c r="Y120" s="342" t="s">
        <v>171</v>
      </c>
      <c r="Z120" s="342" t="s">
        <v>178</v>
      </c>
      <c r="AA120" s="341" t="s">
        <v>1930</v>
      </c>
      <c r="AB120" s="342" t="s">
        <v>176</v>
      </c>
      <c r="AC120" s="342" t="s">
        <v>171</v>
      </c>
      <c r="AD120" s="342" t="s">
        <v>179</v>
      </c>
      <c r="AE120" s="342" t="s">
        <v>179</v>
      </c>
      <c r="AF120" s="342" t="s">
        <v>179</v>
      </c>
      <c r="AG120" s="342" t="s">
        <v>179</v>
      </c>
      <c r="AH120" s="342" t="s">
        <v>171</v>
      </c>
      <c r="AI120" s="342" t="s">
        <v>180</v>
      </c>
      <c r="AJ120" s="342" t="s">
        <v>171</v>
      </c>
      <c r="AK120" s="342" t="s">
        <v>179</v>
      </c>
      <c r="AL120" s="342" t="s">
        <v>179</v>
      </c>
      <c r="AM120" s="342" t="s">
        <v>180</v>
      </c>
      <c r="AN120" s="342" t="s">
        <v>179</v>
      </c>
      <c r="AO120" s="341" t="s">
        <v>1936</v>
      </c>
      <c r="AP120" s="342" t="s">
        <v>176</v>
      </c>
      <c r="AQ120" s="341" t="s">
        <v>1937</v>
      </c>
      <c r="AR120" s="341" t="s">
        <v>1938</v>
      </c>
      <c r="AS120" s="341" t="s">
        <v>1930</v>
      </c>
      <c r="AT120" s="341" t="s">
        <v>1930</v>
      </c>
      <c r="AU120" s="341" t="s">
        <v>1930</v>
      </c>
      <c r="AV120" s="341" t="s">
        <v>1928</v>
      </c>
      <c r="AW120" s="341" t="s">
        <v>1929</v>
      </c>
      <c r="AX120" s="341" t="s">
        <v>1939</v>
      </c>
    </row>
    <row r="121" spans="1:50" s="73" customFormat="1" ht="25.5" hidden="1">
      <c r="A121" s="1"/>
      <c r="B121" s="1"/>
      <c r="C121" s="203">
        <v>7.3</v>
      </c>
      <c r="D121" s="343" t="s">
        <v>168</v>
      </c>
      <c r="E121" s="344" t="s">
        <v>169</v>
      </c>
      <c r="F121" s="344" t="s">
        <v>169</v>
      </c>
      <c r="G121" s="345" t="s">
        <v>185</v>
      </c>
      <c r="H121" s="345" t="s">
        <v>185</v>
      </c>
      <c r="I121" s="345" t="s">
        <v>185</v>
      </c>
      <c r="J121" s="344" t="s">
        <v>171</v>
      </c>
      <c r="K121" s="344" t="s">
        <v>172</v>
      </c>
      <c r="L121" s="344" t="s">
        <v>173</v>
      </c>
      <c r="M121" s="344" t="s">
        <v>169</v>
      </c>
      <c r="N121" s="344" t="s">
        <v>174</v>
      </c>
      <c r="O121" s="345" t="s">
        <v>185</v>
      </c>
      <c r="P121" s="344" t="s">
        <v>175</v>
      </c>
      <c r="Q121" s="344" t="s">
        <v>174</v>
      </c>
      <c r="R121" s="344" t="s">
        <v>174</v>
      </c>
      <c r="S121" s="344" t="s">
        <v>176</v>
      </c>
      <c r="T121" s="345" t="s">
        <v>177</v>
      </c>
      <c r="U121" s="345" t="s">
        <v>177</v>
      </c>
      <c r="V121" s="345" t="s">
        <v>177</v>
      </c>
      <c r="W121" s="345" t="s">
        <v>177</v>
      </c>
      <c r="X121" s="345" t="s">
        <v>178</v>
      </c>
      <c r="Y121" s="345" t="s">
        <v>171</v>
      </c>
      <c r="Z121" s="345" t="s">
        <v>178</v>
      </c>
      <c r="AA121" s="345" t="s">
        <v>171</v>
      </c>
      <c r="AB121" s="345" t="s">
        <v>176</v>
      </c>
      <c r="AC121" s="345" t="s">
        <v>171</v>
      </c>
      <c r="AD121" s="345" t="s">
        <v>179</v>
      </c>
      <c r="AE121" s="345" t="s">
        <v>179</v>
      </c>
      <c r="AF121" s="345" t="s">
        <v>179</v>
      </c>
      <c r="AG121" s="345" t="s">
        <v>179</v>
      </c>
      <c r="AH121" s="345" t="s">
        <v>171</v>
      </c>
      <c r="AI121" s="345" t="s">
        <v>180</v>
      </c>
      <c r="AJ121" s="345" t="s">
        <v>171</v>
      </c>
      <c r="AK121" s="345" t="s">
        <v>179</v>
      </c>
      <c r="AL121" s="345" t="s">
        <v>179</v>
      </c>
      <c r="AM121" s="345" t="s">
        <v>180</v>
      </c>
      <c r="AN121" s="345" t="s">
        <v>179</v>
      </c>
      <c r="AO121" s="345" t="s">
        <v>186</v>
      </c>
      <c r="AP121" s="345" t="s">
        <v>176</v>
      </c>
      <c r="AQ121" s="345" t="s">
        <v>187</v>
      </c>
      <c r="AR121" s="345" t="s">
        <v>183</v>
      </c>
      <c r="AS121" s="345" t="s">
        <v>171</v>
      </c>
      <c r="AT121" s="345" t="s">
        <v>171</v>
      </c>
      <c r="AU121" s="345" t="s">
        <v>171</v>
      </c>
      <c r="AV121" s="345" t="s">
        <v>175</v>
      </c>
      <c r="AW121" s="345" t="s">
        <v>185</v>
      </c>
      <c r="AX121" s="346" t="s">
        <v>188</v>
      </c>
    </row>
    <row r="122" spans="1:50" s="73" customFormat="1" ht="30">
      <c r="A122" s="1"/>
      <c r="B122" s="1"/>
      <c r="C122" s="203"/>
      <c r="D122" s="233" t="s">
        <v>1926</v>
      </c>
      <c r="E122" s="341" t="s">
        <v>1928</v>
      </c>
      <c r="F122" s="341" t="s">
        <v>1928</v>
      </c>
      <c r="G122" s="341" t="s">
        <v>1928</v>
      </c>
      <c r="H122" s="341" t="s">
        <v>1928</v>
      </c>
      <c r="I122" s="341" t="s">
        <v>1928</v>
      </c>
      <c r="J122" s="341" t="s">
        <v>1931</v>
      </c>
      <c r="K122" s="341" t="s">
        <v>1931</v>
      </c>
      <c r="L122" s="341" t="s">
        <v>1931</v>
      </c>
      <c r="M122" s="341" t="s">
        <v>1928</v>
      </c>
      <c r="N122" s="341" t="s">
        <v>1934</v>
      </c>
      <c r="O122" s="341" t="s">
        <v>1928</v>
      </c>
      <c r="P122" s="341" t="s">
        <v>1929</v>
      </c>
      <c r="Q122" s="341" t="s">
        <v>1934</v>
      </c>
      <c r="R122" s="341" t="s">
        <v>1934</v>
      </c>
      <c r="S122" s="341" t="s">
        <v>1928</v>
      </c>
      <c r="T122" s="347"/>
      <c r="U122" s="347"/>
      <c r="V122" s="347"/>
      <c r="W122" s="347"/>
      <c r="X122" s="347"/>
      <c r="Y122" s="347"/>
      <c r="Z122" s="347"/>
      <c r="AA122" s="341" t="s">
        <v>1934</v>
      </c>
      <c r="AB122" s="347"/>
      <c r="AC122" s="347"/>
      <c r="AD122" s="347"/>
      <c r="AE122" s="347"/>
      <c r="AF122" s="347"/>
      <c r="AG122" s="347"/>
      <c r="AH122" s="347"/>
      <c r="AI122" s="347"/>
      <c r="AJ122" s="347"/>
      <c r="AK122" s="347"/>
      <c r="AL122" s="347"/>
      <c r="AM122" s="347"/>
      <c r="AN122" s="347"/>
      <c r="AO122" s="341" t="s">
        <v>1931</v>
      </c>
      <c r="AP122" s="347"/>
      <c r="AQ122" s="341" t="s">
        <v>1928</v>
      </c>
      <c r="AR122" s="341" t="s">
        <v>1928</v>
      </c>
      <c r="AS122" s="341" t="s">
        <v>1934</v>
      </c>
      <c r="AT122" s="341" t="s">
        <v>1934</v>
      </c>
      <c r="AU122" s="341" t="s">
        <v>1934</v>
      </c>
      <c r="AV122" s="341" t="s">
        <v>1929</v>
      </c>
      <c r="AW122" s="341" t="s">
        <v>1928</v>
      </c>
      <c r="AX122" s="341" t="s">
        <v>1928</v>
      </c>
    </row>
    <row r="123" spans="1:50" ht="12.75">
      <c r="C123" s="179"/>
      <c r="D123" s="171"/>
      <c r="E123" s="202"/>
      <c r="F123" s="202"/>
      <c r="G123" s="202"/>
      <c r="H123" s="202"/>
      <c r="I123" s="202"/>
      <c r="J123" s="202"/>
      <c r="K123" s="202"/>
      <c r="L123" s="202"/>
      <c r="M123" s="202"/>
      <c r="N123" s="202"/>
      <c r="O123" s="202"/>
      <c r="P123" s="202"/>
      <c r="Q123" s="202"/>
      <c r="R123" s="202"/>
      <c r="S123" s="202"/>
      <c r="T123" s="202"/>
      <c r="U123" s="202"/>
      <c r="V123" s="202"/>
      <c r="W123" s="202"/>
      <c r="X123" s="202"/>
      <c r="Y123" s="202"/>
      <c r="Z123" s="202"/>
      <c r="AA123" s="202"/>
      <c r="AB123" s="202"/>
      <c r="AC123" s="202"/>
      <c r="AD123" s="202"/>
      <c r="AE123" s="202"/>
      <c r="AF123" s="202"/>
      <c r="AG123" s="202"/>
      <c r="AH123" s="202"/>
      <c r="AI123" s="202"/>
      <c r="AJ123" s="202"/>
      <c r="AK123" s="202"/>
      <c r="AL123" s="202"/>
      <c r="AM123" s="202"/>
      <c r="AN123" s="202"/>
      <c r="AO123" s="202"/>
      <c r="AP123" s="202"/>
      <c r="AQ123" s="202"/>
      <c r="AR123" s="202"/>
      <c r="AS123" s="202"/>
      <c r="AT123" s="202"/>
      <c r="AU123" s="202"/>
      <c r="AV123" s="202"/>
      <c r="AW123" s="202"/>
      <c r="AX123" s="202"/>
    </row>
    <row r="124" spans="1:50" ht="12.75">
      <c r="C124" s="179"/>
      <c r="D124" s="169" t="s">
        <v>189</v>
      </c>
      <c r="E124" s="202"/>
      <c r="F124" s="202"/>
      <c r="G124" s="202"/>
      <c r="H124" s="202"/>
      <c r="I124" s="202"/>
      <c r="J124" s="202"/>
      <c r="K124" s="202"/>
      <c r="L124" s="202"/>
      <c r="M124" s="202"/>
      <c r="N124" s="202"/>
      <c r="O124" s="202"/>
      <c r="P124" s="202"/>
      <c r="Q124" s="202"/>
      <c r="R124" s="202"/>
      <c r="S124" s="202"/>
      <c r="T124" s="202"/>
      <c r="U124" s="202"/>
      <c r="V124" s="202"/>
      <c r="W124" s="202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4"/>
      <c r="AV124" s="194"/>
      <c r="AW124" s="194"/>
      <c r="AX124" s="195"/>
    </row>
    <row r="125" spans="1:50" ht="12.75">
      <c r="C125" s="179"/>
      <c r="D125" s="171" t="s">
        <v>190</v>
      </c>
      <c r="E125" s="202"/>
      <c r="F125" s="202"/>
      <c r="G125" s="202"/>
      <c r="H125" s="202"/>
      <c r="I125" s="202"/>
      <c r="J125" s="202"/>
      <c r="K125" s="202"/>
      <c r="L125" s="202"/>
      <c r="M125" s="202"/>
      <c r="N125" s="202"/>
      <c r="O125" s="202"/>
      <c r="P125" s="202"/>
      <c r="Q125" s="202"/>
      <c r="R125" s="202"/>
      <c r="S125" s="202"/>
      <c r="T125" s="202"/>
      <c r="U125" s="202"/>
      <c r="V125" s="202"/>
      <c r="W125" s="202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4"/>
      <c r="AV125" s="194"/>
      <c r="AW125" s="194"/>
      <c r="AX125" s="195"/>
    </row>
    <row r="126" spans="1:50" ht="12.75">
      <c r="A126" s="1" t="s">
        <v>156</v>
      </c>
      <c r="B126" s="1" t="s">
        <v>105</v>
      </c>
      <c r="C126" s="179"/>
      <c r="D126" s="197" t="s">
        <v>1880</v>
      </c>
      <c r="E126" s="190">
        <v>2.8953065979673065</v>
      </c>
      <c r="F126" s="190">
        <v>2.8953065979673065</v>
      </c>
      <c r="G126" s="190">
        <v>5.7327365143122533</v>
      </c>
      <c r="H126" s="190">
        <v>5.7327365143122533</v>
      </c>
      <c r="I126" s="190">
        <v>5.7327365143122533</v>
      </c>
      <c r="J126" s="190">
        <v>1.1624104560205684</v>
      </c>
      <c r="K126" s="190">
        <v>0.61868827667532766</v>
      </c>
      <c r="L126" s="190">
        <v>0.90472420277660781</v>
      </c>
      <c r="M126" s="190">
        <v>2.8953065979673065</v>
      </c>
      <c r="N126" s="190">
        <v>6.8704162145586976</v>
      </c>
      <c r="O126" s="190">
        <v>5.7327365143122533</v>
      </c>
      <c r="P126" s="190">
        <v>3.846467829889022</v>
      </c>
      <c r="Q126" s="190">
        <v>3.3871387681048359</v>
      </c>
      <c r="R126" s="190">
        <v>3.3871387681048359</v>
      </c>
      <c r="S126" s="190">
        <v>3.7505785197817998</v>
      </c>
      <c r="T126" s="190" t="s">
        <v>157</v>
      </c>
      <c r="U126" s="190" t="s">
        <v>157</v>
      </c>
      <c r="V126" s="190" t="s">
        <v>157</v>
      </c>
      <c r="W126" s="190" t="s">
        <v>157</v>
      </c>
      <c r="X126" s="190" t="s">
        <v>157</v>
      </c>
      <c r="Y126" s="190" t="s">
        <v>157</v>
      </c>
      <c r="Z126" s="190" t="s">
        <v>157</v>
      </c>
      <c r="AA126" s="190">
        <v>1.1624104560205684</v>
      </c>
      <c r="AB126" s="190" t="s">
        <v>157</v>
      </c>
      <c r="AC126" s="190" t="s">
        <v>157</v>
      </c>
      <c r="AD126" s="190" t="s">
        <v>157</v>
      </c>
      <c r="AE126" s="190" t="s">
        <v>157</v>
      </c>
      <c r="AF126" s="190" t="s">
        <v>157</v>
      </c>
      <c r="AG126" s="190" t="s">
        <v>157</v>
      </c>
      <c r="AH126" s="190" t="s">
        <v>157</v>
      </c>
      <c r="AI126" s="190" t="s">
        <v>157</v>
      </c>
      <c r="AJ126" s="190" t="s">
        <v>157</v>
      </c>
      <c r="AK126" s="190" t="s">
        <v>157</v>
      </c>
      <c r="AL126" s="190" t="s">
        <v>157</v>
      </c>
      <c r="AM126" s="190" t="s">
        <v>157</v>
      </c>
      <c r="AN126" s="190" t="s">
        <v>157</v>
      </c>
      <c r="AO126" s="190">
        <v>-0.97218128117541047</v>
      </c>
      <c r="AP126" s="190" t="s">
        <v>157</v>
      </c>
      <c r="AQ126" s="190">
        <v>4.0036060283386909</v>
      </c>
      <c r="AR126" s="190">
        <v>0.63874206616563178</v>
      </c>
      <c r="AS126" s="190">
        <v>1.1624104560205684</v>
      </c>
      <c r="AT126" s="190">
        <v>1.1624104560205684</v>
      </c>
      <c r="AU126" s="190">
        <v>1.1624104560205684</v>
      </c>
      <c r="AV126" s="190">
        <v>3.846467829889022</v>
      </c>
      <c r="AW126" s="190">
        <v>5.7327365143122533</v>
      </c>
      <c r="AX126" s="190">
        <v>3.8246358333950514</v>
      </c>
    </row>
    <row r="127" spans="1:50" ht="12.75">
      <c r="A127" s="1" t="s">
        <v>156</v>
      </c>
      <c r="B127" s="1" t="s">
        <v>109</v>
      </c>
      <c r="C127" s="179"/>
      <c r="D127" s="197" t="s">
        <v>1881</v>
      </c>
      <c r="E127" s="190">
        <v>3.85</v>
      </c>
      <c r="F127" s="190">
        <v>3.85</v>
      </c>
      <c r="G127" s="190">
        <v>3.85</v>
      </c>
      <c r="H127" s="190">
        <v>3.85</v>
      </c>
      <c r="I127" s="190">
        <v>3.85</v>
      </c>
      <c r="J127" s="190">
        <v>-2.66</v>
      </c>
      <c r="K127" s="190">
        <v>-2.66</v>
      </c>
      <c r="L127" s="190">
        <v>-2.66</v>
      </c>
      <c r="M127" s="190">
        <v>3.85</v>
      </c>
      <c r="N127" s="190">
        <v>6.15</v>
      </c>
      <c r="O127" s="190">
        <v>3.85</v>
      </c>
      <c r="P127" s="190">
        <v>5.73</v>
      </c>
      <c r="Q127" s="190">
        <v>3.03</v>
      </c>
      <c r="R127" s="190">
        <v>3.03</v>
      </c>
      <c r="S127" s="190">
        <v>3.85</v>
      </c>
      <c r="T127" s="190" t="s">
        <v>157</v>
      </c>
      <c r="U127" s="190" t="s">
        <v>157</v>
      </c>
      <c r="V127" s="190" t="s">
        <v>157</v>
      </c>
      <c r="W127" s="190" t="s">
        <v>157</v>
      </c>
      <c r="X127" s="190" t="s">
        <v>157</v>
      </c>
      <c r="Y127" s="190" t="s">
        <v>157</v>
      </c>
      <c r="Z127" s="190" t="s">
        <v>157</v>
      </c>
      <c r="AA127" s="190">
        <v>3.03</v>
      </c>
      <c r="AB127" s="190" t="s">
        <v>157</v>
      </c>
      <c r="AC127" s="190" t="s">
        <v>157</v>
      </c>
      <c r="AD127" s="190" t="s">
        <v>157</v>
      </c>
      <c r="AE127" s="190" t="s">
        <v>157</v>
      </c>
      <c r="AF127" s="190" t="s">
        <v>157</v>
      </c>
      <c r="AG127" s="190" t="s">
        <v>157</v>
      </c>
      <c r="AH127" s="190" t="s">
        <v>157</v>
      </c>
      <c r="AI127" s="190" t="s">
        <v>157</v>
      </c>
      <c r="AJ127" s="190" t="s">
        <v>157</v>
      </c>
      <c r="AK127" s="190" t="s">
        <v>157</v>
      </c>
      <c r="AL127" s="190" t="s">
        <v>157</v>
      </c>
      <c r="AM127" s="190" t="s">
        <v>157</v>
      </c>
      <c r="AN127" s="190" t="s">
        <v>157</v>
      </c>
      <c r="AO127" s="190" t="s">
        <v>157</v>
      </c>
      <c r="AP127" s="190" t="s">
        <v>157</v>
      </c>
      <c r="AQ127" s="190">
        <v>3.85</v>
      </c>
      <c r="AR127" s="190">
        <v>3.85</v>
      </c>
      <c r="AS127" s="190">
        <v>3.03</v>
      </c>
      <c r="AT127" s="190">
        <v>3.03</v>
      </c>
      <c r="AU127" s="190">
        <v>3.03</v>
      </c>
      <c r="AV127" s="190" t="s">
        <v>157</v>
      </c>
      <c r="AW127" s="190" t="s">
        <v>157</v>
      </c>
      <c r="AX127" s="190" t="s">
        <v>157</v>
      </c>
    </row>
    <row r="128" spans="1:50" ht="12.75">
      <c r="C128" s="179"/>
      <c r="D128" s="171" t="s">
        <v>191</v>
      </c>
      <c r="E128" s="190"/>
      <c r="F128" s="190"/>
      <c r="G128" s="190"/>
      <c r="H128" s="190"/>
      <c r="I128" s="190"/>
      <c r="J128" s="190"/>
      <c r="K128" s="190"/>
      <c r="L128" s="190"/>
      <c r="M128" s="190"/>
      <c r="N128" s="190"/>
      <c r="O128" s="190"/>
      <c r="P128" s="190"/>
      <c r="Q128" s="190"/>
      <c r="R128" s="190"/>
      <c r="S128" s="190"/>
      <c r="T128" s="190"/>
      <c r="U128" s="190"/>
      <c r="V128" s="190"/>
      <c r="W128" s="190"/>
      <c r="X128" s="190"/>
      <c r="Y128" s="190"/>
      <c r="Z128" s="190"/>
      <c r="AA128" s="190"/>
      <c r="AB128" s="190"/>
      <c r="AC128" s="190"/>
      <c r="AD128" s="190"/>
      <c r="AE128" s="190"/>
      <c r="AF128" s="190"/>
      <c r="AG128" s="190"/>
      <c r="AH128" s="190"/>
      <c r="AI128" s="190"/>
      <c r="AJ128" s="190"/>
      <c r="AK128" s="190"/>
      <c r="AL128" s="190"/>
      <c r="AM128" s="190"/>
      <c r="AN128" s="190"/>
      <c r="AO128" s="190"/>
      <c r="AP128" s="190"/>
      <c r="AQ128" s="190"/>
      <c r="AR128" s="190"/>
      <c r="AS128" s="190"/>
      <c r="AT128" s="190"/>
      <c r="AU128" s="190"/>
      <c r="AV128" s="190"/>
      <c r="AW128" s="190"/>
      <c r="AX128" s="191"/>
    </row>
    <row r="129" spans="1:50" ht="12.75">
      <c r="A129" s="1" t="s">
        <v>160</v>
      </c>
      <c r="B129" s="1" t="s">
        <v>105</v>
      </c>
      <c r="C129" s="179"/>
      <c r="D129" s="197" t="s">
        <v>1880</v>
      </c>
      <c r="E129" s="190">
        <v>10.0511</v>
      </c>
      <c r="F129" s="190">
        <v>10.0511</v>
      </c>
      <c r="G129" s="190">
        <v>12.813800000000001</v>
      </c>
      <c r="H129" s="190">
        <v>12.813800000000001</v>
      </c>
      <c r="I129" s="190">
        <v>12.813800000000001</v>
      </c>
      <c r="J129" s="190">
        <v>6.2645999999999997</v>
      </c>
      <c r="K129" s="190">
        <v>5.0989000000000004</v>
      </c>
      <c r="L129" s="190">
        <v>5.0991</v>
      </c>
      <c r="M129" s="190">
        <v>10.0511</v>
      </c>
      <c r="N129" s="190">
        <v>6.8446999999999996</v>
      </c>
      <c r="O129" s="190">
        <v>12.813800000000001</v>
      </c>
      <c r="P129" s="190">
        <v>11.861800000000001</v>
      </c>
      <c r="Q129" s="190">
        <v>6.8449999999999998</v>
      </c>
      <c r="R129" s="190">
        <v>6.8449999999999998</v>
      </c>
      <c r="S129" s="190">
        <v>12.228</v>
      </c>
      <c r="T129" s="190" t="s">
        <v>157</v>
      </c>
      <c r="U129" s="190" t="s">
        <v>157</v>
      </c>
      <c r="V129" s="190" t="s">
        <v>157</v>
      </c>
      <c r="W129" s="190" t="s">
        <v>157</v>
      </c>
      <c r="X129" s="190" t="s">
        <v>157</v>
      </c>
      <c r="Y129" s="190" t="s">
        <v>157</v>
      </c>
      <c r="Z129" s="190" t="s">
        <v>157</v>
      </c>
      <c r="AA129" s="190">
        <v>6.2645999999999997</v>
      </c>
      <c r="AB129" s="190" t="s">
        <v>157</v>
      </c>
      <c r="AC129" s="190" t="s">
        <v>157</v>
      </c>
      <c r="AD129" s="190" t="s">
        <v>157</v>
      </c>
      <c r="AE129" s="190" t="s">
        <v>157</v>
      </c>
      <c r="AF129" s="190" t="s">
        <v>157</v>
      </c>
      <c r="AG129" s="190" t="s">
        <v>157</v>
      </c>
      <c r="AH129" s="190" t="s">
        <v>157</v>
      </c>
      <c r="AI129" s="190" t="s">
        <v>157</v>
      </c>
      <c r="AJ129" s="190" t="s">
        <v>157</v>
      </c>
      <c r="AK129" s="190" t="s">
        <v>157</v>
      </c>
      <c r="AL129" s="190" t="s">
        <v>157</v>
      </c>
      <c r="AM129" s="190" t="s">
        <v>157</v>
      </c>
      <c r="AN129" s="190" t="s">
        <v>157</v>
      </c>
      <c r="AO129" s="190">
        <v>2.0992000000000002</v>
      </c>
      <c r="AP129" s="190" t="s">
        <v>157</v>
      </c>
      <c r="AQ129" s="190">
        <v>10.3398</v>
      </c>
      <c r="AR129" s="190">
        <v>12.198499999999999</v>
      </c>
      <c r="AS129" s="190">
        <v>6.2645999999999997</v>
      </c>
      <c r="AT129" s="190">
        <v>6.2645999999999997</v>
      </c>
      <c r="AU129" s="190">
        <v>6.2645999999999997</v>
      </c>
      <c r="AV129" s="190">
        <v>11.861800000000001</v>
      </c>
      <c r="AW129" s="190">
        <v>12.813800000000001</v>
      </c>
      <c r="AX129" s="190">
        <v>12.3287</v>
      </c>
    </row>
    <row r="130" spans="1:50" ht="12.75">
      <c r="A130" s="1" t="s">
        <v>160</v>
      </c>
      <c r="B130" s="1" t="s">
        <v>109</v>
      </c>
      <c r="C130" s="179"/>
      <c r="D130" s="197" t="s">
        <v>1881</v>
      </c>
      <c r="E130" s="190">
        <v>11.861800000000001</v>
      </c>
      <c r="F130" s="190">
        <v>11.861800000000001</v>
      </c>
      <c r="G130" s="190">
        <v>11.861800000000001</v>
      </c>
      <c r="H130" s="190">
        <v>11.861800000000001</v>
      </c>
      <c r="I130" s="190">
        <v>11.861800000000001</v>
      </c>
      <c r="J130" s="190">
        <v>-0.42270000000000002</v>
      </c>
      <c r="K130" s="190">
        <v>-0.42270000000000002</v>
      </c>
      <c r="L130" s="190" t="e">
        <v>#N/A</v>
      </c>
      <c r="M130" s="190">
        <v>11.861800000000001</v>
      </c>
      <c r="N130" s="190">
        <v>5.9208999999999996</v>
      </c>
      <c r="O130" s="190">
        <v>11.861800000000001</v>
      </c>
      <c r="P130" s="190">
        <v>12.813800000000001</v>
      </c>
      <c r="Q130" s="190">
        <v>5.9185999999999996</v>
      </c>
      <c r="R130" s="190">
        <v>5.9185999999999996</v>
      </c>
      <c r="S130" s="190">
        <v>11.861800000000001</v>
      </c>
      <c r="T130" s="190" t="s">
        <v>157</v>
      </c>
      <c r="U130" s="190" t="s">
        <v>157</v>
      </c>
      <c r="V130" s="190" t="s">
        <v>157</v>
      </c>
      <c r="W130" s="190" t="s">
        <v>157</v>
      </c>
      <c r="X130" s="190" t="e">
        <v>#N/A</v>
      </c>
      <c r="Y130" s="190" t="e">
        <v>#N/A</v>
      </c>
      <c r="Z130" s="190" t="e">
        <v>#N/A</v>
      </c>
      <c r="AA130" s="190">
        <v>5.9185999999999996</v>
      </c>
      <c r="AB130" s="190" t="e">
        <v>#N/A</v>
      </c>
      <c r="AC130" s="190" t="e">
        <v>#N/A</v>
      </c>
      <c r="AD130" s="190" t="e">
        <v>#N/A</v>
      </c>
      <c r="AE130" s="190" t="e">
        <v>#N/A</v>
      </c>
      <c r="AF130" s="190" t="e">
        <v>#N/A</v>
      </c>
      <c r="AG130" s="190" t="e">
        <v>#N/A</v>
      </c>
      <c r="AH130" s="190" t="e">
        <v>#N/A</v>
      </c>
      <c r="AI130" s="190" t="e">
        <v>#N/A</v>
      </c>
      <c r="AJ130" s="190" t="s">
        <v>157</v>
      </c>
      <c r="AK130" s="190" t="s">
        <v>157</v>
      </c>
      <c r="AL130" s="190" t="s">
        <v>157</v>
      </c>
      <c r="AM130" s="190" t="s">
        <v>157</v>
      </c>
      <c r="AN130" s="190" t="s">
        <v>157</v>
      </c>
      <c r="AO130" s="190">
        <v>-0.42270000000000002</v>
      </c>
      <c r="AP130" s="190" t="s">
        <v>157</v>
      </c>
      <c r="AQ130" s="190">
        <v>11.861800000000001</v>
      </c>
      <c r="AR130" s="190">
        <v>11.861800000000001</v>
      </c>
      <c r="AS130" s="190">
        <v>5.9185999999999996</v>
      </c>
      <c r="AT130" s="190">
        <v>5.9185999999999996</v>
      </c>
      <c r="AU130" s="190">
        <v>5.9185999999999996</v>
      </c>
      <c r="AV130" s="190">
        <v>12.813800000000001</v>
      </c>
      <c r="AW130" s="190">
        <v>11.861800000000001</v>
      </c>
      <c r="AX130" s="190">
        <v>11.861800000000001</v>
      </c>
    </row>
    <row r="131" spans="1:50" ht="12.75">
      <c r="C131" s="179"/>
      <c r="D131" s="177" t="s">
        <v>192</v>
      </c>
      <c r="E131" s="190"/>
      <c r="F131" s="190"/>
      <c r="G131" s="190"/>
      <c r="H131" s="190"/>
      <c r="I131" s="190"/>
      <c r="J131" s="190"/>
      <c r="K131" s="190"/>
      <c r="L131" s="190"/>
      <c r="M131" s="190"/>
      <c r="N131" s="190"/>
      <c r="O131" s="190"/>
      <c r="P131" s="190"/>
      <c r="Q131" s="190"/>
      <c r="R131" s="190"/>
      <c r="S131" s="190"/>
      <c r="T131" s="190"/>
      <c r="U131" s="190"/>
      <c r="V131" s="190"/>
      <c r="W131" s="190"/>
      <c r="X131" s="190"/>
      <c r="Y131" s="190"/>
      <c r="Z131" s="190"/>
      <c r="AA131" s="190"/>
      <c r="AB131" s="190"/>
      <c r="AC131" s="190"/>
      <c r="AD131" s="190"/>
      <c r="AE131" s="190"/>
      <c r="AF131" s="190"/>
      <c r="AG131" s="190"/>
      <c r="AH131" s="190"/>
      <c r="AI131" s="190"/>
      <c r="AJ131" s="190"/>
      <c r="AK131" s="190"/>
      <c r="AL131" s="190"/>
      <c r="AM131" s="190"/>
      <c r="AN131" s="190"/>
      <c r="AO131" s="190"/>
      <c r="AP131" s="190"/>
      <c r="AQ131" s="190"/>
      <c r="AR131" s="190"/>
      <c r="AS131" s="190"/>
      <c r="AT131" s="190"/>
      <c r="AU131" s="190"/>
      <c r="AV131" s="190"/>
      <c r="AW131" s="190"/>
      <c r="AX131" s="191"/>
    </row>
    <row r="132" spans="1:50" ht="12.75">
      <c r="A132" s="1" t="s">
        <v>162</v>
      </c>
      <c r="B132" s="1" t="s">
        <v>105</v>
      </c>
      <c r="C132" s="204"/>
      <c r="D132" s="197" t="s">
        <v>1880</v>
      </c>
      <c r="E132" s="190">
        <v>9.1189</v>
      </c>
      <c r="F132" s="190">
        <v>9.1189</v>
      </c>
      <c r="G132" s="190">
        <v>7.1435000000000004</v>
      </c>
      <c r="H132" s="190">
        <v>7.1435000000000004</v>
      </c>
      <c r="I132" s="190">
        <v>7.1435000000000004</v>
      </c>
      <c r="J132" s="190">
        <v>8.4212000000000007</v>
      </c>
      <c r="K132" s="190">
        <v>8.1153999999999993</v>
      </c>
      <c r="L132" s="190">
        <v>8.0533000000000001</v>
      </c>
      <c r="M132" s="190">
        <v>9.1189</v>
      </c>
      <c r="N132" s="190">
        <v>7.3310000000000004</v>
      </c>
      <c r="O132" s="190">
        <v>7.1435000000000004</v>
      </c>
      <c r="P132" s="190">
        <v>7.3834999999999997</v>
      </c>
      <c r="Q132" s="190">
        <v>7.3323999999999998</v>
      </c>
      <c r="R132" s="190">
        <v>7.3323999999999998</v>
      </c>
      <c r="S132" s="190">
        <v>8.3931000000000004</v>
      </c>
      <c r="T132" s="190" t="s">
        <v>157</v>
      </c>
      <c r="U132" s="190" t="s">
        <v>157</v>
      </c>
      <c r="V132" s="190" t="s">
        <v>157</v>
      </c>
      <c r="W132" s="190" t="s">
        <v>157</v>
      </c>
      <c r="X132" s="190" t="s">
        <v>157</v>
      </c>
      <c r="Y132" s="190" t="s">
        <v>157</v>
      </c>
      <c r="Z132" s="190" t="s">
        <v>157</v>
      </c>
      <c r="AA132" s="190">
        <v>8.4212000000000007</v>
      </c>
      <c r="AB132" s="190" t="s">
        <v>157</v>
      </c>
      <c r="AC132" s="190" t="s">
        <v>157</v>
      </c>
      <c r="AD132" s="190" t="s">
        <v>157</v>
      </c>
      <c r="AE132" s="190" t="s">
        <v>157</v>
      </c>
      <c r="AF132" s="190" t="s">
        <v>157</v>
      </c>
      <c r="AG132" s="190" t="s">
        <v>157</v>
      </c>
      <c r="AH132" s="190" t="s">
        <v>157</v>
      </c>
      <c r="AI132" s="190" t="s">
        <v>157</v>
      </c>
      <c r="AJ132" s="190" t="s">
        <v>157</v>
      </c>
      <c r="AK132" s="190" t="s">
        <v>157</v>
      </c>
      <c r="AL132" s="190" t="s">
        <v>157</v>
      </c>
      <c r="AM132" s="190" t="s">
        <v>157</v>
      </c>
      <c r="AN132" s="190" t="s">
        <v>157</v>
      </c>
      <c r="AO132" s="190">
        <v>7.1765999999999996</v>
      </c>
      <c r="AP132" s="190" t="s">
        <v>157</v>
      </c>
      <c r="AQ132" s="190">
        <v>14.392799999999999</v>
      </c>
      <c r="AR132" s="190">
        <v>10.205500000000001</v>
      </c>
      <c r="AS132" s="190" t="s">
        <v>157</v>
      </c>
      <c r="AT132" s="190" t="s">
        <v>157</v>
      </c>
      <c r="AU132" s="190" t="s">
        <v>157</v>
      </c>
      <c r="AV132" s="190" t="s">
        <v>157</v>
      </c>
      <c r="AW132" s="190" t="s">
        <v>157</v>
      </c>
      <c r="AX132" s="190" t="s">
        <v>157</v>
      </c>
    </row>
    <row r="133" spans="1:50" ht="12.75">
      <c r="A133" s="1" t="s">
        <v>162</v>
      </c>
      <c r="B133" s="1" t="s">
        <v>109</v>
      </c>
      <c r="C133" s="204"/>
      <c r="D133" s="197" t="s">
        <v>1881</v>
      </c>
      <c r="E133" s="190">
        <v>7.3834999999999997</v>
      </c>
      <c r="F133" s="190">
        <v>7.3834999999999997</v>
      </c>
      <c r="G133" s="190">
        <v>7.3834999999999997</v>
      </c>
      <c r="H133" s="190">
        <v>7.3834999999999997</v>
      </c>
      <c r="I133" s="190">
        <v>7.3834999999999997</v>
      </c>
      <c r="J133" s="190">
        <v>6.3624000000000001</v>
      </c>
      <c r="K133" s="190">
        <v>6.3624000000000001</v>
      </c>
      <c r="L133" s="190" t="e">
        <v>#N/A</v>
      </c>
      <c r="M133" s="190">
        <v>7.3834999999999997</v>
      </c>
      <c r="N133" s="190">
        <v>6.9126000000000003</v>
      </c>
      <c r="O133" s="190">
        <v>7.3834999999999997</v>
      </c>
      <c r="P133" s="190">
        <v>7.1435000000000004</v>
      </c>
      <c r="Q133" s="190">
        <v>6.9145000000000003</v>
      </c>
      <c r="R133" s="190">
        <v>6.9145000000000003</v>
      </c>
      <c r="S133" s="190">
        <v>7.3834999999999997</v>
      </c>
      <c r="T133" s="190" t="s">
        <v>157</v>
      </c>
      <c r="U133" s="190" t="s">
        <v>157</v>
      </c>
      <c r="V133" s="190" t="s">
        <v>157</v>
      </c>
      <c r="W133" s="190" t="s">
        <v>157</v>
      </c>
      <c r="X133" s="190" t="e">
        <v>#N/A</v>
      </c>
      <c r="Y133" s="190" t="e">
        <v>#N/A</v>
      </c>
      <c r="Z133" s="190" t="e">
        <v>#N/A</v>
      </c>
      <c r="AA133" s="190">
        <v>6.9145000000000003</v>
      </c>
      <c r="AB133" s="190" t="e">
        <v>#N/A</v>
      </c>
      <c r="AC133" s="190" t="e">
        <v>#N/A</v>
      </c>
      <c r="AD133" s="190" t="e">
        <v>#N/A</v>
      </c>
      <c r="AE133" s="190" t="e">
        <v>#N/A</v>
      </c>
      <c r="AF133" s="190" t="e">
        <v>#N/A</v>
      </c>
      <c r="AG133" s="190" t="e">
        <v>#N/A</v>
      </c>
      <c r="AH133" s="190" t="e">
        <v>#N/A</v>
      </c>
      <c r="AI133" s="190" t="e">
        <v>#N/A</v>
      </c>
      <c r="AJ133" s="190" t="s">
        <v>157</v>
      </c>
      <c r="AK133" s="190" t="s">
        <v>157</v>
      </c>
      <c r="AL133" s="190" t="s">
        <v>157</v>
      </c>
      <c r="AM133" s="190" t="s">
        <v>157</v>
      </c>
      <c r="AN133" s="190" t="s">
        <v>157</v>
      </c>
      <c r="AO133" s="190">
        <v>6.3624000000000001</v>
      </c>
      <c r="AP133" s="190" t="s">
        <v>157</v>
      </c>
      <c r="AQ133" s="190">
        <v>7.3834999999999997</v>
      </c>
      <c r="AR133" s="190">
        <v>7.3834999999999997</v>
      </c>
      <c r="AS133" s="190" t="s">
        <v>157</v>
      </c>
      <c r="AT133" s="190" t="s">
        <v>157</v>
      </c>
      <c r="AU133" s="190" t="s">
        <v>157</v>
      </c>
      <c r="AV133" s="190" t="s">
        <v>157</v>
      </c>
      <c r="AW133" s="190" t="s">
        <v>157</v>
      </c>
      <c r="AX133" s="190" t="s">
        <v>157</v>
      </c>
    </row>
    <row r="134" spans="1:50" ht="12.75">
      <c r="C134" s="204"/>
      <c r="D134" s="177" t="s">
        <v>193</v>
      </c>
      <c r="E134" s="190"/>
      <c r="F134" s="190"/>
      <c r="G134" s="190"/>
      <c r="H134" s="190"/>
      <c r="I134" s="190"/>
      <c r="J134" s="190"/>
      <c r="K134" s="190"/>
      <c r="L134" s="190"/>
      <c r="M134" s="190"/>
      <c r="N134" s="190"/>
      <c r="O134" s="190"/>
      <c r="P134" s="190"/>
      <c r="Q134" s="190"/>
      <c r="R134" s="190"/>
      <c r="S134" s="190"/>
      <c r="T134" s="190"/>
      <c r="U134" s="190"/>
      <c r="V134" s="190"/>
      <c r="W134" s="190"/>
      <c r="X134" s="190"/>
      <c r="Y134" s="190"/>
      <c r="Z134" s="190"/>
      <c r="AA134" s="190"/>
      <c r="AB134" s="190"/>
      <c r="AC134" s="190"/>
      <c r="AD134" s="190"/>
      <c r="AE134" s="190"/>
      <c r="AF134" s="190"/>
      <c r="AG134" s="190"/>
      <c r="AH134" s="190"/>
      <c r="AI134" s="190"/>
      <c r="AJ134" s="190"/>
      <c r="AK134" s="190"/>
      <c r="AL134" s="190"/>
      <c r="AM134" s="190"/>
      <c r="AN134" s="190"/>
      <c r="AO134" s="190"/>
      <c r="AP134" s="190"/>
      <c r="AQ134" s="190"/>
      <c r="AR134" s="190"/>
      <c r="AS134" s="190"/>
      <c r="AT134" s="190"/>
      <c r="AU134" s="190"/>
      <c r="AV134" s="190"/>
      <c r="AW134" s="190"/>
      <c r="AX134" s="191"/>
    </row>
    <row r="135" spans="1:50" ht="12.75">
      <c r="A135" s="1" t="s">
        <v>164</v>
      </c>
      <c r="B135" s="1" t="s">
        <v>105</v>
      </c>
      <c r="C135" s="204"/>
      <c r="D135" s="197" t="s">
        <v>1880</v>
      </c>
      <c r="E135" s="190">
        <v>13.461</v>
      </c>
      <c r="F135" s="190">
        <v>13.461</v>
      </c>
      <c r="G135" s="190">
        <v>13.477399999999999</v>
      </c>
      <c r="H135" s="190">
        <v>13.477399999999999</v>
      </c>
      <c r="I135" s="190">
        <v>13.477399999999999</v>
      </c>
      <c r="J135" s="190">
        <v>9.7844999999999995</v>
      </c>
      <c r="K135" s="190">
        <v>8.6014999999999997</v>
      </c>
      <c r="L135" s="190">
        <v>8.6757000000000009</v>
      </c>
      <c r="M135" s="190">
        <v>13.461</v>
      </c>
      <c r="N135" s="190">
        <v>8.0816999999999997</v>
      </c>
      <c r="O135" s="190">
        <v>13.477399999999999</v>
      </c>
      <c r="P135" s="190">
        <v>13.634499999999999</v>
      </c>
      <c r="Q135" s="190">
        <v>8.0861999999999998</v>
      </c>
      <c r="R135" s="190">
        <v>8.0861999999999998</v>
      </c>
      <c r="S135" s="190">
        <v>14.7279</v>
      </c>
      <c r="T135" s="190" t="s">
        <v>157</v>
      </c>
      <c r="U135" s="190" t="s">
        <v>157</v>
      </c>
      <c r="V135" s="190" t="s">
        <v>157</v>
      </c>
      <c r="W135" s="190" t="s">
        <v>157</v>
      </c>
      <c r="X135" s="190" t="s">
        <v>157</v>
      </c>
      <c r="Y135" s="190" t="s">
        <v>157</v>
      </c>
      <c r="Z135" s="190" t="s">
        <v>157</v>
      </c>
      <c r="AA135" s="190" t="s">
        <v>157</v>
      </c>
      <c r="AB135" s="190" t="s">
        <v>157</v>
      </c>
      <c r="AC135" s="190" t="s">
        <v>157</v>
      </c>
      <c r="AD135" s="190" t="s">
        <v>157</v>
      </c>
      <c r="AE135" s="190" t="s">
        <v>157</v>
      </c>
      <c r="AF135" s="190" t="s">
        <v>157</v>
      </c>
      <c r="AG135" s="190" t="s">
        <v>157</v>
      </c>
      <c r="AH135" s="190" t="s">
        <v>157</v>
      </c>
      <c r="AI135" s="190" t="s">
        <v>157</v>
      </c>
      <c r="AJ135" s="190" t="s">
        <v>157</v>
      </c>
      <c r="AK135" s="190" t="s">
        <v>157</v>
      </c>
      <c r="AL135" s="190" t="s">
        <v>157</v>
      </c>
      <c r="AM135" s="190" t="s">
        <v>157</v>
      </c>
      <c r="AN135" s="190" t="s">
        <v>157</v>
      </c>
      <c r="AO135" s="190" t="s">
        <v>157</v>
      </c>
      <c r="AP135" s="190" t="s">
        <v>157</v>
      </c>
      <c r="AQ135" s="190" t="s">
        <v>157</v>
      </c>
      <c r="AR135" s="190" t="s">
        <v>157</v>
      </c>
      <c r="AS135" s="190" t="s">
        <v>157</v>
      </c>
      <c r="AT135" s="190" t="s">
        <v>157</v>
      </c>
      <c r="AU135" s="190" t="s">
        <v>157</v>
      </c>
      <c r="AV135" s="190" t="s">
        <v>157</v>
      </c>
      <c r="AW135" s="190" t="s">
        <v>157</v>
      </c>
      <c r="AX135" s="190" t="s">
        <v>157</v>
      </c>
    </row>
    <row r="136" spans="1:50" ht="12.75">
      <c r="A136" s="1" t="s">
        <v>164</v>
      </c>
      <c r="B136" s="1" t="s">
        <v>109</v>
      </c>
      <c r="C136" s="204"/>
      <c r="D136" s="197" t="s">
        <v>1881</v>
      </c>
      <c r="E136" s="190">
        <v>13.634499999999999</v>
      </c>
      <c r="F136" s="190">
        <v>13.634499999999999</v>
      </c>
      <c r="G136" s="190">
        <v>13.634499999999999</v>
      </c>
      <c r="H136" s="190">
        <v>13.634499999999999</v>
      </c>
      <c r="I136" s="190">
        <v>13.634499999999999</v>
      </c>
      <c r="J136" s="190">
        <v>6.4153000000000002</v>
      </c>
      <c r="K136" s="190">
        <v>6.4153000000000002</v>
      </c>
      <c r="L136" s="190" t="e">
        <v>#N/A</v>
      </c>
      <c r="M136" s="190">
        <v>13.634499999999999</v>
      </c>
      <c r="N136" s="190">
        <v>7.0471000000000004</v>
      </c>
      <c r="O136" s="190">
        <v>13.634499999999999</v>
      </c>
      <c r="P136" s="190">
        <v>13.477399999999999</v>
      </c>
      <c r="Q136" s="190">
        <v>7.0491999999999999</v>
      </c>
      <c r="R136" s="190">
        <v>7.0491999999999999</v>
      </c>
      <c r="S136" s="190">
        <v>13.634499999999999</v>
      </c>
      <c r="T136" s="190" t="s">
        <v>157</v>
      </c>
      <c r="U136" s="190" t="s">
        <v>157</v>
      </c>
      <c r="V136" s="190" t="s">
        <v>157</v>
      </c>
      <c r="W136" s="190" t="s">
        <v>157</v>
      </c>
      <c r="X136" s="190" t="e">
        <v>#N/A</v>
      </c>
      <c r="Y136" s="190" t="e">
        <v>#N/A</v>
      </c>
      <c r="Z136" s="190" t="e">
        <v>#N/A</v>
      </c>
      <c r="AA136" s="190" t="s">
        <v>157</v>
      </c>
      <c r="AB136" s="190" t="e">
        <v>#N/A</v>
      </c>
      <c r="AC136" s="190" t="e">
        <v>#N/A</v>
      </c>
      <c r="AD136" s="190" t="e">
        <v>#N/A</v>
      </c>
      <c r="AE136" s="190" t="e">
        <v>#N/A</v>
      </c>
      <c r="AF136" s="190" t="e">
        <v>#N/A</v>
      </c>
      <c r="AG136" s="190" t="e">
        <v>#N/A</v>
      </c>
      <c r="AH136" s="190" t="e">
        <v>#N/A</v>
      </c>
      <c r="AI136" s="190" t="e">
        <v>#N/A</v>
      </c>
      <c r="AJ136" s="190" t="s">
        <v>157</v>
      </c>
      <c r="AK136" s="190" t="s">
        <v>157</v>
      </c>
      <c r="AL136" s="190" t="s">
        <v>157</v>
      </c>
      <c r="AM136" s="190" t="s">
        <v>157</v>
      </c>
      <c r="AN136" s="190" t="s">
        <v>157</v>
      </c>
      <c r="AO136" s="190" t="s">
        <v>157</v>
      </c>
      <c r="AP136" s="190" t="s">
        <v>157</v>
      </c>
      <c r="AQ136" s="190" t="s">
        <v>157</v>
      </c>
      <c r="AR136" s="190" t="s">
        <v>157</v>
      </c>
      <c r="AS136" s="190" t="s">
        <v>157</v>
      </c>
      <c r="AT136" s="190" t="s">
        <v>157</v>
      </c>
      <c r="AU136" s="190" t="s">
        <v>157</v>
      </c>
      <c r="AV136" s="190" t="s">
        <v>157</v>
      </c>
      <c r="AW136" s="190" t="s">
        <v>157</v>
      </c>
      <c r="AX136" s="190" t="s">
        <v>157</v>
      </c>
    </row>
    <row r="137" spans="1:50" ht="12.75">
      <c r="C137" s="204"/>
      <c r="D137" s="177" t="s">
        <v>194</v>
      </c>
      <c r="E137" s="190"/>
      <c r="F137" s="190"/>
      <c r="G137" s="190"/>
      <c r="H137" s="190"/>
      <c r="I137" s="190"/>
      <c r="J137" s="190"/>
      <c r="K137" s="190"/>
      <c r="L137" s="190"/>
      <c r="M137" s="190"/>
      <c r="N137" s="190"/>
      <c r="O137" s="190"/>
      <c r="P137" s="190"/>
      <c r="Q137" s="190"/>
      <c r="R137" s="190"/>
      <c r="S137" s="190"/>
      <c r="T137" s="190"/>
      <c r="U137" s="190"/>
      <c r="V137" s="190"/>
      <c r="W137" s="190"/>
      <c r="X137" s="190"/>
      <c r="Y137" s="190"/>
      <c r="Z137" s="190"/>
      <c r="AA137" s="190"/>
      <c r="AB137" s="190"/>
      <c r="AC137" s="190"/>
      <c r="AD137" s="190"/>
      <c r="AE137" s="190"/>
      <c r="AF137" s="190"/>
      <c r="AG137" s="190"/>
      <c r="AH137" s="190"/>
      <c r="AI137" s="190"/>
      <c r="AJ137" s="190"/>
      <c r="AK137" s="190"/>
      <c r="AL137" s="190"/>
      <c r="AM137" s="190"/>
      <c r="AN137" s="190"/>
      <c r="AO137" s="190"/>
      <c r="AP137" s="190"/>
      <c r="AQ137" s="190"/>
      <c r="AR137" s="190"/>
      <c r="AS137" s="190"/>
      <c r="AT137" s="190"/>
      <c r="AU137" s="190"/>
      <c r="AV137" s="190"/>
      <c r="AW137" s="190"/>
      <c r="AX137" s="191"/>
    </row>
    <row r="138" spans="1:50" ht="12.75">
      <c r="A138" s="1" t="s">
        <v>166</v>
      </c>
      <c r="B138" s="1" t="s">
        <v>105</v>
      </c>
      <c r="C138" s="204"/>
      <c r="D138" s="197" t="s">
        <v>106</v>
      </c>
      <c r="E138" s="190" t="s">
        <v>157</v>
      </c>
      <c r="F138" s="190" t="s">
        <v>157</v>
      </c>
      <c r="G138" s="190">
        <v>11.956799999999999</v>
      </c>
      <c r="H138" s="190">
        <v>9.48</v>
      </c>
      <c r="I138" s="190">
        <v>12.304600000000001</v>
      </c>
      <c r="J138" s="190" t="s">
        <v>157</v>
      </c>
      <c r="K138" s="190" t="s">
        <v>157</v>
      </c>
      <c r="L138" s="190" t="s">
        <v>157</v>
      </c>
      <c r="M138" s="190" t="s">
        <v>157</v>
      </c>
      <c r="N138" s="190" t="s">
        <v>157</v>
      </c>
      <c r="O138" s="190">
        <v>17.551100000000002</v>
      </c>
      <c r="P138" s="190">
        <v>17.590299999999999</v>
      </c>
      <c r="Q138" s="190">
        <v>6.8765999999999998</v>
      </c>
      <c r="R138" s="190">
        <v>7.4919000000000002</v>
      </c>
      <c r="S138" s="190">
        <v>10.1251</v>
      </c>
      <c r="T138" s="190" t="s">
        <v>157</v>
      </c>
      <c r="U138" s="190" t="s">
        <v>157</v>
      </c>
      <c r="V138" s="190" t="s">
        <v>157</v>
      </c>
      <c r="W138" s="190" t="s">
        <v>157</v>
      </c>
      <c r="X138" s="190" t="s">
        <v>157</v>
      </c>
      <c r="Y138" s="190" t="s">
        <v>157</v>
      </c>
      <c r="Z138" s="190" t="s">
        <v>157</v>
      </c>
      <c r="AA138" s="190">
        <v>10.568300000000001</v>
      </c>
      <c r="AB138" s="190" t="s">
        <v>157</v>
      </c>
      <c r="AC138" s="190" t="s">
        <v>157</v>
      </c>
      <c r="AD138" s="190" t="s">
        <v>157</v>
      </c>
      <c r="AE138" s="190" t="s">
        <v>157</v>
      </c>
      <c r="AF138" s="190" t="s">
        <v>157</v>
      </c>
      <c r="AG138" s="190" t="s">
        <v>157</v>
      </c>
      <c r="AH138" s="190" t="s">
        <v>157</v>
      </c>
      <c r="AI138" s="190" t="s">
        <v>157</v>
      </c>
      <c r="AJ138" s="190" t="s">
        <v>157</v>
      </c>
      <c r="AK138" s="190" t="s">
        <v>157</v>
      </c>
      <c r="AL138" s="190" t="s">
        <v>157</v>
      </c>
      <c r="AM138" s="190" t="s">
        <v>157</v>
      </c>
      <c r="AN138" s="190" t="s">
        <v>157</v>
      </c>
      <c r="AO138" s="190">
        <v>7.7847</v>
      </c>
      <c r="AP138" s="190" t="s">
        <v>157</v>
      </c>
      <c r="AQ138" s="190">
        <v>13.9552</v>
      </c>
      <c r="AR138" s="190">
        <v>10.5213</v>
      </c>
      <c r="AS138" s="190">
        <v>8.9204000000000008</v>
      </c>
      <c r="AT138" s="190">
        <v>8.6858000000000004</v>
      </c>
      <c r="AU138" s="190">
        <v>9.1196000000000002</v>
      </c>
      <c r="AV138" s="190">
        <v>12.740600000000001</v>
      </c>
      <c r="AW138" s="190">
        <v>11.8949</v>
      </c>
      <c r="AX138" s="190">
        <v>18.777999999999999</v>
      </c>
    </row>
    <row r="139" spans="1:50" ht="12.75">
      <c r="A139" s="1" t="s">
        <v>166</v>
      </c>
      <c r="B139" s="1" t="s">
        <v>109</v>
      </c>
      <c r="C139" s="204"/>
      <c r="D139" s="197" t="s">
        <v>110</v>
      </c>
      <c r="E139" s="190">
        <v>13.129200000000001</v>
      </c>
      <c r="F139" s="190">
        <v>11.9101</v>
      </c>
      <c r="G139" s="190">
        <v>11.899100000000001</v>
      </c>
      <c r="H139" s="190">
        <v>11.899100000000001</v>
      </c>
      <c r="I139" s="190">
        <v>11.899100000000001</v>
      </c>
      <c r="J139" s="190">
        <v>9.3735999999999997</v>
      </c>
      <c r="K139" s="190">
        <v>8.5513999999999992</v>
      </c>
      <c r="L139" s="190">
        <v>8.7140000000000004</v>
      </c>
      <c r="M139" s="190">
        <v>12.0167</v>
      </c>
      <c r="N139" s="190">
        <v>8.0896000000000008</v>
      </c>
      <c r="O139" s="190">
        <v>11.899100000000001</v>
      </c>
      <c r="P139" s="190">
        <v>11.8749</v>
      </c>
      <c r="Q139" s="190">
        <v>8.0914999999999999</v>
      </c>
      <c r="R139" s="190">
        <v>8.0914000000000001</v>
      </c>
      <c r="S139" s="190">
        <v>12.6173</v>
      </c>
      <c r="T139" s="190" t="s">
        <v>157</v>
      </c>
      <c r="U139" s="190" t="s">
        <v>157</v>
      </c>
      <c r="V139" s="190" t="s">
        <v>157</v>
      </c>
      <c r="W139" s="190" t="s">
        <v>157</v>
      </c>
      <c r="X139" s="190" t="s">
        <v>157</v>
      </c>
      <c r="Y139" s="190" t="s">
        <v>157</v>
      </c>
      <c r="Z139" s="190" t="s">
        <v>157</v>
      </c>
      <c r="AA139" s="190">
        <v>10.568300000000001</v>
      </c>
      <c r="AB139" s="190" t="s">
        <v>157</v>
      </c>
      <c r="AC139" s="190" t="s">
        <v>157</v>
      </c>
      <c r="AD139" s="190" t="s">
        <v>157</v>
      </c>
      <c r="AE139" s="190" t="s">
        <v>157</v>
      </c>
      <c r="AF139" s="190" t="s">
        <v>157</v>
      </c>
      <c r="AG139" s="190" t="s">
        <v>157</v>
      </c>
      <c r="AH139" s="190" t="s">
        <v>157</v>
      </c>
      <c r="AI139" s="190" t="s">
        <v>157</v>
      </c>
      <c r="AJ139" s="190" t="s">
        <v>157</v>
      </c>
      <c r="AK139" s="190" t="s">
        <v>157</v>
      </c>
      <c r="AL139" s="190" t="s">
        <v>157</v>
      </c>
      <c r="AM139" s="190" t="s">
        <v>157</v>
      </c>
      <c r="AN139" s="190" t="s">
        <v>157</v>
      </c>
      <c r="AO139" s="190" t="s">
        <v>157</v>
      </c>
      <c r="AP139" s="190" t="s">
        <v>157</v>
      </c>
      <c r="AQ139" s="190">
        <v>13.9552</v>
      </c>
      <c r="AR139" s="190">
        <v>10.5213</v>
      </c>
      <c r="AS139" s="190">
        <v>8.9204000000000008</v>
      </c>
      <c r="AT139" s="190">
        <v>8.6858000000000004</v>
      </c>
      <c r="AU139" s="190">
        <v>9.1196000000000002</v>
      </c>
      <c r="AV139" s="190" t="s">
        <v>157</v>
      </c>
      <c r="AW139" s="190" t="s">
        <v>157</v>
      </c>
      <c r="AX139" s="190" t="s">
        <v>157</v>
      </c>
    </row>
    <row r="140" spans="1:50" ht="12.75">
      <c r="C140" s="204"/>
      <c r="D140" s="197"/>
      <c r="E140" s="190"/>
      <c r="F140" s="190"/>
      <c r="G140" s="190"/>
      <c r="H140" s="190"/>
      <c r="I140" s="190"/>
      <c r="J140" s="190"/>
      <c r="K140" s="190"/>
      <c r="L140" s="190"/>
      <c r="M140" s="190"/>
      <c r="N140" s="190"/>
      <c r="O140" s="190"/>
      <c r="P140" s="190"/>
      <c r="Q140" s="190"/>
      <c r="R140" s="190"/>
      <c r="S140" s="190"/>
      <c r="T140" s="190"/>
      <c r="U140" s="190"/>
      <c r="V140" s="190"/>
      <c r="W140" s="190"/>
      <c r="X140" s="190"/>
      <c r="Y140" s="190"/>
      <c r="Z140" s="190"/>
      <c r="AA140" s="190"/>
      <c r="AB140" s="190"/>
      <c r="AC140" s="190"/>
      <c r="AD140" s="192"/>
      <c r="AE140" s="192"/>
      <c r="AF140" s="192"/>
      <c r="AG140" s="192"/>
      <c r="AH140" s="190"/>
      <c r="AI140" s="190"/>
      <c r="AJ140" s="190"/>
      <c r="AK140" s="190"/>
      <c r="AL140" s="190"/>
      <c r="AM140" s="190"/>
      <c r="AN140" s="190"/>
      <c r="AO140" s="190"/>
      <c r="AP140" s="190"/>
      <c r="AQ140" s="190"/>
      <c r="AR140" s="190"/>
      <c r="AS140" s="190"/>
      <c r="AT140" s="190"/>
      <c r="AU140" s="190"/>
      <c r="AV140" s="190"/>
      <c r="AW140" s="190"/>
      <c r="AX140" s="191"/>
    </row>
    <row r="141" spans="1:50" ht="12.75">
      <c r="C141" s="179">
        <v>8</v>
      </c>
      <c r="D141" s="171" t="s">
        <v>195</v>
      </c>
      <c r="E141" s="181">
        <v>0</v>
      </c>
      <c r="F141" s="181">
        <v>0</v>
      </c>
      <c r="G141" s="181">
        <v>0</v>
      </c>
      <c r="H141" s="181">
        <v>0</v>
      </c>
      <c r="I141" s="181">
        <v>0</v>
      </c>
      <c r="J141" s="181">
        <v>0</v>
      </c>
      <c r="K141" s="181">
        <v>0</v>
      </c>
      <c r="L141" s="181">
        <v>0</v>
      </c>
      <c r="M141" s="181">
        <v>0</v>
      </c>
      <c r="N141" s="181">
        <v>0</v>
      </c>
      <c r="O141" s="181">
        <v>0</v>
      </c>
      <c r="P141" s="181">
        <v>0</v>
      </c>
      <c r="Q141" s="181">
        <v>0</v>
      </c>
      <c r="R141" s="181">
        <v>0</v>
      </c>
      <c r="S141" s="181">
        <v>0</v>
      </c>
      <c r="T141" s="181">
        <v>0</v>
      </c>
      <c r="U141" s="181">
        <v>0</v>
      </c>
      <c r="V141" s="181">
        <v>0</v>
      </c>
      <c r="W141" s="181">
        <v>0</v>
      </c>
      <c r="X141" s="181">
        <v>0</v>
      </c>
      <c r="Y141" s="181">
        <v>0</v>
      </c>
      <c r="Z141" s="181">
        <v>0</v>
      </c>
      <c r="AA141" s="181">
        <v>0</v>
      </c>
      <c r="AB141" s="181">
        <v>0</v>
      </c>
      <c r="AC141" s="181">
        <v>0</v>
      </c>
      <c r="AD141" s="181">
        <v>0</v>
      </c>
      <c r="AE141" s="181">
        <v>0</v>
      </c>
      <c r="AF141" s="181">
        <v>0</v>
      </c>
      <c r="AG141" s="181">
        <v>0</v>
      </c>
      <c r="AH141" s="181">
        <v>0</v>
      </c>
      <c r="AI141" s="181">
        <v>0</v>
      </c>
      <c r="AJ141" s="181">
        <v>0</v>
      </c>
      <c r="AK141" s="181">
        <v>0</v>
      </c>
      <c r="AL141" s="181">
        <v>0</v>
      </c>
      <c r="AM141" s="181">
        <v>0</v>
      </c>
      <c r="AN141" s="181">
        <v>0</v>
      </c>
      <c r="AO141" s="181">
        <v>0</v>
      </c>
      <c r="AP141" s="181">
        <v>0</v>
      </c>
      <c r="AQ141" s="181">
        <v>0</v>
      </c>
      <c r="AR141" s="181">
        <v>0</v>
      </c>
      <c r="AS141" s="181">
        <v>0</v>
      </c>
      <c r="AT141" s="181">
        <v>0</v>
      </c>
      <c r="AU141" s="181">
        <v>0</v>
      </c>
      <c r="AV141" s="181">
        <v>0</v>
      </c>
      <c r="AW141" s="181">
        <v>0</v>
      </c>
      <c r="AX141" s="185">
        <v>0</v>
      </c>
    </row>
    <row r="142" spans="1:50" s="21" customFormat="1" ht="12.75">
      <c r="A142" s="20"/>
      <c r="B142" s="20"/>
      <c r="C142" s="179">
        <v>9</v>
      </c>
      <c r="D142" s="171" t="s">
        <v>196</v>
      </c>
      <c r="E142" s="307">
        <v>1.1727009999999997E-3</v>
      </c>
      <c r="F142" s="307">
        <v>2.7809299999999998E-4</v>
      </c>
      <c r="G142" s="307">
        <v>7.7720499999999989E-4</v>
      </c>
      <c r="H142" s="307">
        <v>1.2026010000000002E-3</v>
      </c>
      <c r="I142" s="307">
        <v>3.6786299999999996E-4</v>
      </c>
      <c r="J142" s="181">
        <v>0</v>
      </c>
      <c r="K142" s="307">
        <v>1.2148000000000001E-5</v>
      </c>
      <c r="L142" s="181">
        <v>0</v>
      </c>
      <c r="M142" s="307">
        <v>2.3547E-5</v>
      </c>
      <c r="N142" s="307">
        <v>2.1178599999999997E-4</v>
      </c>
      <c r="O142" s="181">
        <v>0</v>
      </c>
      <c r="P142" s="307">
        <v>1.3335199999999999E-4</v>
      </c>
      <c r="Q142" s="307">
        <v>1.3335199999999999E-4</v>
      </c>
      <c r="R142" s="307">
        <v>7.8839699999999993E-4</v>
      </c>
      <c r="S142" s="307">
        <v>1.83215E-4</v>
      </c>
      <c r="T142" s="181">
        <v>0</v>
      </c>
      <c r="U142" s="181">
        <v>0</v>
      </c>
      <c r="V142" s="181">
        <v>0</v>
      </c>
      <c r="W142" s="181">
        <v>0</v>
      </c>
      <c r="X142" s="181">
        <v>0</v>
      </c>
      <c r="Y142" s="181">
        <v>0</v>
      </c>
      <c r="Z142" s="181">
        <v>0</v>
      </c>
      <c r="AA142" s="181">
        <v>0</v>
      </c>
      <c r="AB142" s="181">
        <v>0</v>
      </c>
      <c r="AC142" s="181">
        <v>0</v>
      </c>
      <c r="AD142" s="181">
        <v>0</v>
      </c>
      <c r="AE142" s="181">
        <v>0</v>
      </c>
      <c r="AF142" s="181">
        <v>0</v>
      </c>
      <c r="AG142" s="181">
        <v>0</v>
      </c>
      <c r="AH142" s="181">
        <v>0</v>
      </c>
      <c r="AI142" s="181">
        <v>0</v>
      </c>
      <c r="AJ142" s="181">
        <v>0</v>
      </c>
      <c r="AK142" s="181">
        <v>0</v>
      </c>
      <c r="AL142" s="181">
        <v>0</v>
      </c>
      <c r="AM142" s="181">
        <v>0</v>
      </c>
      <c r="AN142" s="181">
        <v>0</v>
      </c>
      <c r="AO142" s="181">
        <v>0</v>
      </c>
      <c r="AP142" s="181">
        <v>0</v>
      </c>
      <c r="AQ142" s="307">
        <v>7.5856999999999997E-4</v>
      </c>
      <c r="AR142" s="307">
        <v>2.3382899999999999E-4</v>
      </c>
      <c r="AS142" s="181">
        <v>0</v>
      </c>
      <c r="AT142" s="181">
        <v>0</v>
      </c>
      <c r="AU142" s="181">
        <v>0</v>
      </c>
      <c r="AV142" s="181">
        <v>0</v>
      </c>
      <c r="AW142" s="307">
        <v>6.2727000000000011E-5</v>
      </c>
      <c r="AX142" s="185">
        <v>0</v>
      </c>
    </row>
    <row r="143" spans="1:50" ht="13.5" thickBot="1">
      <c r="C143" s="308">
        <v>10</v>
      </c>
      <c r="D143" s="309" t="s">
        <v>197</v>
      </c>
      <c r="E143" s="310">
        <f>IFERROR(VLOOKUP(E4,'Asso invt'!$A:$C,3,0),0)/10000000</f>
        <v>0</v>
      </c>
      <c r="F143" s="310">
        <f>IFERROR(VLOOKUP(F4,'Asso invt'!$A:$C,3,0),0)/10000000</f>
        <v>6.0389829959999997</v>
      </c>
      <c r="G143" s="310">
        <f>IFERROR(VLOOKUP(G4,'Asso invt'!$A:$C,3,0),0)/10000000</f>
        <v>3.1151544000000002</v>
      </c>
      <c r="H143" s="310">
        <f>IFERROR(VLOOKUP(H4,'Asso invt'!$A:$C,3,0),0)/10000000</f>
        <v>3.4045341200000001</v>
      </c>
      <c r="I143" s="310">
        <f>IFERROR(VLOOKUP(I4,'Asso invt'!$A:$C,3,0),0)/10000000</f>
        <v>1.9601658619999998</v>
      </c>
      <c r="J143" s="310">
        <f>IFERROR(VLOOKUP(J4,'Asso invt'!$A:$C,3,0),0)/10000000</f>
        <v>0</v>
      </c>
      <c r="K143" s="310">
        <f>IFERROR(VLOOKUP(K4,'Asso invt'!$A:$C,3,0),0)/10000000</f>
        <v>0</v>
      </c>
      <c r="L143" s="310">
        <f>IFERROR(VLOOKUP(L4,'Asso invt'!$A:$C,3,0),0)/10000000</f>
        <v>0</v>
      </c>
      <c r="M143" s="310">
        <f>IFERROR(VLOOKUP(M4,'Asso invt'!$A:$C,3,0),0)/10000000</f>
        <v>0</v>
      </c>
      <c r="N143" s="310">
        <f>IFERROR(VLOOKUP(N4,'Asso invt'!$A:$C,3,0),0)/10000000</f>
        <v>0</v>
      </c>
      <c r="O143" s="310">
        <f>IFERROR(VLOOKUP(O4,'Asso invt'!$A:$C,3,0),0)/10000000</f>
        <v>1.4157438E-2</v>
      </c>
      <c r="P143" s="310">
        <f>IFERROR(VLOOKUP(P4,'Asso invt'!$A:$C,3,0),0)/10000000</f>
        <v>0.29841900399999999</v>
      </c>
      <c r="Q143" s="310">
        <f>IFERROR(VLOOKUP(Q4,'Asso invt'!$A:$C,3,0),0)/10000000</f>
        <v>0</v>
      </c>
      <c r="R143" s="310">
        <f>IFERROR(VLOOKUP(R4,'Asso invt'!$A:$C,3,0),0)/10000000</f>
        <v>0</v>
      </c>
      <c r="S143" s="310">
        <f>IFERROR(VLOOKUP(S4,'Asso invt'!$A:$C,3,0),0)/10000000</f>
        <v>0</v>
      </c>
      <c r="T143" s="310">
        <f>IFERROR(VLOOKUP(T4,'Asso invt'!$A:$C,3,0),0)/10000000</f>
        <v>0</v>
      </c>
      <c r="U143" s="310">
        <f>IFERROR(VLOOKUP(U4,'Asso invt'!$A:$C,3,0),0)/10000000</f>
        <v>0</v>
      </c>
      <c r="V143" s="310">
        <f>IFERROR(VLOOKUP(V4,'Asso invt'!$A:$C,3,0),0)/10000000</f>
        <v>0</v>
      </c>
      <c r="W143" s="310">
        <f>IFERROR(VLOOKUP(W4,'Asso invt'!$A:$C,3,0),0)/10000000</f>
        <v>0</v>
      </c>
      <c r="X143" s="310">
        <f>IFERROR(VLOOKUP(X4,'Asso invt'!$A:$C,3,0),0)/10000000</f>
        <v>0</v>
      </c>
      <c r="Y143" s="310">
        <f>IFERROR(VLOOKUP(Y4,'Asso invt'!$A:$C,3,0),0)/10000000</f>
        <v>0</v>
      </c>
      <c r="Z143" s="310">
        <f>IFERROR(VLOOKUP(Z4,'Asso invt'!$A:$C,3,0),0)/10000000</f>
        <v>0</v>
      </c>
      <c r="AA143" s="310">
        <f>IFERROR(VLOOKUP(AA4,'Asso invt'!$A:$C,3,0),0)/10000000</f>
        <v>0</v>
      </c>
      <c r="AB143" s="310">
        <f>IFERROR(VLOOKUP(AB4,'Asso invt'!$A:$C,3,0),0)/10000000</f>
        <v>0</v>
      </c>
      <c r="AC143" s="310">
        <f>IFERROR(VLOOKUP(AC4,'Asso invt'!$A:$C,3,0),0)/10000000</f>
        <v>0</v>
      </c>
      <c r="AD143" s="310">
        <f>IFERROR(VLOOKUP(AD4,'Asso invt'!$A:$C,3,0),0)/10000000</f>
        <v>0</v>
      </c>
      <c r="AE143" s="310">
        <f>IFERROR(VLOOKUP(AE4,'Asso invt'!$A:$C,3,0),0)/10000000</f>
        <v>0</v>
      </c>
      <c r="AF143" s="310">
        <f>IFERROR(VLOOKUP(AF4,'Asso invt'!$A:$C,3,0),0)/10000000</f>
        <v>0</v>
      </c>
      <c r="AG143" s="310">
        <f>IFERROR(VLOOKUP(AG4,'Asso invt'!$A:$C,3,0),0)/10000000</f>
        <v>0</v>
      </c>
      <c r="AH143" s="310">
        <f>IFERROR(VLOOKUP(AH4,'Asso invt'!$A:$C,3,0),0)/10000000</f>
        <v>0</v>
      </c>
      <c r="AI143" s="310">
        <f>IFERROR(VLOOKUP(AI4,'Asso invt'!$A:$C,3,0),0)/10000000</f>
        <v>0</v>
      </c>
      <c r="AJ143" s="310">
        <f>IFERROR(VLOOKUP(AJ4,'Asso invt'!$A:$C,3,0),0)/10000000</f>
        <v>0</v>
      </c>
      <c r="AK143" s="310">
        <f>IFERROR(VLOOKUP(AK4,'Asso invt'!$A:$C,3,0),0)/10000000</f>
        <v>0</v>
      </c>
      <c r="AL143" s="310">
        <f>IFERROR(VLOOKUP(AL4,'Asso invt'!$A:$C,3,0),0)/10000000</f>
        <v>0</v>
      </c>
      <c r="AM143" s="310">
        <f>IFERROR(VLOOKUP(AM4,'Asso invt'!$A:$C,3,0),0)/10000000</f>
        <v>0</v>
      </c>
      <c r="AN143" s="310">
        <f>IFERROR(VLOOKUP(AN4,'Asso invt'!$A:$C,3,0),0)/10000000</f>
        <v>0</v>
      </c>
      <c r="AO143" s="310">
        <f>IFERROR(VLOOKUP(AO4,'Asso invt'!$A:$C,3,0),0)/10000000</f>
        <v>0</v>
      </c>
      <c r="AP143" s="310">
        <f>IFERROR(VLOOKUP(AP4,'Asso invt'!$A:$C,3,0),0)/10000000</f>
        <v>0</v>
      </c>
      <c r="AQ143" s="310">
        <f>IFERROR(VLOOKUP(AQ4,'Asso invt'!$A:$C,3,0),0)/10000000</f>
        <v>7.7905443739999996</v>
      </c>
      <c r="AR143" s="310">
        <f>IFERROR(VLOOKUP(AR4,'Asso invt'!$A:$C,3,0),0)/10000000</f>
        <v>0.69629788400000003</v>
      </c>
      <c r="AS143" s="310">
        <f>IFERROR(VLOOKUP(AS4,'Asso invt'!$A:$C,3,0),0)/10000000</f>
        <v>0</v>
      </c>
      <c r="AT143" s="310">
        <f>IFERROR(VLOOKUP(AT4,'Asso invt'!$A:$C,3,0),0)/10000000</f>
        <v>0</v>
      </c>
      <c r="AU143" s="310">
        <f>IFERROR(VLOOKUP(AU4,'Asso invt'!$A:$C,3,0),0)/10000000</f>
        <v>0</v>
      </c>
      <c r="AV143" s="310">
        <f>IFERROR(VLOOKUP(AV4,'Asso invt'!$A:$C,3,0),0)/10000000</f>
        <v>0.33005463800000001</v>
      </c>
      <c r="AW143" s="310">
        <f>IFERROR(VLOOKUP(AW4,'Asso invt'!$A:$C,3,0),0)/10000000</f>
        <v>8.5599498999999996E-2</v>
      </c>
      <c r="AX143" s="310">
        <f>IFERROR(VLOOKUP(AX4,'Asso invt'!$A:$C,3,0),0)/10000000</f>
        <v>0</v>
      </c>
    </row>
    <row r="144" spans="1:50" s="2" customFormat="1" ht="12.75">
      <c r="A144" s="76"/>
      <c r="B144" s="76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26"/>
      <c r="O144" s="52"/>
      <c r="P144" s="52"/>
      <c r="Q144" s="52"/>
      <c r="R144" s="26"/>
      <c r="S144" s="52"/>
      <c r="T144" s="52"/>
      <c r="U144" s="26"/>
      <c r="V144" s="26"/>
      <c r="W144" s="52"/>
      <c r="X144" s="26"/>
      <c r="Y144" s="52"/>
      <c r="Z144" s="26"/>
      <c r="AA144" s="52"/>
      <c r="AB144" s="26"/>
      <c r="AC144" s="26"/>
      <c r="AD144" s="26"/>
      <c r="AE144" s="26"/>
      <c r="AF144" s="26"/>
      <c r="AG144" s="26"/>
      <c r="AH144" s="26"/>
      <c r="AI144" s="26"/>
      <c r="AJ144" s="52"/>
      <c r="AK144" s="26"/>
      <c r="AL144" s="26"/>
      <c r="AM144" s="52"/>
      <c r="AN144" s="26"/>
      <c r="AO144" s="26"/>
      <c r="AP144" s="52"/>
      <c r="AQ144" s="26"/>
      <c r="AR144" s="52"/>
      <c r="AS144" s="52"/>
      <c r="AT144" s="52"/>
      <c r="AU144" s="52"/>
      <c r="AV144" s="52"/>
      <c r="AW144" s="52"/>
      <c r="AX144" s="52"/>
    </row>
    <row r="145" spans="1:50" s="2" customFormat="1" ht="12.75">
      <c r="A145" s="76"/>
      <c r="B145" s="76"/>
      <c r="C145" s="2" t="s">
        <v>198</v>
      </c>
      <c r="D145" s="2" t="s">
        <v>199</v>
      </c>
      <c r="E145" s="52"/>
      <c r="F145" s="4"/>
      <c r="G145" s="4"/>
      <c r="H145" s="4"/>
      <c r="I145" s="4"/>
      <c r="J145" s="4"/>
      <c r="K145" s="4"/>
      <c r="L145" s="4"/>
    </row>
    <row r="146" spans="1:50" s="2" customFormat="1" ht="12.75">
      <c r="A146" s="76"/>
      <c r="B146" s="76"/>
      <c r="C146" s="77" t="s">
        <v>200</v>
      </c>
      <c r="D146" s="2" t="s">
        <v>1839</v>
      </c>
      <c r="E146" s="4"/>
      <c r="F146" s="4"/>
      <c r="G146" s="4"/>
      <c r="H146" s="4"/>
      <c r="I146" s="4"/>
      <c r="J146" s="4"/>
      <c r="K146" s="4"/>
      <c r="L146" s="4"/>
    </row>
    <row r="147" spans="1:50" s="2" customFormat="1" ht="12.75">
      <c r="A147" s="76"/>
      <c r="B147" s="76"/>
      <c r="C147" s="7" t="s">
        <v>1842</v>
      </c>
      <c r="D147" s="2" t="s">
        <v>1844</v>
      </c>
      <c r="E147" s="4"/>
      <c r="F147" s="4"/>
      <c r="G147" s="4"/>
      <c r="H147" s="4"/>
      <c r="I147" s="4"/>
      <c r="J147" s="4"/>
      <c r="K147" s="4"/>
      <c r="L147" s="4"/>
    </row>
    <row r="148" spans="1:50" ht="12.75">
      <c r="D148" s="2"/>
      <c r="E148" s="4"/>
      <c r="F148" s="4"/>
      <c r="G148" s="4"/>
      <c r="H148" s="4"/>
      <c r="I148" s="4"/>
      <c r="J148" s="4"/>
      <c r="K148" s="4"/>
      <c r="L148" s="4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AB148" s="2"/>
      <c r="AC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</row>
    <row r="149" spans="1:50" ht="26.25" customHeight="1">
      <c r="C149" s="348" t="s">
        <v>1840</v>
      </c>
      <c r="D149" s="348"/>
      <c r="E149" s="4"/>
      <c r="F149" s="4"/>
      <c r="G149" s="4"/>
      <c r="H149" s="4"/>
      <c r="I149" s="4"/>
      <c r="J149" s="4"/>
      <c r="K149" s="4"/>
      <c r="L149" s="4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AB149" s="2"/>
      <c r="AC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</row>
    <row r="150" spans="1:50" ht="27.75" customHeight="1">
      <c r="C150" s="348" t="s">
        <v>1841</v>
      </c>
      <c r="D150" s="348"/>
      <c r="E150" s="4"/>
      <c r="F150" s="4"/>
      <c r="G150" s="4"/>
      <c r="H150" s="4"/>
      <c r="I150" s="4"/>
      <c r="J150" s="4"/>
      <c r="K150" s="4"/>
      <c r="L150" s="4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AB150" s="2"/>
      <c r="AC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</row>
    <row r="151" spans="1:50" ht="12.75" hidden="1">
      <c r="C151" s="2"/>
      <c r="D151" s="2"/>
      <c r="E151" s="4"/>
      <c r="F151" s="4"/>
      <c r="G151" s="4"/>
      <c r="H151" s="4"/>
      <c r="I151" s="4"/>
      <c r="J151" s="4"/>
      <c r="K151" s="4"/>
      <c r="L151" s="4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AB151" s="2"/>
      <c r="AC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</row>
    <row r="152" spans="1:50" ht="12.75" hidden="1">
      <c r="C152" s="2"/>
      <c r="D152" s="2"/>
      <c r="E152" s="4"/>
      <c r="F152" s="4"/>
      <c r="G152" s="4"/>
      <c r="H152" s="4"/>
      <c r="I152" s="4"/>
      <c r="J152" s="4"/>
      <c r="K152" s="4"/>
      <c r="L152" s="4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AB152" s="2"/>
      <c r="AC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</row>
    <row r="153" spans="1:50" ht="12.75" hidden="1">
      <c r="C153" s="2"/>
      <c r="D153" s="2" t="s">
        <v>203</v>
      </c>
      <c r="E153" s="2">
        <v>2321731701.1178141</v>
      </c>
      <c r="F153" s="2">
        <v>1624525418.0491257</v>
      </c>
      <c r="G153" s="2">
        <v>3465844197.1031699</v>
      </c>
      <c r="H153" s="2">
        <v>2338204891.8186331</v>
      </c>
      <c r="I153" s="2">
        <v>1105832822.3515301</v>
      </c>
      <c r="J153" s="2">
        <v>1144526871.2226229</v>
      </c>
      <c r="K153" s="2">
        <v>5223932716.3266687</v>
      </c>
      <c r="L153" s="2">
        <v>1049803976.0167756</v>
      </c>
      <c r="M153" s="2">
        <v>242341457.64229503</v>
      </c>
      <c r="N153" s="2">
        <v>149232437912.96927</v>
      </c>
      <c r="O153" s="2">
        <v>151980445.84693992</v>
      </c>
      <c r="P153" s="2">
        <v>206029611.6203278</v>
      </c>
      <c r="Q153" s="2">
        <v>35177016253.852417</v>
      </c>
      <c r="R153" s="2">
        <v>4246503464.829669</v>
      </c>
      <c r="S153" s="2">
        <v>651944069.20016396</v>
      </c>
      <c r="T153" s="2">
        <v>50177391.200382523</v>
      </c>
      <c r="U153" s="2">
        <v>172394660.56300548</v>
      </c>
      <c r="V153" s="2">
        <v>85257158.718633875</v>
      </c>
      <c r="W153" s="2">
        <v>84076799.034863338</v>
      </c>
      <c r="X153" s="2" t="e">
        <v>#N/A</v>
      </c>
      <c r="Y153" s="2" t="e">
        <v>#N/A</v>
      </c>
      <c r="Z153" s="2" t="e">
        <v>#N/A</v>
      </c>
      <c r="AA153" s="2">
        <v>189420473.82147539</v>
      </c>
      <c r="AB153" s="2" t="e">
        <v>#N/A</v>
      </c>
      <c r="AC153" s="2">
        <v>411658490.78855073</v>
      </c>
      <c r="AD153" s="2">
        <v>241150241.91962969</v>
      </c>
      <c r="AE153" s="2">
        <v>118203559.09876709</v>
      </c>
      <c r="AF153" s="2">
        <v>687361739.93397713</v>
      </c>
      <c r="AG153" s="2">
        <v>1008448630.6017596</v>
      </c>
      <c r="AH153" s="2">
        <v>455311661.07548201</v>
      </c>
      <c r="AI153" s="2">
        <v>609971326.93115175</v>
      </c>
      <c r="AJ153" s="2">
        <v>388304009.3826775</v>
      </c>
      <c r="AK153" s="2">
        <v>885460440.58158481</v>
      </c>
      <c r="AL153" s="2">
        <v>810296691.32054591</v>
      </c>
      <c r="AM153" s="2">
        <v>366944554.13540989</v>
      </c>
      <c r="AN153" s="2">
        <v>266617155.213552</v>
      </c>
      <c r="AO153" s="2">
        <v>788579498.77251363</v>
      </c>
      <c r="AP153" s="2">
        <v>353422451.71327877</v>
      </c>
      <c r="AQ153" s="2">
        <v>1657168920.3331685</v>
      </c>
      <c r="AR153" s="2">
        <v>737754469.04644811</v>
      </c>
      <c r="AS153" s="2">
        <v>506766333.55125678</v>
      </c>
      <c r="AT153" s="2">
        <v>317961108.71677601</v>
      </c>
      <c r="AU153" s="2">
        <v>239158401.5236066</v>
      </c>
      <c r="AV153" s="2">
        <v>4156463282.8843699</v>
      </c>
      <c r="AW153" s="2">
        <v>3060071155.8730063</v>
      </c>
      <c r="AX153" s="2">
        <v>2697075489.8696175</v>
      </c>
    </row>
    <row r="154" spans="1:50" ht="12.75" hidden="1">
      <c r="C154" s="2"/>
      <c r="D154" s="2" t="s">
        <v>204</v>
      </c>
      <c r="E154" s="25">
        <v>232.17317011178142</v>
      </c>
      <c r="F154" s="25">
        <v>162.45254180491256</v>
      </c>
      <c r="G154" s="25">
        <v>346.58441971031698</v>
      </c>
      <c r="H154" s="25">
        <v>233.82048918186331</v>
      </c>
      <c r="I154" s="25">
        <v>110.58328223515301</v>
      </c>
      <c r="J154" s="25">
        <v>114.45268712226229</v>
      </c>
      <c r="K154" s="25">
        <v>522.39327163266682</v>
      </c>
      <c r="L154" s="25">
        <v>104.98039760167757</v>
      </c>
      <c r="M154" s="25">
        <v>24.234145764229503</v>
      </c>
      <c r="N154" s="25">
        <v>14923.243791296927</v>
      </c>
      <c r="O154" s="25">
        <v>15.198044584693992</v>
      </c>
      <c r="P154" s="25">
        <v>20.602961162032781</v>
      </c>
      <c r="Q154" s="25">
        <v>3517.7016253852416</v>
      </c>
      <c r="R154" s="25">
        <v>424.65034648296688</v>
      </c>
      <c r="S154" s="25">
        <v>65.194406920016391</v>
      </c>
      <c r="T154" s="25">
        <v>5.017739120038252</v>
      </c>
      <c r="U154" s="25">
        <v>17.239466056300547</v>
      </c>
      <c r="V154" s="25">
        <v>8.5257158718633868</v>
      </c>
      <c r="W154" s="25">
        <v>8.4076799034863345</v>
      </c>
      <c r="X154" s="25" t="e">
        <v>#N/A</v>
      </c>
      <c r="Y154" s="25" t="e">
        <v>#N/A</v>
      </c>
      <c r="Z154" s="25" t="e">
        <v>#N/A</v>
      </c>
      <c r="AA154" s="25">
        <v>18.942047382147539</v>
      </c>
      <c r="AB154" s="25" t="e">
        <v>#N/A</v>
      </c>
      <c r="AC154" s="25">
        <v>41.165849078855075</v>
      </c>
      <c r="AD154" s="25">
        <v>24.11502419196297</v>
      </c>
      <c r="AE154" s="25">
        <v>11.820355909876708</v>
      </c>
      <c r="AF154" s="25">
        <v>68.736173993397713</v>
      </c>
      <c r="AG154" s="25">
        <v>100.84486306017595</v>
      </c>
      <c r="AH154" s="25">
        <v>45.531166107548202</v>
      </c>
      <c r="AI154" s="25">
        <v>60.997132693115176</v>
      </c>
      <c r="AJ154" s="25">
        <v>38.830400938267751</v>
      </c>
      <c r="AK154" s="25">
        <v>88.546044058158486</v>
      </c>
      <c r="AL154" s="25">
        <v>81.029669132054593</v>
      </c>
      <c r="AM154" s="25">
        <v>36.694455413540986</v>
      </c>
      <c r="AN154" s="25">
        <v>26.661715521355198</v>
      </c>
      <c r="AO154" s="25">
        <v>78.857949877251357</v>
      </c>
      <c r="AP154" s="25">
        <v>35.342245171327875</v>
      </c>
      <c r="AQ154" s="25">
        <v>165.71689203331684</v>
      </c>
      <c r="AR154" s="25">
        <v>73.775446904644809</v>
      </c>
      <c r="AS154" s="25">
        <v>50.676633355125681</v>
      </c>
      <c r="AT154" s="25">
        <v>31.796110871677602</v>
      </c>
      <c r="AU154" s="25">
        <v>23.915840152360659</v>
      </c>
      <c r="AV154" s="25">
        <v>415.64632828843696</v>
      </c>
      <c r="AW154" s="25">
        <v>306.00711558730063</v>
      </c>
      <c r="AX154" s="25">
        <v>269.70754898696174</v>
      </c>
    </row>
    <row r="155" spans="1:50" ht="12.75" hidden="1">
      <c r="C155" s="2"/>
      <c r="D155" s="2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AB155" s="4"/>
      <c r="AC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</row>
    <row r="156" spans="1:50" ht="12.75" hidden="1">
      <c r="C156" s="2"/>
      <c r="D156" s="2" t="s">
        <v>205</v>
      </c>
      <c r="E156" s="78">
        <v>42826</v>
      </c>
      <c r="F156" s="78">
        <v>42826</v>
      </c>
      <c r="G156" s="78">
        <v>42826</v>
      </c>
      <c r="H156" s="78">
        <v>42826</v>
      </c>
      <c r="I156" s="78">
        <v>42826</v>
      </c>
      <c r="J156" s="78">
        <v>42826</v>
      </c>
      <c r="K156" s="78">
        <v>42826</v>
      </c>
      <c r="L156" s="78">
        <v>42826</v>
      </c>
      <c r="M156" s="78">
        <v>42826</v>
      </c>
      <c r="N156" s="78">
        <v>42826</v>
      </c>
      <c r="O156" s="78">
        <v>42826</v>
      </c>
      <c r="P156" s="78">
        <v>42826</v>
      </c>
      <c r="Q156" s="78">
        <v>42826</v>
      </c>
      <c r="R156" s="78">
        <v>42826</v>
      </c>
      <c r="S156" s="78">
        <v>42826</v>
      </c>
      <c r="T156" s="78">
        <v>42826</v>
      </c>
      <c r="U156" s="78">
        <v>42826</v>
      </c>
      <c r="V156" s="78">
        <v>42826</v>
      </c>
      <c r="W156" s="78">
        <v>42826</v>
      </c>
      <c r="X156" s="78">
        <v>42826</v>
      </c>
      <c r="Y156" s="78">
        <v>42826</v>
      </c>
      <c r="Z156" s="78">
        <v>42826</v>
      </c>
      <c r="AA156" s="78">
        <v>42826</v>
      </c>
      <c r="AB156" s="78">
        <v>42826</v>
      </c>
      <c r="AC156" s="78">
        <v>42826</v>
      </c>
      <c r="AD156" s="78">
        <v>42826</v>
      </c>
      <c r="AE156" s="78">
        <v>42826</v>
      </c>
      <c r="AF156" s="78">
        <v>42826</v>
      </c>
      <c r="AG156" s="78">
        <v>42826</v>
      </c>
      <c r="AH156" s="78">
        <v>42826</v>
      </c>
      <c r="AI156" s="78">
        <v>42826</v>
      </c>
      <c r="AJ156" s="78">
        <v>42826</v>
      </c>
      <c r="AK156" s="78">
        <v>42826</v>
      </c>
      <c r="AL156" s="78">
        <v>42826</v>
      </c>
      <c r="AM156" s="78">
        <v>42826</v>
      </c>
      <c r="AN156" s="78">
        <v>42826</v>
      </c>
      <c r="AO156" s="78">
        <v>42826</v>
      </c>
      <c r="AP156" s="78">
        <v>42826</v>
      </c>
      <c r="AQ156" s="78">
        <v>42826</v>
      </c>
      <c r="AR156" s="78">
        <v>42826</v>
      </c>
      <c r="AS156" s="78">
        <v>42826</v>
      </c>
      <c r="AT156" s="78">
        <v>42826</v>
      </c>
      <c r="AU156" s="78">
        <v>42826</v>
      </c>
      <c r="AV156" s="78">
        <v>42826</v>
      </c>
      <c r="AW156" s="78">
        <v>42826</v>
      </c>
      <c r="AX156" s="78">
        <v>42826</v>
      </c>
    </row>
    <row r="157" spans="1:50" ht="12.75" hidden="1">
      <c r="C157" s="2"/>
      <c r="D157" s="2" t="s">
        <v>206</v>
      </c>
      <c r="E157" s="78">
        <v>43008</v>
      </c>
      <c r="F157" s="78">
        <v>43008</v>
      </c>
      <c r="G157" s="78">
        <v>43008</v>
      </c>
      <c r="H157" s="78">
        <v>43008</v>
      </c>
      <c r="I157" s="78">
        <v>43008</v>
      </c>
      <c r="J157" s="78">
        <v>43008</v>
      </c>
      <c r="K157" s="78">
        <v>43008</v>
      </c>
      <c r="L157" s="78">
        <v>43008</v>
      </c>
      <c r="M157" s="78">
        <v>43008</v>
      </c>
      <c r="N157" s="78">
        <v>43008</v>
      </c>
      <c r="O157" s="78">
        <v>43008</v>
      </c>
      <c r="P157" s="78">
        <v>43008</v>
      </c>
      <c r="Q157" s="78">
        <v>43008</v>
      </c>
      <c r="R157" s="78">
        <v>43008</v>
      </c>
      <c r="S157" s="78">
        <v>43008</v>
      </c>
      <c r="T157" s="78">
        <v>43008</v>
      </c>
      <c r="U157" s="78">
        <v>43008</v>
      </c>
      <c r="V157" s="78">
        <v>43008</v>
      </c>
      <c r="W157" s="78">
        <v>43008</v>
      </c>
      <c r="X157" s="78">
        <v>43008</v>
      </c>
      <c r="Y157" s="78">
        <v>43008</v>
      </c>
      <c r="Z157" s="78">
        <v>43008</v>
      </c>
      <c r="AA157" s="78">
        <v>43008</v>
      </c>
      <c r="AB157" s="78">
        <v>43008</v>
      </c>
      <c r="AC157" s="78">
        <v>42894</v>
      </c>
      <c r="AD157" s="78">
        <v>42906</v>
      </c>
      <c r="AE157" s="78">
        <v>42898</v>
      </c>
      <c r="AF157" s="78">
        <v>42913</v>
      </c>
      <c r="AG157" s="78">
        <v>42933</v>
      </c>
      <c r="AH157" s="78">
        <v>42991</v>
      </c>
      <c r="AI157" s="78">
        <v>42990</v>
      </c>
      <c r="AJ157" s="78">
        <v>43008</v>
      </c>
      <c r="AK157" s="78">
        <v>43008</v>
      </c>
      <c r="AL157" s="78">
        <v>43008</v>
      </c>
      <c r="AM157" s="78">
        <v>43008</v>
      </c>
      <c r="AN157" s="78">
        <v>43008</v>
      </c>
      <c r="AO157" s="78">
        <v>43008</v>
      </c>
      <c r="AP157" s="78">
        <v>43008</v>
      </c>
      <c r="AQ157" s="78">
        <v>43008</v>
      </c>
      <c r="AR157" s="78">
        <v>43008</v>
      </c>
      <c r="AS157" s="78">
        <v>43008</v>
      </c>
      <c r="AT157" s="78">
        <v>43008</v>
      </c>
      <c r="AU157" s="78">
        <v>43008</v>
      </c>
      <c r="AV157" s="78">
        <v>43008</v>
      </c>
      <c r="AW157" s="78">
        <v>43008</v>
      </c>
      <c r="AX157" s="78">
        <v>43008</v>
      </c>
    </row>
    <row r="158" spans="1:50" ht="12.75" hidden="1">
      <c r="C158" s="2"/>
      <c r="D158" s="2" t="s">
        <v>207</v>
      </c>
      <c r="E158" s="4">
        <v>183</v>
      </c>
      <c r="F158" s="4">
        <v>183</v>
      </c>
      <c r="G158" s="4">
        <v>183</v>
      </c>
      <c r="H158" s="4">
        <v>183</v>
      </c>
      <c r="I158" s="4">
        <v>183</v>
      </c>
      <c r="J158" s="4">
        <v>183</v>
      </c>
      <c r="K158" s="4">
        <v>183</v>
      </c>
      <c r="L158" s="4">
        <v>183</v>
      </c>
      <c r="M158" s="4">
        <v>183</v>
      </c>
      <c r="N158" s="4">
        <v>183</v>
      </c>
      <c r="O158" s="4">
        <v>183</v>
      </c>
      <c r="P158" s="4">
        <v>183</v>
      </c>
      <c r="Q158" s="4">
        <v>183</v>
      </c>
      <c r="R158" s="4">
        <v>183</v>
      </c>
      <c r="S158" s="4">
        <v>183</v>
      </c>
      <c r="T158" s="4">
        <v>183</v>
      </c>
      <c r="U158" s="4">
        <v>183</v>
      </c>
      <c r="V158" s="4">
        <v>183</v>
      </c>
      <c r="W158" s="4">
        <v>183</v>
      </c>
      <c r="X158" s="4">
        <v>183</v>
      </c>
      <c r="Y158" s="4">
        <v>183</v>
      </c>
      <c r="Z158" s="4">
        <v>183</v>
      </c>
      <c r="AA158" s="4">
        <v>183</v>
      </c>
      <c r="AB158" s="4">
        <v>183</v>
      </c>
      <c r="AC158" s="4">
        <v>69</v>
      </c>
      <c r="AD158" s="4">
        <v>81</v>
      </c>
      <c r="AE158" s="4">
        <v>73</v>
      </c>
      <c r="AF158" s="4">
        <v>88</v>
      </c>
      <c r="AG158" s="4">
        <v>108</v>
      </c>
      <c r="AH158" s="4">
        <v>166</v>
      </c>
      <c r="AI158" s="4">
        <v>165</v>
      </c>
      <c r="AJ158" s="4">
        <v>183</v>
      </c>
      <c r="AK158" s="4">
        <v>183</v>
      </c>
      <c r="AL158" s="4">
        <v>183</v>
      </c>
      <c r="AM158" s="4">
        <v>183</v>
      </c>
      <c r="AN158" s="4">
        <v>183</v>
      </c>
      <c r="AO158" s="4">
        <v>183</v>
      </c>
      <c r="AP158" s="4">
        <v>183</v>
      </c>
      <c r="AQ158" s="4">
        <v>183</v>
      </c>
      <c r="AR158" s="4">
        <v>183</v>
      </c>
      <c r="AS158" s="4">
        <v>183</v>
      </c>
      <c r="AT158" s="4">
        <v>183</v>
      </c>
      <c r="AU158" s="4">
        <v>183</v>
      </c>
      <c r="AV158" s="4">
        <v>183</v>
      </c>
      <c r="AW158" s="4">
        <v>183</v>
      </c>
      <c r="AX158" s="4">
        <v>183</v>
      </c>
    </row>
    <row r="159" spans="1:50" ht="12.75" hidden="1">
      <c r="C159" s="2"/>
      <c r="D159" s="2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</row>
    <row r="160" spans="1:50" ht="12.75" hidden="1">
      <c r="C160" s="2"/>
      <c r="D160" s="2" t="s">
        <v>208</v>
      </c>
      <c r="E160" s="4">
        <v>183</v>
      </c>
      <c r="F160" s="4">
        <v>183</v>
      </c>
      <c r="G160" s="4">
        <v>183</v>
      </c>
      <c r="H160" s="4">
        <v>183</v>
      </c>
      <c r="I160" s="4">
        <v>183</v>
      </c>
      <c r="J160" s="4">
        <v>183</v>
      </c>
      <c r="K160" s="4">
        <v>183</v>
      </c>
      <c r="L160" s="4">
        <v>183</v>
      </c>
      <c r="M160" s="4">
        <v>183</v>
      </c>
      <c r="N160" s="4">
        <v>183</v>
      </c>
      <c r="O160" s="4">
        <v>183</v>
      </c>
      <c r="P160" s="4">
        <v>183</v>
      </c>
      <c r="Q160" s="4">
        <v>183</v>
      </c>
      <c r="R160" s="4">
        <v>183</v>
      </c>
      <c r="S160" s="4">
        <v>183</v>
      </c>
      <c r="T160" s="4">
        <v>183</v>
      </c>
      <c r="U160" s="4">
        <v>183</v>
      </c>
      <c r="V160" s="4">
        <v>183</v>
      </c>
      <c r="W160" s="4">
        <v>183</v>
      </c>
      <c r="X160" s="4">
        <v>0</v>
      </c>
      <c r="Y160" s="4">
        <v>0</v>
      </c>
      <c r="Z160" s="4">
        <v>0</v>
      </c>
      <c r="AA160" s="4">
        <v>183</v>
      </c>
      <c r="AB160" s="4">
        <v>0</v>
      </c>
      <c r="AC160" s="4">
        <v>69</v>
      </c>
      <c r="AD160" s="4">
        <v>81</v>
      </c>
      <c r="AE160" s="4">
        <v>73</v>
      </c>
      <c r="AF160" s="4">
        <v>88</v>
      </c>
      <c r="AG160" s="4">
        <v>108</v>
      </c>
      <c r="AH160" s="4">
        <v>166</v>
      </c>
      <c r="AI160" s="4">
        <v>165</v>
      </c>
      <c r="AJ160" s="4">
        <v>183</v>
      </c>
      <c r="AK160" s="4">
        <v>183</v>
      </c>
      <c r="AL160" s="4">
        <v>183</v>
      </c>
      <c r="AM160" s="4">
        <v>183</v>
      </c>
      <c r="AN160" s="4">
        <v>183</v>
      </c>
      <c r="AO160" s="4">
        <v>183</v>
      </c>
      <c r="AP160" s="4">
        <v>183</v>
      </c>
      <c r="AQ160" s="4">
        <v>183</v>
      </c>
      <c r="AR160" s="4">
        <v>183</v>
      </c>
      <c r="AS160" s="4">
        <v>183</v>
      </c>
      <c r="AT160" s="4">
        <v>183</v>
      </c>
      <c r="AU160" s="4">
        <v>183</v>
      </c>
      <c r="AV160" s="4">
        <v>183</v>
      </c>
      <c r="AW160" s="4">
        <v>183</v>
      </c>
      <c r="AX160" s="4">
        <v>183</v>
      </c>
    </row>
    <row r="161" spans="3:50" ht="12.75" hidden="1">
      <c r="C161" s="2"/>
      <c r="D161" s="2"/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-183</v>
      </c>
      <c r="Y161" s="36">
        <v>-183</v>
      </c>
      <c r="Z161" s="36">
        <v>-183</v>
      </c>
      <c r="AA161" s="36">
        <v>0</v>
      </c>
      <c r="AB161" s="36">
        <v>-183</v>
      </c>
      <c r="AC161" s="36">
        <v>0</v>
      </c>
      <c r="AD161" s="36">
        <v>0</v>
      </c>
      <c r="AE161" s="36">
        <v>0</v>
      </c>
      <c r="AF161" s="36">
        <v>0</v>
      </c>
      <c r="AG161" s="36">
        <v>0</v>
      </c>
      <c r="AH161" s="36">
        <v>0</v>
      </c>
      <c r="AI161" s="36">
        <v>0</v>
      </c>
      <c r="AJ161" s="36">
        <v>0</v>
      </c>
      <c r="AK161" s="36">
        <v>0</v>
      </c>
      <c r="AL161" s="36">
        <v>0</v>
      </c>
      <c r="AM161" s="36">
        <v>0</v>
      </c>
      <c r="AN161" s="36">
        <v>0</v>
      </c>
      <c r="AO161" s="36">
        <v>0</v>
      </c>
      <c r="AP161" s="36">
        <v>0</v>
      </c>
      <c r="AQ161" s="36">
        <v>0</v>
      </c>
      <c r="AR161" s="36">
        <v>0</v>
      </c>
      <c r="AS161" s="36">
        <v>0</v>
      </c>
      <c r="AT161" s="36">
        <v>0</v>
      </c>
      <c r="AU161" s="36">
        <v>0</v>
      </c>
      <c r="AV161" s="36">
        <v>0</v>
      </c>
      <c r="AW161" s="36">
        <v>0</v>
      </c>
      <c r="AX161" s="36">
        <v>0</v>
      </c>
    </row>
    <row r="162" spans="3:50" ht="12.75" hidden="1">
      <c r="C162" s="2"/>
      <c r="D162" s="2"/>
      <c r="E162" s="4"/>
      <c r="F162" s="4"/>
      <c r="G162" s="4"/>
      <c r="H162" s="4"/>
      <c r="I162" s="4"/>
      <c r="J162" s="4"/>
      <c r="K162" s="4"/>
      <c r="L162" s="4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AB162" s="2"/>
      <c r="AC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</row>
    <row r="163" spans="3:50" ht="12.75" hidden="1">
      <c r="C163" s="2"/>
      <c r="D163" s="2"/>
      <c r="E163" s="4"/>
      <c r="F163" s="4"/>
      <c r="G163" s="4"/>
      <c r="H163" s="4"/>
      <c r="I163" s="4"/>
      <c r="J163" s="4"/>
      <c r="K163" s="4"/>
      <c r="L163" s="4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AB163" s="2"/>
      <c r="AC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</row>
    <row r="164" spans="3:50" ht="12.75" hidden="1"/>
    <row r="165" spans="3:50" ht="12.75" hidden="1"/>
    <row r="166" spans="3:50" ht="12.75" hidden="1"/>
    <row r="167" spans="3:50" ht="12.75" hidden="1"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</row>
    <row r="168" spans="3:50" ht="12.6" customHeight="1"/>
  </sheetData>
  <sheetProtection password="C71F" sheet="1" objects="1" scenarios="1"/>
  <mergeCells count="2">
    <mergeCell ref="C150:D150"/>
    <mergeCell ref="C149:D149"/>
  </mergeCells>
  <conditionalFormatting sqref="E131:E139 E138:AX139 AC101:AI102 E106:AX107 E109:AX110 E115:AX116 E119:AX119 E123:AX123 E106:E128 E135:AX136 E132:AX133 E127:I127 F106:AX139">
    <cfRule type="cellIs" dxfId="32" priority="34" operator="equal">
      <formula>"check"</formula>
    </cfRule>
  </conditionalFormatting>
  <conditionalFormatting sqref="E129:AX130">
    <cfRule type="cellIs" dxfId="31" priority="30" operator="equal">
      <formula>"check"</formula>
    </cfRule>
  </conditionalFormatting>
  <conditionalFormatting sqref="E130:AX130">
    <cfRule type="cellIs" dxfId="30" priority="29" operator="equal">
      <formula>"check"</formula>
    </cfRule>
  </conditionalFormatting>
  <conditionalFormatting sqref="E133:AX133">
    <cfRule type="cellIs" dxfId="29" priority="28" operator="equal">
      <formula>"check"</formula>
    </cfRule>
  </conditionalFormatting>
  <conditionalFormatting sqref="E133:AX133">
    <cfRule type="cellIs" dxfId="28" priority="27" operator="equal">
      <formula>"check"</formula>
    </cfRule>
  </conditionalFormatting>
  <conditionalFormatting sqref="F133">
    <cfRule type="cellIs" dxfId="27" priority="26" operator="equal">
      <formula>"check"</formula>
    </cfRule>
  </conditionalFormatting>
  <conditionalFormatting sqref="F133">
    <cfRule type="cellIs" dxfId="26" priority="25" operator="equal">
      <formula>"check"</formula>
    </cfRule>
  </conditionalFormatting>
  <conditionalFormatting sqref="E136:AX136">
    <cfRule type="cellIs" dxfId="25" priority="24" operator="equal">
      <formula>"check"</formula>
    </cfRule>
  </conditionalFormatting>
  <conditionalFormatting sqref="E136:AX136">
    <cfRule type="cellIs" dxfId="24" priority="23" operator="equal">
      <formula>"check"</formula>
    </cfRule>
  </conditionalFormatting>
  <conditionalFormatting sqref="F136:H136">
    <cfRule type="cellIs" dxfId="23" priority="22" operator="equal">
      <formula>"check"</formula>
    </cfRule>
  </conditionalFormatting>
  <conditionalFormatting sqref="F136:H136">
    <cfRule type="cellIs" dxfId="22" priority="21" operator="equal">
      <formula>"check"</formula>
    </cfRule>
  </conditionalFormatting>
  <conditionalFormatting sqref="AP133">
    <cfRule type="cellIs" dxfId="21" priority="20" operator="equal">
      <formula>"check"</formula>
    </cfRule>
  </conditionalFormatting>
  <conditionalFormatting sqref="AP133">
    <cfRule type="cellIs" dxfId="20" priority="19" operator="equal">
      <formula>"check"</formula>
    </cfRule>
  </conditionalFormatting>
  <conditionalFormatting sqref="AP136">
    <cfRule type="cellIs" dxfId="19" priority="18" operator="equal">
      <formula>"check"</formula>
    </cfRule>
  </conditionalFormatting>
  <conditionalFormatting sqref="AP136">
    <cfRule type="cellIs" dxfId="18" priority="17" operator="equal">
      <formula>"check"</formula>
    </cfRule>
  </conditionalFormatting>
  <conditionalFormatting sqref="AP136">
    <cfRule type="cellIs" dxfId="17" priority="16" operator="equal">
      <formula>"check"</formula>
    </cfRule>
  </conditionalFormatting>
  <conditionalFormatting sqref="AP136">
    <cfRule type="cellIs" dxfId="16" priority="15" operator="equal">
      <formula>"check"</formula>
    </cfRule>
  </conditionalFormatting>
  <conditionalFormatting sqref="V133">
    <cfRule type="cellIs" dxfId="15" priority="14" operator="equal">
      <formula>"check"</formula>
    </cfRule>
  </conditionalFormatting>
  <conditionalFormatting sqref="V136">
    <cfRule type="cellIs" dxfId="14" priority="13" operator="equal">
      <formula>"check"</formula>
    </cfRule>
  </conditionalFormatting>
  <conditionalFormatting sqref="W133">
    <cfRule type="cellIs" dxfId="13" priority="12" operator="equal">
      <formula>"check"</formula>
    </cfRule>
  </conditionalFormatting>
  <conditionalFormatting sqref="W136">
    <cfRule type="cellIs" dxfId="12" priority="11" operator="equal">
      <formula>"check"</formula>
    </cfRule>
  </conditionalFormatting>
  <conditionalFormatting sqref="AJ133">
    <cfRule type="cellIs" dxfId="11" priority="10" operator="equal">
      <formula>"check"</formula>
    </cfRule>
  </conditionalFormatting>
  <conditionalFormatting sqref="AJ136">
    <cfRule type="cellIs" dxfId="10" priority="9" operator="equal">
      <formula>"check"</formula>
    </cfRule>
  </conditionalFormatting>
  <conditionalFormatting sqref="AK133">
    <cfRule type="cellIs" dxfId="9" priority="8" operator="equal">
      <formula>"check"</formula>
    </cfRule>
  </conditionalFormatting>
  <conditionalFormatting sqref="AK136">
    <cfRule type="cellIs" dxfId="8" priority="7" operator="equal">
      <formula>"check"</formula>
    </cfRule>
  </conditionalFormatting>
  <conditionalFormatting sqref="AL136">
    <cfRule type="cellIs" dxfId="7" priority="6" operator="equal">
      <formula>"check"</formula>
    </cfRule>
  </conditionalFormatting>
  <conditionalFormatting sqref="AL133">
    <cfRule type="cellIs" dxfId="6" priority="5" operator="equal">
      <formula>"check"</formula>
    </cfRule>
  </conditionalFormatting>
  <conditionalFormatting sqref="AM133">
    <cfRule type="cellIs" dxfId="5" priority="4" operator="equal">
      <formula>"check"</formula>
    </cfRule>
  </conditionalFormatting>
  <conditionalFormatting sqref="AM136">
    <cfRule type="cellIs" dxfId="4" priority="3" operator="equal">
      <formula>"check"</formula>
    </cfRule>
  </conditionalFormatting>
  <conditionalFormatting sqref="AN136">
    <cfRule type="cellIs" dxfId="3" priority="2" operator="equal">
      <formula>"check"</formula>
    </cfRule>
  </conditionalFormatting>
  <conditionalFormatting sqref="AN133">
    <cfRule type="cellIs" dxfId="2" priority="1" operator="equal">
      <formula>"check"</formula>
    </cfRule>
  </conditionalFormatting>
  <pageMargins left="0.23622047244094491" right="0.23622047244094491" top="0.74803149606299213" bottom="0.74803149606299213" header="0.31496062992125984" footer="0.31496062992125984"/>
  <pageSetup paperSize="8" scale="42" fitToWidth="3" fitToHeight="2" orientation="landscape" horizontalDpi="4294967295" verticalDpi="4294967295" r:id="rId1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I100"/>
  <sheetViews>
    <sheetView workbookViewId="0"/>
  </sheetViews>
  <sheetFormatPr defaultColWidth="9.140625" defaultRowHeight="12.75"/>
  <cols>
    <col min="1" max="1" width="4.85546875" style="81" customWidth="1"/>
    <col min="2" max="2" width="35.28515625" style="81" customWidth="1"/>
    <col min="3" max="3" width="37.85546875" style="81" customWidth="1"/>
    <col min="4" max="4" width="39.42578125" style="81" bestFit="1" customWidth="1"/>
    <col min="5" max="5" width="34.42578125" style="81" bestFit="1" customWidth="1"/>
    <col min="6" max="6" width="19" style="82" bestFit="1" customWidth="1"/>
    <col min="7" max="7" width="12.140625" style="81" bestFit="1" customWidth="1"/>
    <col min="8" max="8" width="17.5703125" style="82" customWidth="1"/>
    <col min="9" max="9" width="10.42578125" style="81" customWidth="1"/>
    <col min="10" max="10" width="9.140625" style="81"/>
    <col min="11" max="11" width="11.5703125" style="81" bestFit="1" customWidth="1"/>
    <col min="12" max="16384" width="9.140625" style="81"/>
  </cols>
  <sheetData>
    <row r="1" spans="1:9" s="79" customFormat="1">
      <c r="B1" s="80" t="s">
        <v>209</v>
      </c>
      <c r="C1" s="81"/>
      <c r="D1" s="81"/>
      <c r="E1" s="81"/>
      <c r="F1" s="82"/>
      <c r="G1" s="81"/>
      <c r="H1" s="83"/>
      <c r="I1" s="84"/>
    </row>
    <row r="2" spans="1:9" s="79" customFormat="1">
      <c r="B2" s="81"/>
      <c r="C2" s="81"/>
      <c r="D2" s="81"/>
      <c r="E2" s="81"/>
      <c r="F2" s="82"/>
      <c r="G2" s="81"/>
      <c r="H2" s="83"/>
      <c r="I2" s="84"/>
    </row>
    <row r="3" spans="1:9" s="79" customFormat="1">
      <c r="A3" s="81">
        <v>1</v>
      </c>
      <c r="B3" s="81" t="s">
        <v>210</v>
      </c>
      <c r="C3" s="81" t="s">
        <v>1866</v>
      </c>
      <c r="D3" s="81"/>
      <c r="E3" s="81"/>
      <c r="F3" s="83"/>
      <c r="G3" s="81"/>
      <c r="H3" s="83"/>
      <c r="I3" s="84"/>
    </row>
    <row r="4" spans="1:9" s="79" customFormat="1">
      <c r="A4" s="81"/>
      <c r="B4" s="81"/>
      <c r="C4" s="81" t="s">
        <v>211</v>
      </c>
      <c r="D4" s="81"/>
      <c r="E4" s="81"/>
      <c r="F4" s="83"/>
      <c r="G4" s="81"/>
      <c r="H4" s="83"/>
      <c r="I4" s="84"/>
    </row>
    <row r="5" spans="1:9" s="79" customFormat="1">
      <c r="A5" s="81"/>
      <c r="B5" s="81"/>
      <c r="C5" s="85"/>
      <c r="D5" s="81"/>
      <c r="E5" s="81"/>
      <c r="F5" s="83"/>
      <c r="G5" s="81"/>
      <c r="H5" s="83"/>
      <c r="I5" s="84"/>
    </row>
    <row r="6" spans="1:9" s="79" customFormat="1">
      <c r="A6" s="81">
        <v>2</v>
      </c>
      <c r="B6" s="311" t="s">
        <v>212</v>
      </c>
      <c r="C6" s="311"/>
      <c r="D6" s="81"/>
      <c r="E6" s="81"/>
      <c r="F6" s="83"/>
      <c r="G6" s="81"/>
      <c r="H6" s="83"/>
      <c r="I6" s="84"/>
    </row>
    <row r="7" spans="1:9" s="79" customFormat="1">
      <c r="A7" s="86" t="s">
        <v>213</v>
      </c>
      <c r="B7" s="349" t="s">
        <v>1867</v>
      </c>
      <c r="C7" s="350"/>
      <c r="D7" s="350"/>
      <c r="E7" s="350"/>
      <c r="F7" s="312"/>
      <c r="G7" s="36"/>
      <c r="H7" s="83"/>
      <c r="I7" s="84"/>
    </row>
    <row r="8" spans="1:9" s="79" customFormat="1">
      <c r="A8" s="86"/>
      <c r="B8" s="81"/>
      <c r="F8" s="83"/>
      <c r="G8" s="36"/>
      <c r="H8" s="83"/>
      <c r="I8" s="84"/>
    </row>
    <row r="9" spans="1:9" s="79" customFormat="1">
      <c r="A9" s="86" t="s">
        <v>214</v>
      </c>
      <c r="B9" s="349" t="s">
        <v>215</v>
      </c>
      <c r="C9" s="350"/>
      <c r="D9" s="350"/>
      <c r="E9" s="350"/>
      <c r="F9" s="83"/>
      <c r="G9" s="36"/>
      <c r="H9" s="83"/>
      <c r="I9" s="84"/>
    </row>
    <row r="10" spans="1:9" s="79" customFormat="1">
      <c r="A10" s="86"/>
      <c r="B10" s="288"/>
      <c r="C10" s="289"/>
      <c r="D10" s="289"/>
      <c r="E10" s="289"/>
      <c r="F10" s="83"/>
      <c r="G10" s="36"/>
      <c r="H10" s="83"/>
      <c r="I10" s="84"/>
    </row>
    <row r="11" spans="1:9" s="94" customFormat="1" ht="63.75">
      <c r="A11" s="88"/>
      <c r="B11" s="334" t="s">
        <v>216</v>
      </c>
      <c r="C11" s="334" t="s">
        <v>217</v>
      </c>
      <c r="D11" s="324" t="s">
        <v>218</v>
      </c>
      <c r="E11" s="324" t="s">
        <v>219</v>
      </c>
      <c r="F11" s="335" t="s">
        <v>1945</v>
      </c>
      <c r="G11" s="335" t="s">
        <v>1944</v>
      </c>
      <c r="H11" s="336" t="s">
        <v>1947</v>
      </c>
      <c r="I11" s="336" t="s">
        <v>1946</v>
      </c>
    </row>
    <row r="12" spans="1:9" s="79" customFormat="1">
      <c r="A12" s="86"/>
      <c r="B12" s="314" t="s">
        <v>221</v>
      </c>
      <c r="C12" s="314" t="s">
        <v>221</v>
      </c>
      <c r="D12" s="314" t="s">
        <v>221</v>
      </c>
      <c r="E12" s="315" t="s">
        <v>1869</v>
      </c>
      <c r="F12" s="314" t="s">
        <v>221</v>
      </c>
      <c r="G12" s="314" t="s">
        <v>221</v>
      </c>
      <c r="H12" s="314" t="s">
        <v>221</v>
      </c>
      <c r="I12" s="314" t="s">
        <v>221</v>
      </c>
    </row>
    <row r="13" spans="1:9" s="79" customFormat="1">
      <c r="A13" s="86"/>
      <c r="B13" s="316"/>
      <c r="C13" s="316"/>
      <c r="D13" s="316"/>
      <c r="E13" s="317"/>
      <c r="F13" s="318"/>
      <c r="G13" s="319"/>
      <c r="H13" s="320"/>
      <c r="I13" s="319"/>
    </row>
    <row r="14" spans="1:9" s="79" customFormat="1">
      <c r="A14" s="86"/>
      <c r="B14" s="313"/>
      <c r="C14" s="313"/>
      <c r="D14" s="313"/>
      <c r="F14" s="321"/>
      <c r="G14" s="322"/>
      <c r="H14" s="323"/>
      <c r="I14" s="322"/>
    </row>
    <row r="15" spans="1:9" s="79" customFormat="1">
      <c r="A15" s="86"/>
      <c r="B15" s="314" t="s">
        <v>221</v>
      </c>
      <c r="C15" s="314" t="s">
        <v>221</v>
      </c>
      <c r="D15" s="314" t="s">
        <v>221</v>
      </c>
      <c r="E15" s="315" t="s">
        <v>220</v>
      </c>
      <c r="F15" s="314" t="s">
        <v>221</v>
      </c>
      <c r="G15" s="314" t="s">
        <v>221</v>
      </c>
      <c r="H15" s="314" t="s">
        <v>221</v>
      </c>
      <c r="I15" s="314" t="s">
        <v>221</v>
      </c>
    </row>
    <row r="16" spans="1:9" s="79" customFormat="1">
      <c r="A16" s="86"/>
      <c r="B16" s="313"/>
      <c r="C16" s="313"/>
      <c r="D16" s="313"/>
      <c r="E16" s="313"/>
      <c r="F16" s="321"/>
      <c r="G16" s="322"/>
      <c r="H16" s="323"/>
      <c r="I16" s="322"/>
    </row>
    <row r="17" spans="1:9" s="79" customFormat="1">
      <c r="A17" s="86"/>
      <c r="B17" s="313"/>
      <c r="C17" s="313"/>
      <c r="D17" s="313"/>
      <c r="E17" s="313"/>
      <c r="F17" s="321"/>
      <c r="G17" s="322"/>
      <c r="H17" s="323"/>
      <c r="I17" s="322"/>
    </row>
    <row r="18" spans="1:9" s="79" customFormat="1">
      <c r="B18" s="81"/>
      <c r="F18" s="83"/>
      <c r="G18" s="36"/>
      <c r="H18" s="83"/>
      <c r="I18" s="84"/>
    </row>
    <row r="19" spans="1:9" s="79" customFormat="1">
      <c r="A19" s="86" t="s">
        <v>222</v>
      </c>
      <c r="B19" s="349" t="s">
        <v>223</v>
      </c>
      <c r="C19" s="350"/>
      <c r="D19" s="350"/>
      <c r="E19" s="350"/>
      <c r="F19" s="83"/>
      <c r="G19" s="36"/>
      <c r="H19" s="83"/>
      <c r="I19" s="84"/>
    </row>
    <row r="20" spans="1:9" s="79" customFormat="1">
      <c r="A20" s="86"/>
      <c r="B20" s="288"/>
      <c r="C20" s="289"/>
      <c r="D20" s="289"/>
      <c r="E20" s="289"/>
      <c r="F20" s="83"/>
      <c r="G20" s="36"/>
      <c r="H20" s="83"/>
      <c r="I20" s="84"/>
    </row>
    <row r="21" spans="1:9" s="79" customFormat="1" ht="38.25">
      <c r="A21" s="88"/>
      <c r="B21" s="334" t="s">
        <v>216</v>
      </c>
      <c r="C21" s="324" t="s">
        <v>217</v>
      </c>
      <c r="D21" s="324" t="s">
        <v>218</v>
      </c>
      <c r="E21" s="324" t="s">
        <v>219</v>
      </c>
      <c r="F21" s="337" t="s">
        <v>1949</v>
      </c>
      <c r="G21" s="36"/>
      <c r="H21" s="83"/>
      <c r="I21" s="84"/>
    </row>
    <row r="22" spans="1:9" s="79" customFormat="1">
      <c r="A22" s="88"/>
      <c r="B22" s="325"/>
      <c r="C22" s="313"/>
      <c r="D22" s="313"/>
      <c r="E22" s="87"/>
      <c r="F22" s="326"/>
      <c r="G22" s="36"/>
      <c r="H22" s="83"/>
      <c r="I22" s="84"/>
    </row>
    <row r="23" spans="1:9" s="79" customFormat="1">
      <c r="A23" s="88"/>
      <c r="B23" s="325"/>
      <c r="C23" s="313"/>
      <c r="D23" s="316"/>
      <c r="E23" s="315" t="s">
        <v>1869</v>
      </c>
      <c r="F23" s="326"/>
      <c r="G23" s="36"/>
      <c r="H23" s="83"/>
      <c r="I23" s="84"/>
    </row>
    <row r="24" spans="1:9" s="79" customFormat="1">
      <c r="A24" s="88"/>
      <c r="B24" s="325" t="s">
        <v>224</v>
      </c>
      <c r="C24" s="313" t="s">
        <v>225</v>
      </c>
      <c r="D24" s="316"/>
      <c r="E24" s="87"/>
      <c r="F24" s="326"/>
      <c r="G24" s="36"/>
      <c r="H24" s="83"/>
      <c r="I24" s="84"/>
    </row>
    <row r="25" spans="1:9" s="79" customFormat="1">
      <c r="A25" s="88"/>
      <c r="B25" s="325"/>
      <c r="C25" s="313"/>
      <c r="D25" s="313" t="s">
        <v>57</v>
      </c>
      <c r="E25" s="87"/>
      <c r="F25" s="327">
        <v>121.48000000000002</v>
      </c>
      <c r="G25" s="33"/>
      <c r="H25" s="83"/>
      <c r="I25" s="84"/>
    </row>
    <row r="26" spans="1:9" s="79" customFormat="1">
      <c r="A26" s="88"/>
      <c r="B26" s="325"/>
      <c r="C26" s="313"/>
      <c r="D26" s="313" t="s">
        <v>1857</v>
      </c>
      <c r="E26" s="87"/>
      <c r="F26" s="327">
        <v>2338.29</v>
      </c>
      <c r="G26" s="33"/>
      <c r="H26" s="83"/>
      <c r="I26" s="84"/>
    </row>
    <row r="27" spans="1:9" s="79" customFormat="1">
      <c r="A27" s="88"/>
      <c r="B27" s="325"/>
      <c r="C27" s="313"/>
      <c r="D27" s="313" t="s">
        <v>228</v>
      </c>
      <c r="E27" s="87"/>
      <c r="F27" s="327">
        <v>2780.93</v>
      </c>
      <c r="G27" s="33"/>
      <c r="H27" s="83"/>
      <c r="I27" s="84"/>
    </row>
    <row r="28" spans="1:9" s="79" customFormat="1">
      <c r="A28" s="88"/>
      <c r="B28" s="325"/>
      <c r="C28" s="313"/>
      <c r="D28" s="313" t="s">
        <v>1924</v>
      </c>
      <c r="E28" s="87"/>
      <c r="F28" s="327">
        <v>235.47</v>
      </c>
      <c r="G28" s="33"/>
      <c r="H28" s="83"/>
      <c r="I28" s="84"/>
    </row>
    <row r="29" spans="1:9" s="79" customFormat="1">
      <c r="A29" s="88"/>
      <c r="B29" s="325"/>
      <c r="C29" s="313"/>
      <c r="D29" s="313" t="s">
        <v>226</v>
      </c>
      <c r="E29" s="87"/>
      <c r="F29" s="327">
        <v>7772.0499999999993</v>
      </c>
      <c r="G29" s="33"/>
      <c r="H29" s="83"/>
      <c r="I29" s="84"/>
    </row>
    <row r="30" spans="1:9" s="79" customFormat="1">
      <c r="A30" s="88"/>
      <c r="B30" s="325"/>
      <c r="C30" s="313"/>
      <c r="D30" s="313" t="s">
        <v>227</v>
      </c>
      <c r="E30" s="87"/>
      <c r="F30" s="327">
        <v>12026.010000000002</v>
      </c>
      <c r="G30" s="33"/>
      <c r="H30" s="83"/>
      <c r="I30" s="84"/>
    </row>
    <row r="31" spans="1:9" s="79" customFormat="1">
      <c r="A31" s="88"/>
      <c r="B31" s="325"/>
      <c r="C31" s="313"/>
      <c r="D31" s="313" t="s">
        <v>61</v>
      </c>
      <c r="E31" s="87"/>
      <c r="F31" s="327">
        <v>627.2700000000001</v>
      </c>
      <c r="G31" s="33"/>
      <c r="H31" s="83"/>
      <c r="I31" s="84"/>
    </row>
    <row r="32" spans="1:9" s="79" customFormat="1">
      <c r="A32" s="88"/>
      <c r="B32" s="325"/>
      <c r="C32" s="313"/>
      <c r="D32" s="313" t="s">
        <v>62</v>
      </c>
      <c r="E32" s="87"/>
      <c r="F32" s="327">
        <v>1333.52</v>
      </c>
      <c r="G32" s="33"/>
      <c r="H32" s="83"/>
      <c r="I32" s="84"/>
    </row>
    <row r="33" spans="1:9" s="79" customFormat="1">
      <c r="A33" s="88"/>
      <c r="B33" s="325"/>
      <c r="C33" s="313"/>
      <c r="D33" s="313" t="s">
        <v>765</v>
      </c>
      <c r="E33" s="87"/>
      <c r="F33" s="327">
        <v>1832.15</v>
      </c>
      <c r="G33" s="33"/>
      <c r="H33" s="83"/>
      <c r="I33" s="84"/>
    </row>
    <row r="34" spans="1:9" s="79" customFormat="1">
      <c r="A34" s="88"/>
      <c r="B34" s="325"/>
      <c r="C34" s="313"/>
      <c r="D34" s="313" t="s">
        <v>60</v>
      </c>
      <c r="E34" s="87"/>
      <c r="F34" s="327">
        <v>2117.8599999999997</v>
      </c>
      <c r="G34" s="33"/>
      <c r="H34" s="83"/>
      <c r="I34" s="84"/>
    </row>
    <row r="35" spans="1:9" s="79" customFormat="1">
      <c r="A35" s="88"/>
      <c r="B35" s="325"/>
      <c r="C35" s="313"/>
      <c r="D35" s="313" t="s">
        <v>642</v>
      </c>
      <c r="E35" s="87"/>
      <c r="F35" s="327">
        <v>7883.9699999999993</v>
      </c>
      <c r="G35" s="33"/>
      <c r="H35" s="83"/>
      <c r="I35" s="84"/>
    </row>
    <row r="36" spans="1:9" s="79" customFormat="1">
      <c r="A36" s="88"/>
      <c r="B36" s="325"/>
      <c r="C36" s="313"/>
      <c r="D36" s="313" t="s">
        <v>774</v>
      </c>
      <c r="E36" s="87"/>
      <c r="F36" s="327">
        <v>7585.7</v>
      </c>
      <c r="G36" s="33"/>
      <c r="H36" s="83"/>
      <c r="I36" s="84"/>
    </row>
    <row r="37" spans="1:9" s="79" customFormat="1">
      <c r="A37" s="88"/>
      <c r="B37" s="325"/>
      <c r="C37" s="313"/>
      <c r="D37" s="313" t="s">
        <v>63</v>
      </c>
      <c r="E37" s="87"/>
      <c r="F37" s="327">
        <v>27865.1</v>
      </c>
      <c r="G37" s="33"/>
      <c r="H37" s="83"/>
      <c r="I37" s="84"/>
    </row>
    <row r="38" spans="1:9" s="79" customFormat="1">
      <c r="A38" s="88"/>
      <c r="B38" s="325"/>
      <c r="C38" s="313"/>
      <c r="D38" s="313" t="s">
        <v>55</v>
      </c>
      <c r="E38" s="87"/>
      <c r="F38" s="327">
        <v>3678.6299999999997</v>
      </c>
      <c r="G38" s="33"/>
      <c r="H38" s="83"/>
      <c r="I38" s="84"/>
    </row>
    <row r="39" spans="1:9" s="79" customFormat="1">
      <c r="A39" s="88"/>
      <c r="B39" s="325"/>
      <c r="C39" s="313"/>
      <c r="D39" s="313" t="s">
        <v>51</v>
      </c>
      <c r="E39" s="87"/>
      <c r="F39" s="327">
        <v>11727.009999999998</v>
      </c>
      <c r="G39" s="33"/>
      <c r="H39" s="83"/>
      <c r="I39" s="84"/>
    </row>
    <row r="40" spans="1:9" s="79" customFormat="1">
      <c r="A40" s="88"/>
      <c r="B40" s="325"/>
      <c r="C40" s="313"/>
      <c r="D40" s="313"/>
      <c r="E40" s="87"/>
      <c r="F40" s="326"/>
      <c r="G40" s="36"/>
      <c r="H40" s="83"/>
      <c r="I40" s="84"/>
    </row>
    <row r="41" spans="1:9" s="79" customFormat="1">
      <c r="A41" s="88"/>
      <c r="B41" s="325"/>
      <c r="C41" s="313"/>
      <c r="D41" s="313"/>
      <c r="E41" s="87"/>
      <c r="F41" s="326"/>
      <c r="G41" s="36"/>
      <c r="H41" s="83"/>
      <c r="I41" s="84"/>
    </row>
    <row r="42" spans="1:9" s="79" customFormat="1">
      <c r="A42" s="88"/>
      <c r="B42" s="325"/>
      <c r="C42" s="313"/>
      <c r="D42" s="313"/>
      <c r="E42" s="315" t="s">
        <v>220</v>
      </c>
      <c r="F42" s="326"/>
      <c r="G42" s="36"/>
      <c r="H42" s="83"/>
      <c r="I42" s="84"/>
    </row>
    <row r="43" spans="1:9" s="79" customFormat="1">
      <c r="A43" s="88"/>
      <c r="B43" s="325" t="s">
        <v>224</v>
      </c>
      <c r="C43" s="313" t="s">
        <v>225</v>
      </c>
      <c r="D43" s="313"/>
      <c r="E43" s="87"/>
      <c r="F43" s="326"/>
      <c r="G43" s="36"/>
      <c r="H43" s="83"/>
      <c r="I43" s="84"/>
    </row>
    <row r="44" spans="1:9" s="79" customFormat="1">
      <c r="A44" s="88"/>
      <c r="B44" s="325"/>
      <c r="C44" s="313"/>
      <c r="D44" s="313" t="s">
        <v>226</v>
      </c>
      <c r="E44" s="87"/>
      <c r="F44" s="327">
        <v>7450.5899999999992</v>
      </c>
      <c r="G44" s="36"/>
      <c r="H44" s="83"/>
      <c r="I44" s="84"/>
    </row>
    <row r="45" spans="1:9" s="79" customFormat="1">
      <c r="A45" s="88"/>
      <c r="B45" s="325"/>
      <c r="C45" s="313"/>
      <c r="D45" s="313" t="s">
        <v>227</v>
      </c>
      <c r="E45" s="87"/>
      <c r="F45" s="327">
        <v>11132.960000000001</v>
      </c>
      <c r="G45" s="36"/>
      <c r="H45" s="83"/>
      <c r="I45" s="84"/>
    </row>
    <row r="46" spans="1:9" s="79" customFormat="1">
      <c r="A46" s="88"/>
      <c r="B46" s="325"/>
      <c r="C46" s="313"/>
      <c r="D46" s="313" t="s">
        <v>228</v>
      </c>
      <c r="E46" s="87"/>
      <c r="F46" s="327">
        <v>2602.81</v>
      </c>
      <c r="G46" s="36"/>
      <c r="H46" s="83"/>
      <c r="I46" s="84"/>
    </row>
    <row r="47" spans="1:9" s="79" customFormat="1">
      <c r="A47" s="88"/>
      <c r="B47" s="325"/>
      <c r="C47" s="313"/>
      <c r="D47" s="313" t="s">
        <v>1857</v>
      </c>
      <c r="E47" s="87"/>
      <c r="F47" s="327">
        <v>2059.87</v>
      </c>
      <c r="G47" s="36"/>
      <c r="H47" s="83"/>
      <c r="I47" s="84"/>
    </row>
    <row r="48" spans="1:9" s="79" customFormat="1">
      <c r="A48" s="88"/>
      <c r="B48" s="325"/>
      <c r="C48" s="313"/>
      <c r="D48" s="313" t="s">
        <v>57</v>
      </c>
      <c r="E48" s="87"/>
      <c r="F48" s="327">
        <v>135.99</v>
      </c>
      <c r="G48" s="36"/>
      <c r="H48" s="83"/>
      <c r="I48" s="84"/>
    </row>
    <row r="49" spans="1:9" s="79" customFormat="1">
      <c r="A49" s="88"/>
      <c r="B49" s="325"/>
      <c r="C49" s="313"/>
      <c r="D49" s="313" t="s">
        <v>59</v>
      </c>
      <c r="E49" s="87"/>
      <c r="F49" s="327">
        <v>221.69</v>
      </c>
      <c r="G49" s="36"/>
      <c r="H49" s="83"/>
      <c r="I49" s="84"/>
    </row>
    <row r="50" spans="1:9" s="79" customFormat="1">
      <c r="A50" s="88"/>
      <c r="B50" s="325"/>
      <c r="C50" s="313"/>
      <c r="D50" s="313" t="s">
        <v>58</v>
      </c>
      <c r="E50" s="87"/>
      <c r="F50" s="327">
        <v>14.19</v>
      </c>
      <c r="G50" s="36"/>
      <c r="H50" s="83"/>
      <c r="I50" s="84"/>
    </row>
    <row r="51" spans="1:9" s="79" customFormat="1">
      <c r="A51" s="88"/>
      <c r="B51" s="325"/>
      <c r="C51" s="313"/>
      <c r="D51" s="313" t="s">
        <v>642</v>
      </c>
      <c r="E51" s="87"/>
      <c r="F51" s="327">
        <v>6964.84</v>
      </c>
      <c r="G51" s="36"/>
      <c r="H51" s="83"/>
      <c r="I51" s="84"/>
    </row>
    <row r="52" spans="1:9" s="79" customFormat="1">
      <c r="A52" s="88"/>
      <c r="B52" s="325"/>
      <c r="C52" s="313"/>
      <c r="D52" s="313" t="s">
        <v>765</v>
      </c>
      <c r="E52" s="87"/>
      <c r="F52" s="327">
        <v>1865.6499999999999</v>
      </c>
      <c r="G52" s="36"/>
      <c r="H52" s="83"/>
      <c r="I52" s="84"/>
    </row>
    <row r="53" spans="1:9" s="79" customFormat="1">
      <c r="A53" s="88"/>
      <c r="B53" s="325"/>
      <c r="C53" s="313"/>
      <c r="D53" s="313" t="s">
        <v>60</v>
      </c>
      <c r="E53" s="87"/>
      <c r="F53" s="327">
        <v>1952.1</v>
      </c>
      <c r="G53" s="36"/>
      <c r="H53" s="83"/>
      <c r="I53" s="84"/>
    </row>
    <row r="54" spans="1:9" s="79" customFormat="1">
      <c r="A54" s="88"/>
      <c r="B54" s="325"/>
      <c r="C54" s="313"/>
      <c r="D54" s="313" t="s">
        <v>774</v>
      </c>
      <c r="E54" s="87"/>
      <c r="F54" s="327">
        <v>6858.2100000000009</v>
      </c>
      <c r="G54" s="36"/>
      <c r="H54" s="83"/>
      <c r="I54" s="84"/>
    </row>
    <row r="55" spans="1:9" s="79" customFormat="1">
      <c r="A55" s="88"/>
      <c r="B55" s="325"/>
      <c r="C55" s="313"/>
      <c r="D55" s="313" t="s">
        <v>63</v>
      </c>
      <c r="E55" s="87"/>
      <c r="F55" s="327">
        <v>24492.11</v>
      </c>
      <c r="G55" s="36"/>
      <c r="H55" s="83"/>
      <c r="I55" s="84"/>
    </row>
    <row r="56" spans="1:9" s="79" customFormat="1">
      <c r="A56" s="88"/>
      <c r="B56" s="325"/>
      <c r="C56" s="313"/>
      <c r="D56" s="313" t="s">
        <v>55</v>
      </c>
      <c r="E56" s="87"/>
      <c r="F56" s="327">
        <v>3490.07</v>
      </c>
      <c r="G56" s="36"/>
      <c r="H56" s="83"/>
      <c r="I56" s="84"/>
    </row>
    <row r="57" spans="1:9" s="79" customFormat="1">
      <c r="A57" s="88"/>
      <c r="B57" s="325"/>
      <c r="C57" s="313"/>
      <c r="D57" s="313" t="s">
        <v>51</v>
      </c>
      <c r="E57" s="87"/>
      <c r="F57" s="327">
        <v>10688.800000000001</v>
      </c>
      <c r="G57" s="36"/>
      <c r="H57" s="83"/>
      <c r="I57" s="84"/>
    </row>
    <row r="58" spans="1:9" s="79" customFormat="1">
      <c r="A58" s="88"/>
      <c r="B58" s="325"/>
      <c r="C58" s="313"/>
      <c r="D58" s="313" t="s">
        <v>62</v>
      </c>
      <c r="E58" s="87"/>
      <c r="F58" s="327">
        <v>1330.33</v>
      </c>
      <c r="G58" s="36"/>
      <c r="H58" s="83"/>
      <c r="I58" s="84"/>
    </row>
    <row r="59" spans="1:9" s="79" customFormat="1">
      <c r="A59" s="88"/>
      <c r="B59" s="325"/>
      <c r="C59" s="313"/>
      <c r="D59" s="313" t="s">
        <v>61</v>
      </c>
      <c r="E59" s="87"/>
      <c r="F59" s="327">
        <v>600.68000000000006</v>
      </c>
      <c r="G59" s="36"/>
      <c r="H59" s="83"/>
      <c r="I59" s="84"/>
    </row>
    <row r="60" spans="1:9" s="79" customFormat="1">
      <c r="A60" s="88"/>
      <c r="B60" s="325"/>
      <c r="C60" s="313"/>
      <c r="D60" s="313"/>
      <c r="E60" s="87"/>
      <c r="F60" s="326"/>
      <c r="G60" s="36"/>
      <c r="H60" s="83"/>
      <c r="I60" s="84"/>
    </row>
    <row r="61" spans="1:9" s="79" customFormat="1">
      <c r="B61" s="90"/>
      <c r="C61" s="90"/>
      <c r="D61" s="90"/>
      <c r="E61" s="90"/>
      <c r="F61" s="91"/>
      <c r="G61" s="36"/>
      <c r="H61" s="83"/>
      <c r="I61" s="84"/>
    </row>
    <row r="62" spans="1:9" s="79" customFormat="1">
      <c r="A62" s="86">
        <v>3</v>
      </c>
      <c r="B62" s="80" t="s">
        <v>231</v>
      </c>
      <c r="C62" s="328"/>
      <c r="E62" s="328"/>
      <c r="F62" s="329"/>
      <c r="G62" s="328"/>
      <c r="H62" s="83"/>
      <c r="I62" s="84"/>
    </row>
    <row r="63" spans="1:9" s="79" customFormat="1">
      <c r="A63" s="81"/>
      <c r="B63" s="81"/>
      <c r="C63" s="81"/>
      <c r="D63" s="81"/>
      <c r="E63" s="81"/>
      <c r="F63" s="82"/>
      <c r="G63" s="81"/>
      <c r="H63" s="82"/>
      <c r="I63" s="84"/>
    </row>
    <row r="64" spans="1:9" s="79" customFormat="1">
      <c r="A64" s="81">
        <v>4</v>
      </c>
      <c r="B64" s="80" t="s">
        <v>232</v>
      </c>
      <c r="C64" s="81"/>
      <c r="D64" s="81"/>
      <c r="E64" s="81"/>
      <c r="F64" s="92"/>
      <c r="G64" s="36"/>
      <c r="H64" s="92"/>
      <c r="I64" s="36"/>
    </row>
    <row r="65" spans="1:9" s="79" customFormat="1">
      <c r="A65" s="81"/>
      <c r="B65" s="80"/>
      <c r="C65" s="81"/>
      <c r="D65" s="81"/>
      <c r="E65" s="81"/>
      <c r="F65" s="92"/>
      <c r="G65" s="36"/>
      <c r="H65" s="92"/>
      <c r="I65" s="36"/>
    </row>
    <row r="66" spans="1:9" s="79" customFormat="1">
      <c r="A66" s="81"/>
      <c r="B66" s="330" t="s">
        <v>233</v>
      </c>
      <c r="C66" s="330" t="s">
        <v>234</v>
      </c>
      <c r="D66" s="331" t="s">
        <v>235</v>
      </c>
      <c r="F66" s="92"/>
      <c r="G66" s="36"/>
      <c r="H66" s="92"/>
      <c r="I66" s="36"/>
    </row>
    <row r="67" spans="1:9" s="79" customFormat="1" ht="15">
      <c r="A67" s="81"/>
      <c r="B67" s="269" t="s">
        <v>1870</v>
      </c>
      <c r="C67" s="269" t="s">
        <v>1871</v>
      </c>
      <c r="D67" s="332">
        <v>26.46</v>
      </c>
      <c r="F67" s="92"/>
      <c r="G67" s="36"/>
      <c r="H67" s="92"/>
      <c r="I67" s="36"/>
    </row>
    <row r="68" spans="1:9" s="79" customFormat="1" ht="15">
      <c r="A68" s="81"/>
      <c r="B68" s="269" t="s">
        <v>1872</v>
      </c>
      <c r="C68" s="269" t="s">
        <v>1873</v>
      </c>
      <c r="D68" s="332">
        <v>32.548499999999997</v>
      </c>
      <c r="F68" s="92"/>
      <c r="G68" s="36"/>
      <c r="H68" s="92"/>
      <c r="I68" s="36"/>
    </row>
    <row r="69" spans="1:9" s="79" customFormat="1" ht="15">
      <c r="A69" s="81"/>
      <c r="B69" s="269" t="s">
        <v>1874</v>
      </c>
      <c r="C69" s="269" t="s">
        <v>1871</v>
      </c>
      <c r="D69" s="332">
        <v>27.192599999999999</v>
      </c>
      <c r="F69" s="92"/>
      <c r="G69" s="36"/>
      <c r="H69" s="92"/>
      <c r="I69" s="36"/>
    </row>
    <row r="70" spans="1:9" s="79" customFormat="1">
      <c r="A70" s="81"/>
      <c r="B70" s="80"/>
      <c r="C70" s="81"/>
      <c r="D70" s="81"/>
      <c r="E70" s="81"/>
      <c r="F70" s="92"/>
      <c r="G70" s="36"/>
      <c r="H70" s="92"/>
      <c r="I70" s="36"/>
    </row>
    <row r="71" spans="1:9" s="79" customFormat="1">
      <c r="A71" s="81">
        <v>5</v>
      </c>
      <c r="B71" s="30" t="s">
        <v>1875</v>
      </c>
      <c r="C71" s="36"/>
      <c r="D71" s="36"/>
      <c r="E71" s="36"/>
      <c r="F71" s="92"/>
      <c r="G71" s="36"/>
      <c r="H71" s="92"/>
      <c r="I71" s="36"/>
    </row>
    <row r="72" spans="1:9" s="79" customFormat="1">
      <c r="A72" s="81"/>
      <c r="B72" s="80"/>
      <c r="C72" s="81"/>
      <c r="D72" s="81"/>
      <c r="E72" s="81"/>
      <c r="F72" s="92"/>
      <c r="G72" s="36"/>
      <c r="H72" s="92"/>
      <c r="I72" s="36"/>
    </row>
    <row r="73" spans="1:9" s="79" customFormat="1">
      <c r="A73" s="81">
        <v>6</v>
      </c>
      <c r="B73" s="81" t="s">
        <v>236</v>
      </c>
      <c r="C73" s="81"/>
      <c r="D73" s="81"/>
      <c r="E73" s="81"/>
      <c r="F73" s="92"/>
      <c r="G73" s="36"/>
      <c r="H73" s="92"/>
      <c r="I73" s="36"/>
    </row>
    <row r="74" spans="1:9" s="79" customFormat="1">
      <c r="A74" s="81"/>
      <c r="B74" s="81"/>
      <c r="C74" s="81"/>
      <c r="D74" s="81"/>
      <c r="E74" s="81"/>
      <c r="F74" s="92"/>
      <c r="G74" s="36"/>
      <c r="H74" s="92"/>
      <c r="I74" s="36"/>
    </row>
    <row r="75" spans="1:9" s="79" customFormat="1">
      <c r="A75" s="81">
        <v>7</v>
      </c>
      <c r="B75" s="81" t="s">
        <v>1876</v>
      </c>
      <c r="C75" s="81"/>
      <c r="D75" s="81"/>
      <c r="E75" s="81"/>
      <c r="F75" s="92"/>
      <c r="G75" s="36"/>
      <c r="H75" s="92"/>
      <c r="I75" s="36"/>
    </row>
    <row r="76" spans="1:9" s="79" customFormat="1">
      <c r="A76" s="81"/>
      <c r="B76" s="81"/>
      <c r="C76" s="81"/>
      <c r="D76" s="81"/>
      <c r="E76" s="81"/>
      <c r="F76" s="92"/>
      <c r="G76" s="36"/>
      <c r="H76" s="92"/>
      <c r="I76" s="36"/>
    </row>
    <row r="77" spans="1:9" s="79" customFormat="1">
      <c r="A77" s="81">
        <v>8</v>
      </c>
      <c r="B77" s="81" t="s">
        <v>1877</v>
      </c>
      <c r="C77" s="81"/>
      <c r="D77" s="81"/>
      <c r="E77" s="81"/>
      <c r="F77" s="92"/>
      <c r="G77" s="36"/>
      <c r="H77" s="92"/>
      <c r="I77" s="36"/>
    </row>
    <row r="78" spans="1:9" s="79" customFormat="1">
      <c r="B78" s="81"/>
      <c r="C78" s="93"/>
      <c r="D78" s="93"/>
      <c r="E78" s="93"/>
      <c r="F78" s="83"/>
      <c r="G78" s="36"/>
      <c r="H78" s="92"/>
      <c r="I78" s="36"/>
    </row>
    <row r="79" spans="1:9" s="79" customFormat="1">
      <c r="A79" s="81">
        <v>9</v>
      </c>
      <c r="B79" s="229" t="s">
        <v>1878</v>
      </c>
      <c r="C79" s="36"/>
      <c r="D79" s="36"/>
      <c r="E79" s="36"/>
      <c r="F79" s="92"/>
      <c r="G79" s="36"/>
      <c r="H79" s="92"/>
      <c r="I79" s="36"/>
    </row>
    <row r="81" spans="1:9">
      <c r="A81" s="81">
        <v>10</v>
      </c>
      <c r="B81" s="229" t="s">
        <v>1948</v>
      </c>
      <c r="C81" s="36"/>
    </row>
    <row r="82" spans="1:9" s="79" customFormat="1">
      <c r="B82" s="30"/>
      <c r="C82" s="36"/>
      <c r="D82" s="36"/>
      <c r="E82" s="36"/>
      <c r="F82" s="92"/>
      <c r="G82" s="36"/>
      <c r="H82" s="92"/>
      <c r="I82" s="36"/>
    </row>
    <row r="83" spans="1:9" s="79" customFormat="1">
      <c r="A83" s="81">
        <v>11</v>
      </c>
      <c r="B83" s="229" t="s">
        <v>237</v>
      </c>
      <c r="C83" s="36"/>
      <c r="D83" s="36"/>
      <c r="E83" s="36"/>
      <c r="F83" s="92"/>
      <c r="G83" s="36"/>
      <c r="H83" s="92"/>
      <c r="I83" s="36"/>
    </row>
    <row r="84" spans="1:9" s="79" customFormat="1">
      <c r="B84" s="30" t="s">
        <v>238</v>
      </c>
      <c r="C84" s="36"/>
      <c r="D84" s="36"/>
      <c r="E84" s="36"/>
      <c r="F84" s="92"/>
      <c r="G84" s="36"/>
      <c r="H84" s="92"/>
      <c r="I84" s="36"/>
    </row>
    <row r="85" spans="1:9" s="79" customFormat="1">
      <c r="A85" s="81">
        <v>12</v>
      </c>
      <c r="B85" s="229" t="s">
        <v>239</v>
      </c>
      <c r="C85" s="36"/>
      <c r="D85" s="36"/>
      <c r="E85" s="36"/>
      <c r="F85" s="92"/>
      <c r="G85" s="36"/>
      <c r="H85" s="92"/>
      <c r="I85" s="36"/>
    </row>
    <row r="86" spans="1:9" s="79" customFormat="1">
      <c r="B86" s="30"/>
      <c r="C86" s="36"/>
      <c r="D86" s="36"/>
      <c r="E86" s="36"/>
      <c r="F86" s="92"/>
      <c r="G86" s="36"/>
      <c r="H86" s="92"/>
      <c r="I86" s="36"/>
    </row>
    <row r="87" spans="1:9" s="79" customFormat="1">
      <c r="A87" s="81">
        <v>13</v>
      </c>
      <c r="B87" s="229" t="s">
        <v>240</v>
      </c>
      <c r="C87" s="36"/>
      <c r="D87" s="36"/>
      <c r="E87" s="36"/>
      <c r="F87" s="92"/>
      <c r="G87" s="36"/>
      <c r="H87" s="92"/>
      <c r="I87" s="36"/>
    </row>
    <row r="88" spans="1:9" s="79" customFormat="1">
      <c r="B88" s="229"/>
      <c r="C88" s="36"/>
      <c r="D88" s="36"/>
      <c r="E88" s="36"/>
      <c r="F88" s="92"/>
      <c r="G88" s="36"/>
      <c r="H88" s="92"/>
      <c r="I88" s="36"/>
    </row>
    <row r="89" spans="1:9" s="79" customFormat="1">
      <c r="A89" s="81">
        <v>14</v>
      </c>
      <c r="B89" s="229" t="s">
        <v>1950</v>
      </c>
      <c r="C89" s="36"/>
      <c r="D89" s="36"/>
      <c r="E89" s="36"/>
      <c r="F89" s="92"/>
      <c r="G89" s="36"/>
      <c r="H89" s="92"/>
      <c r="I89" s="36"/>
    </row>
    <row r="90" spans="1:9" s="79" customFormat="1">
      <c r="C90" s="36"/>
      <c r="D90" s="36"/>
      <c r="E90" s="36"/>
      <c r="F90" s="92"/>
      <c r="G90" s="36"/>
      <c r="H90" s="92"/>
      <c r="I90" s="36"/>
    </row>
    <row r="92" spans="1:9" s="79" customFormat="1">
      <c r="C92" s="36"/>
      <c r="D92" s="36"/>
      <c r="E92" s="81"/>
      <c r="F92" s="92"/>
      <c r="G92" s="36"/>
      <c r="H92" s="92"/>
      <c r="I92" s="36"/>
    </row>
    <row r="93" spans="1:9" s="79" customFormat="1">
      <c r="C93" s="36"/>
      <c r="D93" s="36"/>
      <c r="E93" s="36"/>
      <c r="F93" s="92"/>
      <c r="G93" s="36"/>
      <c r="H93" s="92"/>
      <c r="I93" s="36"/>
    </row>
    <row r="94" spans="1:9">
      <c r="B94" s="94" t="s">
        <v>241</v>
      </c>
    </row>
    <row r="95" spans="1:9" s="79" customFormat="1">
      <c r="B95" s="94" t="s">
        <v>242</v>
      </c>
      <c r="C95" s="36"/>
      <c r="D95" s="36"/>
      <c r="E95" s="36"/>
      <c r="F95" s="92"/>
      <c r="G95" s="36"/>
      <c r="H95" s="92"/>
      <c r="I95" s="36"/>
    </row>
    <row r="96" spans="1:9" s="79" customFormat="1">
      <c r="B96" s="94"/>
      <c r="C96" s="36"/>
      <c r="D96" s="36"/>
      <c r="E96" s="36"/>
      <c r="F96" s="92"/>
      <c r="G96" s="36"/>
      <c r="H96" s="92"/>
      <c r="I96" s="36"/>
    </row>
    <row r="97" spans="2:9" s="79" customFormat="1">
      <c r="B97" s="94"/>
      <c r="C97" s="36"/>
      <c r="D97" s="36"/>
      <c r="E97" s="36"/>
      <c r="F97" s="92"/>
      <c r="G97" s="36"/>
      <c r="H97" s="92"/>
      <c r="I97" s="36"/>
    </row>
    <row r="98" spans="2:9" s="79" customFormat="1">
      <c r="B98" s="94"/>
      <c r="C98" s="36"/>
      <c r="D98" s="36"/>
      <c r="E98" s="36"/>
      <c r="F98" s="92"/>
      <c r="G98" s="36"/>
      <c r="H98" s="92"/>
      <c r="I98" s="36"/>
    </row>
    <row r="99" spans="2:9">
      <c r="B99" s="94"/>
    </row>
    <row r="100" spans="2:9">
      <c r="B100" s="94" t="s">
        <v>243</v>
      </c>
    </row>
  </sheetData>
  <sheetProtection password="C71F" sheet="1" objects="1" scenarios="1"/>
  <mergeCells count="3">
    <mergeCell ref="B7:E7"/>
    <mergeCell ref="B9:E9"/>
    <mergeCell ref="B19:E19"/>
  </mergeCells>
  <pageMargins left="0.25" right="0.25" top="0.75" bottom="0.75" header="0.3" footer="0.3"/>
  <pageSetup paperSize="8" scale="46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 filterMode="1">
    <outlinePr summaryBelow="0"/>
    <pageSetUpPr autoPageBreaks="0"/>
  </sheetPr>
  <dimension ref="A1:AF3204"/>
  <sheetViews>
    <sheetView topLeftCell="W1" workbookViewId="0">
      <selection activeCell="Z51" sqref="Z51"/>
    </sheetView>
  </sheetViews>
  <sheetFormatPr defaultColWidth="8" defaultRowHeight="12.75" customHeight="1"/>
  <cols>
    <col min="1" max="1" width="19.7109375" style="153" customWidth="1"/>
    <col min="2" max="2" width="8" style="153"/>
    <col min="3" max="3" width="10.85546875" style="153" bestFit="1" customWidth="1"/>
    <col min="4" max="5" width="10.85546875" style="153" customWidth="1"/>
    <col min="6" max="6" width="8" style="157"/>
    <col min="7" max="7" width="16.7109375" style="127" customWidth="1"/>
    <col min="8" max="8" width="18" style="127" hidden="1" customWidth="1"/>
    <col min="9" max="9" width="24.85546875" style="127" hidden="1" customWidth="1"/>
    <col min="10" max="10" width="14.28515625" style="127" hidden="1" customWidth="1"/>
    <col min="11" max="11" width="31.140625" style="127" hidden="1" customWidth="1"/>
    <col min="12" max="12" width="10.7109375" style="127" bestFit="1" customWidth="1"/>
    <col min="13" max="13" width="13.85546875" style="127" bestFit="1" customWidth="1"/>
    <col min="14" max="14" width="45.28515625" style="127" bestFit="1" customWidth="1"/>
    <col min="15" max="16" width="17.28515625" style="127" bestFit="1" customWidth="1"/>
    <col min="17" max="17" width="16.42578125" style="127" bestFit="1" customWidth="1"/>
    <col min="18" max="18" width="17.42578125" style="127" bestFit="1" customWidth="1"/>
    <col min="19" max="20" width="17.28515625" style="127" bestFit="1" customWidth="1"/>
    <col min="21" max="21" width="16.42578125" style="127" bestFit="1" customWidth="1"/>
    <col min="22" max="22" width="25.7109375" style="127" bestFit="1" customWidth="1"/>
    <col min="23" max="23" width="25.5703125" style="127" bestFit="1" customWidth="1"/>
    <col min="24" max="24" width="29.5703125" style="127" bestFit="1" customWidth="1"/>
    <col min="25" max="25" width="29.42578125" style="127" bestFit="1" customWidth="1"/>
    <col min="26" max="26" width="26.5703125" style="127" bestFit="1" customWidth="1"/>
    <col min="27" max="27" width="26.42578125" style="127" bestFit="1" customWidth="1"/>
    <col min="28" max="28" width="17" style="125" bestFit="1" customWidth="1"/>
    <col min="29" max="29" width="14.42578125" style="122" customWidth="1"/>
    <col min="30" max="30" width="16" style="122" customWidth="1"/>
    <col min="31" max="262" width="6.85546875" style="122" customWidth="1"/>
    <col min="263" max="16384" width="8" style="122"/>
  </cols>
  <sheetData>
    <row r="1" spans="1:29" ht="12.75" customHeight="1">
      <c r="A1" s="153" t="s">
        <v>1524</v>
      </c>
      <c r="B1" s="153" t="s">
        <v>831</v>
      </c>
      <c r="C1" s="153" t="s">
        <v>830</v>
      </c>
      <c r="D1" s="153" t="s">
        <v>833</v>
      </c>
      <c r="E1" s="153" t="s">
        <v>834</v>
      </c>
      <c r="F1" s="157" t="s">
        <v>827</v>
      </c>
      <c r="G1" s="127" t="s">
        <v>432</v>
      </c>
      <c r="H1" s="127" t="s">
        <v>433</v>
      </c>
      <c r="I1" s="127" t="s">
        <v>434</v>
      </c>
      <c r="J1" s="127" t="s">
        <v>435</v>
      </c>
      <c r="K1" s="127" t="s">
        <v>436</v>
      </c>
      <c r="L1" s="127" t="s">
        <v>437</v>
      </c>
      <c r="M1" s="127" t="s">
        <v>438</v>
      </c>
      <c r="N1" s="127" t="s">
        <v>439</v>
      </c>
      <c r="O1" s="127" t="s">
        <v>440</v>
      </c>
      <c r="P1" s="127" t="s">
        <v>441</v>
      </c>
      <c r="Q1" s="127" t="s">
        <v>442</v>
      </c>
      <c r="R1" s="127" t="s">
        <v>443</v>
      </c>
      <c r="S1" s="127" t="s">
        <v>444</v>
      </c>
      <c r="T1" s="127" t="s">
        <v>445</v>
      </c>
      <c r="U1" s="127" t="s">
        <v>446</v>
      </c>
      <c r="V1" s="127" t="s">
        <v>447</v>
      </c>
      <c r="W1" s="127" t="s">
        <v>448</v>
      </c>
      <c r="X1" s="127" t="s">
        <v>449</v>
      </c>
      <c r="Y1" s="127" t="s">
        <v>450</v>
      </c>
      <c r="Z1" s="127" t="s">
        <v>451</v>
      </c>
      <c r="AA1" s="127" t="s">
        <v>452</v>
      </c>
      <c r="AB1" s="125" t="s">
        <v>832</v>
      </c>
    </row>
    <row r="2" spans="1:29" ht="12.75" hidden="1" customHeight="1">
      <c r="A2" s="125" t="str">
        <f t="shared" ref="A2" si="0">+F2&amp;N2</f>
        <v>LIC94INVESTMENTS - CBLO</v>
      </c>
      <c r="B2" s="125">
        <f>+IFERROR(VLOOKUP(L2,'DB Mapping'!A:D,4,0),0)</f>
        <v>0</v>
      </c>
      <c r="C2" s="125">
        <f>+IFERROR(VLOOKUP(L2,'DB Mapping'!A:C,3,0),0)</f>
        <v>0</v>
      </c>
      <c r="D2" s="125" t="str">
        <f>+F2&amp;B2</f>
        <v>LIC940</v>
      </c>
      <c r="E2" s="125" t="str">
        <f>+F2&amp;C2</f>
        <v>LIC940</v>
      </c>
      <c r="F2" s="211" t="s">
        <v>18</v>
      </c>
      <c r="G2" s="127" t="s">
        <v>453</v>
      </c>
      <c r="L2" s="212" t="s">
        <v>1711</v>
      </c>
      <c r="N2" s="212" t="s">
        <v>1606</v>
      </c>
      <c r="Z2" s="213">
        <v>43484163.890000001</v>
      </c>
      <c r="AA2" s="213">
        <v>0</v>
      </c>
      <c r="AB2" s="152">
        <f t="shared" ref="AB2:AB65" si="1">+(Z2-AA2)/10000000</f>
        <v>4.3484163890000005</v>
      </c>
      <c r="AC2" s="122" t="s">
        <v>1837</v>
      </c>
    </row>
    <row r="3" spans="1:29" ht="12.75" hidden="1" customHeight="1">
      <c r="A3" s="125" t="str">
        <f t="shared" ref="A3:A66" si="2">+F3&amp;N3</f>
        <v>LIC94HDFC BANK CURRENT ACCOUNT</v>
      </c>
      <c r="B3" s="125">
        <f>+IFERROR(VLOOKUP(L3,'DB Mapping'!A:D,4,0),0)</f>
        <v>0</v>
      </c>
      <c r="C3" s="125">
        <f>+IFERROR(VLOOKUP(L3,'DB Mapping'!A:C,3,0),0)</f>
        <v>0</v>
      </c>
      <c r="D3" s="125" t="str">
        <f t="shared" ref="D3:D66" si="3">+F3&amp;B3</f>
        <v>LIC940</v>
      </c>
      <c r="E3" s="125" t="str">
        <f t="shared" ref="E3:E66" si="4">+F3&amp;C3</f>
        <v>LIC940</v>
      </c>
      <c r="F3" s="211" t="s">
        <v>18</v>
      </c>
      <c r="G3" s="127" t="s">
        <v>453</v>
      </c>
      <c r="L3" s="212" t="s">
        <v>1712</v>
      </c>
      <c r="N3" s="212" t="s">
        <v>1612</v>
      </c>
      <c r="Z3" s="213">
        <v>0.02</v>
      </c>
      <c r="AA3" s="213">
        <v>0</v>
      </c>
      <c r="AB3" s="152">
        <f t="shared" si="1"/>
        <v>2.0000000000000001E-9</v>
      </c>
      <c r="AC3" s="122" t="s">
        <v>1837</v>
      </c>
    </row>
    <row r="4" spans="1:29" ht="12.75" hidden="1" customHeight="1">
      <c r="A4" s="125" t="str">
        <f t="shared" si="2"/>
        <v>LIC94REDEMPTION RECEIVABLE - CBLO</v>
      </c>
      <c r="B4" s="125">
        <f>+IFERROR(VLOOKUP(L4,'DB Mapping'!A:D,4,0),0)</f>
        <v>0</v>
      </c>
      <c r="C4" s="125">
        <f>+IFERROR(VLOOKUP(L4,'DB Mapping'!A:C,3,0),0)</f>
        <v>0</v>
      </c>
      <c r="D4" s="125" t="str">
        <f t="shared" si="3"/>
        <v>LIC940</v>
      </c>
      <c r="E4" s="125" t="str">
        <f t="shared" si="4"/>
        <v>LIC940</v>
      </c>
      <c r="F4" s="211" t="s">
        <v>18</v>
      </c>
      <c r="G4" s="127" t="s">
        <v>453</v>
      </c>
      <c r="L4" s="212" t="s">
        <v>1713</v>
      </c>
      <c r="N4" s="212" t="s">
        <v>1615</v>
      </c>
      <c r="Z4" s="213">
        <v>0</v>
      </c>
      <c r="AA4" s="213">
        <v>0</v>
      </c>
      <c r="AB4" s="152">
        <f t="shared" si="1"/>
        <v>0</v>
      </c>
      <c r="AC4" s="122" t="s">
        <v>1837</v>
      </c>
    </row>
    <row r="5" spans="1:29" ht="12.75" hidden="1" customHeight="1">
      <c r="A5" s="125" t="str">
        <f t="shared" si="2"/>
        <v>LIC94RECEIVABLE - UNITS SUBSCRIPTION</v>
      </c>
      <c r="B5" s="125">
        <f>+IFERROR(VLOOKUP(L5,'DB Mapping'!A:D,4,0),0)</f>
        <v>0</v>
      </c>
      <c r="C5" s="125">
        <f>+IFERROR(VLOOKUP(L5,'DB Mapping'!A:C,3,0),0)</f>
        <v>0</v>
      </c>
      <c r="D5" s="125" t="str">
        <f t="shared" si="3"/>
        <v>LIC940</v>
      </c>
      <c r="E5" s="125" t="str">
        <f t="shared" si="4"/>
        <v>LIC940</v>
      </c>
      <c r="F5" s="211" t="s">
        <v>18</v>
      </c>
      <c r="G5" s="127" t="s">
        <v>453</v>
      </c>
      <c r="L5" s="212" t="s">
        <v>1714</v>
      </c>
      <c r="N5" s="212" t="s">
        <v>1782</v>
      </c>
      <c r="Z5" s="213">
        <v>0</v>
      </c>
      <c r="AA5" s="213">
        <v>0</v>
      </c>
      <c r="AB5" s="152">
        <f t="shared" si="1"/>
        <v>0</v>
      </c>
      <c r="AC5" s="122" t="s">
        <v>1837</v>
      </c>
    </row>
    <row r="6" spans="1:29" ht="12.75" hidden="1" customHeight="1">
      <c r="A6" s="125" t="str">
        <f t="shared" si="2"/>
        <v>LIC94AMORTISATION RECEIVABLE - CBLO</v>
      </c>
      <c r="B6" s="125">
        <f>+IFERROR(VLOOKUP(L6,'DB Mapping'!A:D,4,0),0)</f>
        <v>0</v>
      </c>
      <c r="C6" s="125">
        <f>+IFERROR(VLOOKUP(L6,'DB Mapping'!A:C,3,0),0)</f>
        <v>0</v>
      </c>
      <c r="D6" s="125" t="str">
        <f t="shared" si="3"/>
        <v>LIC940</v>
      </c>
      <c r="E6" s="125" t="str">
        <f t="shared" si="4"/>
        <v>LIC940</v>
      </c>
      <c r="F6" s="211" t="s">
        <v>18</v>
      </c>
      <c r="G6" s="127" t="s">
        <v>453</v>
      </c>
      <c r="L6" s="212" t="s">
        <v>1715</v>
      </c>
      <c r="N6" s="212" t="s">
        <v>1621</v>
      </c>
      <c r="Z6" s="213">
        <v>7028.23</v>
      </c>
      <c r="AA6" s="213">
        <v>0</v>
      </c>
      <c r="AB6" s="152">
        <f t="shared" si="1"/>
        <v>7.0282299999999999E-4</v>
      </c>
      <c r="AC6" s="122" t="s">
        <v>1837</v>
      </c>
    </row>
    <row r="7" spans="1:29" ht="12.75" hidden="1" customHeight="1">
      <c r="A7" s="125" t="str">
        <f t="shared" si="2"/>
        <v>LIC94AMC RECEIVABLE / PAYABLE</v>
      </c>
      <c r="B7" s="125">
        <f>+IFERROR(VLOOKUP(L7,'DB Mapping'!A:D,4,0),0)</f>
        <v>0</v>
      </c>
      <c r="C7" s="125">
        <f>+IFERROR(VLOOKUP(L7,'DB Mapping'!A:C,3,0),0)</f>
        <v>0</v>
      </c>
      <c r="D7" s="125" t="str">
        <f t="shared" si="3"/>
        <v>LIC940</v>
      </c>
      <c r="E7" s="125" t="str">
        <f t="shared" si="4"/>
        <v>LIC940</v>
      </c>
      <c r="F7" s="211" t="s">
        <v>18</v>
      </c>
      <c r="G7" s="127" t="s">
        <v>453</v>
      </c>
      <c r="L7" s="212" t="s">
        <v>1716</v>
      </c>
      <c r="N7" s="212" t="s">
        <v>1704</v>
      </c>
      <c r="Z7" s="213">
        <v>31638.25</v>
      </c>
      <c r="AA7" s="213">
        <v>0</v>
      </c>
      <c r="AB7" s="152">
        <f t="shared" si="1"/>
        <v>3.1638249999999999E-3</v>
      </c>
      <c r="AC7" s="122" t="s">
        <v>1837</v>
      </c>
    </row>
    <row r="8" spans="1:29" ht="12.75" hidden="1" customHeight="1">
      <c r="A8" s="125" t="str">
        <f t="shared" si="2"/>
        <v>LIC94CCIL SETTLEMENT A/C</v>
      </c>
      <c r="B8" s="125">
        <f>+IFERROR(VLOOKUP(L8,'DB Mapping'!A:D,4,0),0)</f>
        <v>0</v>
      </c>
      <c r="C8" s="125">
        <f>+IFERROR(VLOOKUP(L8,'DB Mapping'!A:C,3,0),0)</f>
        <v>0</v>
      </c>
      <c r="D8" s="125" t="str">
        <f t="shared" si="3"/>
        <v>LIC940</v>
      </c>
      <c r="E8" s="125" t="str">
        <f t="shared" si="4"/>
        <v>LIC940</v>
      </c>
      <c r="F8" s="211" t="s">
        <v>18</v>
      </c>
      <c r="G8" s="127" t="s">
        <v>453</v>
      </c>
      <c r="L8" s="212" t="s">
        <v>1717</v>
      </c>
      <c r="N8" s="212" t="s">
        <v>1624</v>
      </c>
      <c r="Z8" s="213">
        <v>7028.06</v>
      </c>
      <c r="AA8" s="213">
        <v>0</v>
      </c>
      <c r="AB8" s="152">
        <f t="shared" si="1"/>
        <v>7.0280600000000005E-4</v>
      </c>
      <c r="AC8" s="122" t="s">
        <v>1837</v>
      </c>
    </row>
    <row r="9" spans="1:29" ht="12.75" hidden="1" customHeight="1">
      <c r="A9" s="125" t="str">
        <f t="shared" si="2"/>
        <v>LIC94SETTLEMENT PAYABLE</v>
      </c>
      <c r="B9" s="125">
        <f>+IFERROR(VLOOKUP(L9,'DB Mapping'!A:D,4,0),0)</f>
        <v>0</v>
      </c>
      <c r="C9" s="125">
        <f>+IFERROR(VLOOKUP(L9,'DB Mapping'!A:C,3,0),0)</f>
        <v>0</v>
      </c>
      <c r="D9" s="125" t="str">
        <f t="shared" si="3"/>
        <v>LIC940</v>
      </c>
      <c r="E9" s="125" t="str">
        <f t="shared" si="4"/>
        <v>LIC940</v>
      </c>
      <c r="F9" s="211" t="s">
        <v>18</v>
      </c>
      <c r="G9" s="127" t="s">
        <v>453</v>
      </c>
      <c r="L9" s="212" t="s">
        <v>1718</v>
      </c>
      <c r="N9" s="212" t="s">
        <v>1625</v>
      </c>
      <c r="Z9" s="213">
        <v>0</v>
      </c>
      <c r="AA9" s="213">
        <v>0</v>
      </c>
      <c r="AB9" s="152">
        <f t="shared" si="1"/>
        <v>0</v>
      </c>
      <c r="AC9" s="122" t="s">
        <v>1837</v>
      </c>
    </row>
    <row r="10" spans="1:29" ht="12.75" hidden="1" customHeight="1">
      <c r="A10" s="125" t="str">
        <f t="shared" si="2"/>
        <v>LIC94PAYABLE - UNITS REDEMPTION</v>
      </c>
      <c r="B10" s="125">
        <f>+IFERROR(VLOOKUP(L10,'DB Mapping'!A:D,4,0),0)</f>
        <v>0</v>
      </c>
      <c r="C10" s="125">
        <f>+IFERROR(VLOOKUP(L10,'DB Mapping'!A:C,3,0),0)</f>
        <v>0</v>
      </c>
      <c r="D10" s="125" t="str">
        <f t="shared" si="3"/>
        <v>LIC940</v>
      </c>
      <c r="E10" s="125" t="str">
        <f t="shared" si="4"/>
        <v>LIC940</v>
      </c>
      <c r="F10" s="211" t="s">
        <v>18</v>
      </c>
      <c r="G10" s="127" t="s">
        <v>453</v>
      </c>
      <c r="L10" s="212" t="s">
        <v>1719</v>
      </c>
      <c r="N10" s="212" t="s">
        <v>1783</v>
      </c>
      <c r="Z10" s="213">
        <v>0.01</v>
      </c>
      <c r="AA10" s="213">
        <v>0</v>
      </c>
      <c r="AB10" s="152">
        <f t="shared" si="1"/>
        <v>1.0000000000000001E-9</v>
      </c>
      <c r="AC10" s="122" t="s">
        <v>1837</v>
      </c>
    </row>
    <row r="11" spans="1:29" ht="12.75" hidden="1" customHeight="1">
      <c r="A11" s="125" t="str">
        <f t="shared" si="2"/>
        <v>LIC94EXPENSE ALLOCATION - LIABILITY ACCOUNT</v>
      </c>
      <c r="B11" s="125">
        <f>+IFERROR(VLOOKUP(L11,'DB Mapping'!A:D,4,0),0)</f>
        <v>0</v>
      </c>
      <c r="C11" s="125">
        <f>+IFERROR(VLOOKUP(L11,'DB Mapping'!A:C,3,0),0)</f>
        <v>0</v>
      </c>
      <c r="D11" s="125" t="str">
        <f t="shared" si="3"/>
        <v>LIC940</v>
      </c>
      <c r="E11" s="125" t="str">
        <f t="shared" si="4"/>
        <v>LIC940</v>
      </c>
      <c r="F11" s="211" t="s">
        <v>18</v>
      </c>
      <c r="G11" s="127" t="s">
        <v>453</v>
      </c>
      <c r="L11" s="212" t="s">
        <v>1720</v>
      </c>
      <c r="N11" s="212" t="s">
        <v>1626</v>
      </c>
      <c r="Z11" s="213">
        <v>19170.18</v>
      </c>
      <c r="AA11" s="213">
        <v>0</v>
      </c>
      <c r="AB11" s="152">
        <f t="shared" si="1"/>
        <v>1.9170179999999999E-3</v>
      </c>
      <c r="AC11" s="122" t="s">
        <v>1837</v>
      </c>
    </row>
    <row r="12" spans="1:29" ht="12.75" hidden="1" customHeight="1">
      <c r="A12" s="125" t="str">
        <f t="shared" si="2"/>
        <v>LIC94PAYABLE - UNITS DIVIDEND TAX</v>
      </c>
      <c r="B12" s="125">
        <f>+IFERROR(VLOOKUP(L12,'DB Mapping'!A:D,4,0),0)</f>
        <v>0</v>
      </c>
      <c r="C12" s="125">
        <f>+IFERROR(VLOOKUP(L12,'DB Mapping'!A:C,3,0),0)</f>
        <v>0</v>
      </c>
      <c r="D12" s="125" t="str">
        <f t="shared" si="3"/>
        <v>LIC940</v>
      </c>
      <c r="E12" s="125" t="str">
        <f t="shared" si="4"/>
        <v>LIC940</v>
      </c>
      <c r="F12" s="211" t="s">
        <v>18</v>
      </c>
      <c r="G12" s="127" t="s">
        <v>453</v>
      </c>
      <c r="L12" s="212" t="s">
        <v>1721</v>
      </c>
      <c r="N12" s="212" t="s">
        <v>1627</v>
      </c>
      <c r="Z12" s="213">
        <v>0</v>
      </c>
      <c r="AA12" s="213">
        <v>0</v>
      </c>
      <c r="AB12" s="152">
        <f t="shared" si="1"/>
        <v>0</v>
      </c>
      <c r="AC12" s="122" t="s">
        <v>1837</v>
      </c>
    </row>
    <row r="13" spans="1:29" ht="12.75" hidden="1" customHeight="1">
      <c r="A13" s="125" t="str">
        <f t="shared" si="2"/>
        <v>LIC94PAYABLE - AUDIT FEES</v>
      </c>
      <c r="B13" s="125">
        <f>+IFERROR(VLOOKUP(L13,'DB Mapping'!A:D,4,0),0)</f>
        <v>0</v>
      </c>
      <c r="C13" s="125">
        <f>+IFERROR(VLOOKUP(L13,'DB Mapping'!A:C,3,0),0)</f>
        <v>0</v>
      </c>
      <c r="D13" s="125" t="str">
        <f t="shared" si="3"/>
        <v>LIC940</v>
      </c>
      <c r="E13" s="125" t="str">
        <f t="shared" si="4"/>
        <v>LIC940</v>
      </c>
      <c r="F13" s="211" t="s">
        <v>18</v>
      </c>
      <c r="G13" s="127" t="s">
        <v>453</v>
      </c>
      <c r="L13" s="212" t="s">
        <v>1722</v>
      </c>
      <c r="N13" s="212" t="s">
        <v>1628</v>
      </c>
      <c r="Z13" s="213">
        <v>0</v>
      </c>
      <c r="AA13" s="213">
        <v>37735.26</v>
      </c>
      <c r="AB13" s="152">
        <f t="shared" si="1"/>
        <v>-3.7735260000000001E-3</v>
      </c>
      <c r="AC13" s="122" t="s">
        <v>1837</v>
      </c>
    </row>
    <row r="14" spans="1:29" ht="12.75" hidden="1" customHeight="1">
      <c r="A14" s="125" t="str">
        <f t="shared" si="2"/>
        <v>LIC94PAYABLE - CUSTODIAN FEE - CUSTODY</v>
      </c>
      <c r="B14" s="125">
        <f>+IFERROR(VLOOKUP(L14,'DB Mapping'!A:D,4,0),0)</f>
        <v>0</v>
      </c>
      <c r="C14" s="125">
        <f>+IFERROR(VLOOKUP(L14,'DB Mapping'!A:C,3,0),0)</f>
        <v>0</v>
      </c>
      <c r="D14" s="125" t="str">
        <f t="shared" si="3"/>
        <v>LIC940</v>
      </c>
      <c r="E14" s="125" t="str">
        <f t="shared" si="4"/>
        <v>LIC940</v>
      </c>
      <c r="F14" s="211" t="s">
        <v>18</v>
      </c>
      <c r="G14" s="127" t="s">
        <v>453</v>
      </c>
      <c r="L14" s="212" t="s">
        <v>1723</v>
      </c>
      <c r="N14" s="212" t="s">
        <v>1705</v>
      </c>
      <c r="Z14" s="213">
        <v>0</v>
      </c>
      <c r="AA14" s="213">
        <v>1117</v>
      </c>
      <c r="AB14" s="152">
        <f t="shared" si="1"/>
        <v>-1.117E-4</v>
      </c>
      <c r="AC14" s="122" t="s">
        <v>1837</v>
      </c>
    </row>
    <row r="15" spans="1:29" ht="12.75" hidden="1" customHeight="1">
      <c r="A15" s="125" t="str">
        <f t="shared" si="2"/>
        <v>LIC94PAYABLE - TDS ON EXPENSES</v>
      </c>
      <c r="B15" s="125">
        <f>+IFERROR(VLOOKUP(L15,'DB Mapping'!A:D,4,0),0)</f>
        <v>0</v>
      </c>
      <c r="C15" s="125">
        <f>+IFERROR(VLOOKUP(L15,'DB Mapping'!A:C,3,0),0)</f>
        <v>0</v>
      </c>
      <c r="D15" s="125" t="str">
        <f t="shared" si="3"/>
        <v>LIC940</v>
      </c>
      <c r="E15" s="125" t="str">
        <f t="shared" si="4"/>
        <v>LIC940</v>
      </c>
      <c r="F15" s="211" t="s">
        <v>18</v>
      </c>
      <c r="G15" s="127" t="s">
        <v>453</v>
      </c>
      <c r="L15" s="212" t="s">
        <v>1724</v>
      </c>
      <c r="N15" s="212" t="s">
        <v>1629</v>
      </c>
      <c r="Z15" s="213">
        <v>0</v>
      </c>
      <c r="AA15" s="213">
        <v>4463.75</v>
      </c>
      <c r="AB15" s="152">
        <f t="shared" si="1"/>
        <v>-4.4637499999999999E-4</v>
      </c>
      <c r="AC15" s="122" t="s">
        <v>1837</v>
      </c>
    </row>
    <row r="16" spans="1:29" ht="12.75" hidden="1" customHeight="1">
      <c r="A16" s="125" t="str">
        <f t="shared" si="2"/>
        <v>LIC94PAYABLE - TRUSTEE FEES</v>
      </c>
      <c r="B16" s="125">
        <f>+IFERROR(VLOOKUP(L16,'DB Mapping'!A:D,4,0),0)</f>
        <v>0</v>
      </c>
      <c r="C16" s="125">
        <f>+IFERROR(VLOOKUP(L16,'DB Mapping'!A:C,3,0),0)</f>
        <v>0</v>
      </c>
      <c r="D16" s="125" t="str">
        <f t="shared" si="3"/>
        <v>LIC940</v>
      </c>
      <c r="E16" s="125" t="str">
        <f t="shared" si="4"/>
        <v>LIC940</v>
      </c>
      <c r="F16" s="211" t="s">
        <v>18</v>
      </c>
      <c r="G16" s="127" t="s">
        <v>453</v>
      </c>
      <c r="L16" s="212" t="s">
        <v>1725</v>
      </c>
      <c r="N16" s="212" t="s">
        <v>1784</v>
      </c>
      <c r="Z16" s="213">
        <v>0</v>
      </c>
      <c r="AA16" s="213">
        <v>71.55</v>
      </c>
      <c r="AB16" s="152">
        <f t="shared" si="1"/>
        <v>-7.1550000000000001E-6</v>
      </c>
      <c r="AC16" s="122" t="s">
        <v>1837</v>
      </c>
    </row>
    <row r="17" spans="1:29" ht="12.75" hidden="1" customHeight="1">
      <c r="A17" s="125" t="str">
        <f t="shared" si="2"/>
        <v>LIC94TRANSACTION CHARGES PAYABLE - UNIT CAPITAL</v>
      </c>
      <c r="B17" s="125">
        <f>+IFERROR(VLOOKUP(L17,'DB Mapping'!A:D,4,0),0)</f>
        <v>0</v>
      </c>
      <c r="C17" s="125">
        <f>+IFERROR(VLOOKUP(L17,'DB Mapping'!A:C,3,0),0)</f>
        <v>0</v>
      </c>
      <c r="D17" s="125" t="str">
        <f t="shared" si="3"/>
        <v>LIC940</v>
      </c>
      <c r="E17" s="125" t="str">
        <f t="shared" si="4"/>
        <v>LIC940</v>
      </c>
      <c r="F17" s="211" t="s">
        <v>18</v>
      </c>
      <c r="G17" s="127" t="s">
        <v>453</v>
      </c>
      <c r="L17" s="212" t="s">
        <v>1726</v>
      </c>
      <c r="N17" s="212" t="s">
        <v>1630</v>
      </c>
      <c r="Z17" s="213">
        <v>0</v>
      </c>
      <c r="AA17" s="213">
        <v>200</v>
      </c>
      <c r="AB17" s="152">
        <f t="shared" si="1"/>
        <v>-2.0000000000000002E-5</v>
      </c>
      <c r="AC17" s="122" t="s">
        <v>1837</v>
      </c>
    </row>
    <row r="18" spans="1:29" ht="12.75" hidden="1" customHeight="1">
      <c r="A18" s="125" t="str">
        <f t="shared" si="2"/>
        <v>LIC94PAYABLE - MANAGEMENT FEES</v>
      </c>
      <c r="B18" s="125">
        <f>+IFERROR(VLOOKUP(L18,'DB Mapping'!A:D,4,0),0)</f>
        <v>0</v>
      </c>
      <c r="C18" s="125">
        <f>+IFERROR(VLOOKUP(L18,'DB Mapping'!A:C,3,0),0)</f>
        <v>0</v>
      </c>
      <c r="D18" s="125" t="str">
        <f t="shared" si="3"/>
        <v>LIC940</v>
      </c>
      <c r="E18" s="125" t="str">
        <f t="shared" si="4"/>
        <v>LIC940</v>
      </c>
      <c r="F18" s="211" t="s">
        <v>18</v>
      </c>
      <c r="G18" s="127" t="s">
        <v>453</v>
      </c>
      <c r="L18" s="212" t="s">
        <v>1727</v>
      </c>
      <c r="N18" s="212" t="s">
        <v>1632</v>
      </c>
      <c r="Z18" s="213">
        <v>0</v>
      </c>
      <c r="AA18" s="213">
        <v>95467.26</v>
      </c>
      <c r="AB18" s="152">
        <f t="shared" si="1"/>
        <v>-9.5467260000000002E-3</v>
      </c>
      <c r="AC18" s="122" t="s">
        <v>1837</v>
      </c>
    </row>
    <row r="19" spans="1:29" ht="12.75" hidden="1" customHeight="1">
      <c r="A19" s="125" t="str">
        <f t="shared" si="2"/>
        <v>LIC94PAYABLE - OTHER FEES</v>
      </c>
      <c r="B19" s="125">
        <f>+IFERROR(VLOOKUP(L19,'DB Mapping'!A:D,4,0),0)</f>
        <v>0</v>
      </c>
      <c r="C19" s="125">
        <f>+IFERROR(VLOOKUP(L19,'DB Mapping'!A:C,3,0),0)</f>
        <v>0</v>
      </c>
      <c r="D19" s="125" t="str">
        <f t="shared" si="3"/>
        <v>LIC940</v>
      </c>
      <c r="E19" s="125" t="str">
        <f t="shared" si="4"/>
        <v>LIC940</v>
      </c>
      <c r="F19" s="211" t="s">
        <v>18</v>
      </c>
      <c r="G19" s="127" t="s">
        <v>453</v>
      </c>
      <c r="L19" s="212" t="s">
        <v>1728</v>
      </c>
      <c r="N19" s="212" t="s">
        <v>1633</v>
      </c>
      <c r="Z19" s="213">
        <v>0</v>
      </c>
      <c r="AA19" s="213">
        <v>19170.150000000001</v>
      </c>
      <c r="AB19" s="152">
        <f t="shared" si="1"/>
        <v>-1.9170150000000002E-3</v>
      </c>
      <c r="AC19" s="122" t="s">
        <v>1837</v>
      </c>
    </row>
    <row r="20" spans="1:29" ht="12.75" hidden="1" customHeight="1">
      <c r="A20" s="125" t="str">
        <f t="shared" si="2"/>
        <v>LIC94PAYABLE - OTHER FEES (SELLING &amp; DISTRIBUTION)</v>
      </c>
      <c r="B20" s="125">
        <f>+IFERROR(VLOOKUP(L20,'DB Mapping'!A:D,4,0),0)</f>
        <v>0</v>
      </c>
      <c r="C20" s="125">
        <f>+IFERROR(VLOOKUP(L20,'DB Mapping'!A:C,3,0),0)</f>
        <v>0</v>
      </c>
      <c r="D20" s="125" t="str">
        <f t="shared" si="3"/>
        <v>LIC940</v>
      </c>
      <c r="E20" s="125" t="str">
        <f t="shared" si="4"/>
        <v>LIC940</v>
      </c>
      <c r="F20" s="211" t="s">
        <v>18</v>
      </c>
      <c r="G20" s="127" t="s">
        <v>453</v>
      </c>
      <c r="L20" s="212" t="s">
        <v>1729</v>
      </c>
      <c r="N20" s="212" t="s">
        <v>1634</v>
      </c>
      <c r="Z20" s="213">
        <v>0</v>
      </c>
      <c r="AA20" s="213">
        <v>0</v>
      </c>
      <c r="AB20" s="152">
        <f t="shared" si="1"/>
        <v>0</v>
      </c>
      <c r="AC20" s="122" t="s">
        <v>1837</v>
      </c>
    </row>
    <row r="21" spans="1:29" ht="12.75" hidden="1" customHeight="1">
      <c r="A21" s="125" t="str">
        <f t="shared" si="2"/>
        <v>LIC94PAYABLE - SERVICE TAX</v>
      </c>
      <c r="B21" s="125">
        <f>+IFERROR(VLOOKUP(L21,'DB Mapping'!A:D,4,0),0)</f>
        <v>0</v>
      </c>
      <c r="C21" s="125">
        <f>+IFERROR(VLOOKUP(L21,'DB Mapping'!A:C,3,0),0)</f>
        <v>0</v>
      </c>
      <c r="D21" s="125" t="str">
        <f t="shared" si="3"/>
        <v>LIC940</v>
      </c>
      <c r="E21" s="125" t="str">
        <f t="shared" si="4"/>
        <v>LIC940</v>
      </c>
      <c r="F21" s="211" t="s">
        <v>18</v>
      </c>
      <c r="G21" s="127" t="s">
        <v>453</v>
      </c>
      <c r="L21" s="212" t="s">
        <v>1730</v>
      </c>
      <c r="N21" s="212" t="s">
        <v>1635</v>
      </c>
      <c r="Z21" s="213">
        <v>0</v>
      </c>
      <c r="AA21" s="213">
        <v>0</v>
      </c>
      <c r="AB21" s="152">
        <f t="shared" si="1"/>
        <v>0</v>
      </c>
      <c r="AC21" s="122" t="s">
        <v>1837</v>
      </c>
    </row>
    <row r="22" spans="1:29" ht="12.75" hidden="1" customHeight="1">
      <c r="A22" s="125" t="str">
        <f t="shared" si="2"/>
        <v>LIC94PAYABLE - TRAIL BROKERAGE</v>
      </c>
      <c r="B22" s="125">
        <f>+IFERROR(VLOOKUP(L22,'DB Mapping'!A:D,4,0),0)</f>
        <v>0</v>
      </c>
      <c r="C22" s="125">
        <f>+IFERROR(VLOOKUP(L22,'DB Mapping'!A:C,3,0),0)</f>
        <v>0</v>
      </c>
      <c r="D22" s="125" t="str">
        <f t="shared" si="3"/>
        <v>LIC940</v>
      </c>
      <c r="E22" s="125" t="str">
        <f t="shared" si="4"/>
        <v>LIC940</v>
      </c>
      <c r="F22" s="211" t="s">
        <v>18</v>
      </c>
      <c r="G22" s="127" t="s">
        <v>453</v>
      </c>
      <c r="L22" s="212" t="s">
        <v>1731</v>
      </c>
      <c r="N22" s="212" t="s">
        <v>1636</v>
      </c>
      <c r="Z22" s="213">
        <v>0</v>
      </c>
      <c r="AA22" s="213">
        <v>318.33999999999997</v>
      </c>
      <c r="AB22" s="152">
        <f t="shared" si="1"/>
        <v>-3.1834E-5</v>
      </c>
      <c r="AC22" s="122" t="s">
        <v>1837</v>
      </c>
    </row>
    <row r="23" spans="1:29" ht="12.75" hidden="1" customHeight="1">
      <c r="A23" s="125" t="str">
        <f t="shared" si="2"/>
        <v>LIC94PAYABLE - INTERNAL AUDIT FEES</v>
      </c>
      <c r="B23" s="125">
        <f>+IFERROR(VLOOKUP(L23,'DB Mapping'!A:D,4,0),0)</f>
        <v>0</v>
      </c>
      <c r="C23" s="125">
        <f>+IFERROR(VLOOKUP(L23,'DB Mapping'!A:C,3,0),0)</f>
        <v>0</v>
      </c>
      <c r="D23" s="125" t="str">
        <f t="shared" si="3"/>
        <v>LIC940</v>
      </c>
      <c r="E23" s="125" t="str">
        <f t="shared" si="4"/>
        <v>LIC940</v>
      </c>
      <c r="F23" s="211" t="s">
        <v>18</v>
      </c>
      <c r="G23" s="127" t="s">
        <v>453</v>
      </c>
      <c r="L23" s="212" t="s">
        <v>1732</v>
      </c>
      <c r="N23" s="212" t="s">
        <v>1637</v>
      </c>
      <c r="Z23" s="213">
        <v>0</v>
      </c>
      <c r="AA23" s="213">
        <v>94.25</v>
      </c>
      <c r="AB23" s="152">
        <f t="shared" si="1"/>
        <v>-9.4250000000000004E-6</v>
      </c>
      <c r="AC23" s="122" t="s">
        <v>1837</v>
      </c>
    </row>
    <row r="24" spans="1:29" ht="12.75" hidden="1" customHeight="1">
      <c r="A24" s="125" t="str">
        <f t="shared" si="2"/>
        <v>LIC94CGST EXPS PAYABLE ON MFEES</v>
      </c>
      <c r="B24" s="125">
        <f>+IFERROR(VLOOKUP(L24,'DB Mapping'!A:D,4,0),0)</f>
        <v>0</v>
      </c>
      <c r="C24" s="125">
        <f>+IFERROR(VLOOKUP(L24,'DB Mapping'!A:C,3,0),0)</f>
        <v>0</v>
      </c>
      <c r="D24" s="125" t="str">
        <f t="shared" si="3"/>
        <v>LIC940</v>
      </c>
      <c r="E24" s="125" t="str">
        <f t="shared" si="4"/>
        <v>LIC940</v>
      </c>
      <c r="F24" s="211" t="s">
        <v>18</v>
      </c>
      <c r="G24" s="127" t="s">
        <v>453</v>
      </c>
      <c r="L24" s="212" t="s">
        <v>1733</v>
      </c>
      <c r="N24" s="212" t="s">
        <v>1638</v>
      </c>
      <c r="Z24" s="213">
        <v>0</v>
      </c>
      <c r="AA24" s="213">
        <v>8767.4</v>
      </c>
      <c r="AB24" s="152">
        <f t="shared" si="1"/>
        <v>-8.7673999999999998E-4</v>
      </c>
      <c r="AC24" s="122" t="s">
        <v>1837</v>
      </c>
    </row>
    <row r="25" spans="1:29" ht="12.75" hidden="1" customHeight="1">
      <c r="A25" s="125" t="str">
        <f t="shared" si="2"/>
        <v>LIC94SGST EXPS PAYABLE ON MFEES</v>
      </c>
      <c r="B25" s="125">
        <f>+IFERROR(VLOOKUP(L25,'DB Mapping'!A:D,4,0),0)</f>
        <v>0</v>
      </c>
      <c r="C25" s="125">
        <f>+IFERROR(VLOOKUP(L25,'DB Mapping'!A:C,3,0),0)</f>
        <v>0</v>
      </c>
      <c r="D25" s="125" t="str">
        <f t="shared" si="3"/>
        <v>LIC940</v>
      </c>
      <c r="E25" s="125" t="str">
        <f t="shared" si="4"/>
        <v>LIC940</v>
      </c>
      <c r="F25" s="211" t="s">
        <v>18</v>
      </c>
      <c r="G25" s="127" t="s">
        <v>453</v>
      </c>
      <c r="L25" s="212" t="s">
        <v>1734</v>
      </c>
      <c r="N25" s="212" t="s">
        <v>1639</v>
      </c>
      <c r="Z25" s="213">
        <v>0</v>
      </c>
      <c r="AA25" s="213">
        <v>8767.4</v>
      </c>
      <c r="AB25" s="152">
        <f t="shared" si="1"/>
        <v>-8.7673999999999998E-4</v>
      </c>
      <c r="AC25" s="122" t="s">
        <v>1837</v>
      </c>
    </row>
    <row r="26" spans="1:29" ht="12.75" hidden="1" customHeight="1">
      <c r="A26" s="125" t="str">
        <f t="shared" si="2"/>
        <v>LIC94PAYABLE - INVESTOR EDUCATION FUND</v>
      </c>
      <c r="B26" s="125">
        <f>+IFERROR(VLOOKUP(L26,'DB Mapping'!A:D,4,0),0)</f>
        <v>0</v>
      </c>
      <c r="C26" s="125">
        <f>+IFERROR(VLOOKUP(L26,'DB Mapping'!A:C,3,0),0)</f>
        <v>0</v>
      </c>
      <c r="D26" s="125" t="str">
        <f t="shared" si="3"/>
        <v>LIC940</v>
      </c>
      <c r="E26" s="125" t="str">
        <f t="shared" si="4"/>
        <v>LIC940</v>
      </c>
      <c r="F26" s="211" t="s">
        <v>18</v>
      </c>
      <c r="G26" s="127" t="s">
        <v>453</v>
      </c>
      <c r="L26" s="212" t="s">
        <v>1735</v>
      </c>
      <c r="N26" s="212" t="s">
        <v>1640</v>
      </c>
      <c r="Z26" s="213">
        <v>0</v>
      </c>
      <c r="AA26" s="213">
        <v>3217.81</v>
      </c>
      <c r="AB26" s="152">
        <f t="shared" si="1"/>
        <v>-3.2178099999999999E-4</v>
      </c>
      <c r="AC26" s="122" t="s">
        <v>1837</v>
      </c>
    </row>
    <row r="27" spans="1:29" ht="12.75" hidden="1" customHeight="1">
      <c r="A27" s="125" t="str">
        <f t="shared" si="2"/>
        <v>LIC94PAYABLE - SWITCH OUT</v>
      </c>
      <c r="B27" s="125">
        <f>+IFERROR(VLOOKUP(L27,'DB Mapping'!A:D,4,0),0)</f>
        <v>0</v>
      </c>
      <c r="C27" s="125">
        <f>+IFERROR(VLOOKUP(L27,'DB Mapping'!A:C,3,0),0)</f>
        <v>0</v>
      </c>
      <c r="D27" s="125" t="str">
        <f t="shared" si="3"/>
        <v>LIC940</v>
      </c>
      <c r="E27" s="125" t="str">
        <f t="shared" si="4"/>
        <v>LIC940</v>
      </c>
      <c r="F27" s="211" t="s">
        <v>18</v>
      </c>
      <c r="G27" s="127" t="s">
        <v>453</v>
      </c>
      <c r="L27" s="212" t="s">
        <v>1736</v>
      </c>
      <c r="N27" s="212" t="s">
        <v>1785</v>
      </c>
      <c r="Z27" s="213">
        <v>0</v>
      </c>
      <c r="AA27" s="213">
        <v>0</v>
      </c>
      <c r="AB27" s="152">
        <f t="shared" si="1"/>
        <v>0</v>
      </c>
      <c r="AC27" s="122" t="s">
        <v>1837</v>
      </c>
    </row>
    <row r="28" spans="1:29" ht="12.75" hidden="1" customHeight="1">
      <c r="A28" s="125" t="str">
        <f t="shared" si="2"/>
        <v>LIC94PAYABLE - INVESTOR EDUCATION FUND - AMFI</v>
      </c>
      <c r="B28" s="125">
        <f>+IFERROR(VLOOKUP(L28,'DB Mapping'!A:D,4,0),0)</f>
        <v>0</v>
      </c>
      <c r="C28" s="125">
        <f>+IFERROR(VLOOKUP(L28,'DB Mapping'!A:C,3,0),0)</f>
        <v>0</v>
      </c>
      <c r="D28" s="125" t="str">
        <f t="shared" si="3"/>
        <v>LIC940</v>
      </c>
      <c r="E28" s="125" t="str">
        <f t="shared" si="4"/>
        <v>LIC940</v>
      </c>
      <c r="F28" s="211" t="s">
        <v>18</v>
      </c>
      <c r="G28" s="127" t="s">
        <v>453</v>
      </c>
      <c r="L28" s="212" t="s">
        <v>1737</v>
      </c>
      <c r="N28" s="212" t="s">
        <v>1641</v>
      </c>
      <c r="Z28" s="213">
        <v>0</v>
      </c>
      <c r="AA28" s="213">
        <v>351.65</v>
      </c>
      <c r="AB28" s="152">
        <f t="shared" si="1"/>
        <v>-3.5165E-5</v>
      </c>
      <c r="AC28" s="122" t="s">
        <v>1837</v>
      </c>
    </row>
    <row r="29" spans="1:29" ht="12.75" hidden="1" customHeight="1">
      <c r="A29" s="125" t="str">
        <f t="shared" si="2"/>
        <v>LIC94Other Liability – CGST on Brokerage A/C</v>
      </c>
      <c r="B29" s="125">
        <f>+IFERROR(VLOOKUP(L29,'DB Mapping'!A:D,4,0),0)</f>
        <v>0</v>
      </c>
      <c r="C29" s="125">
        <f>+IFERROR(VLOOKUP(L29,'DB Mapping'!A:C,3,0),0)</f>
        <v>0</v>
      </c>
      <c r="D29" s="125" t="str">
        <f t="shared" si="3"/>
        <v>LIC940</v>
      </c>
      <c r="E29" s="125" t="str">
        <f t="shared" si="4"/>
        <v>LIC940</v>
      </c>
      <c r="F29" s="211" t="s">
        <v>18</v>
      </c>
      <c r="G29" s="127" t="s">
        <v>453</v>
      </c>
      <c r="L29" s="212" t="s">
        <v>1738</v>
      </c>
      <c r="N29" s="212" t="s">
        <v>1642</v>
      </c>
      <c r="Z29" s="213">
        <v>0</v>
      </c>
      <c r="AA29" s="213">
        <v>0</v>
      </c>
      <c r="AB29" s="152">
        <f t="shared" si="1"/>
        <v>0</v>
      </c>
      <c r="AC29" s="122" t="s">
        <v>1837</v>
      </c>
    </row>
    <row r="30" spans="1:29" ht="12.75" hidden="1" customHeight="1">
      <c r="A30" s="125" t="str">
        <f t="shared" si="2"/>
        <v>LIC94Other Liability – SGST on Brokerage A/C</v>
      </c>
      <c r="B30" s="125">
        <f>+IFERROR(VLOOKUP(L30,'DB Mapping'!A:D,4,0),0)</f>
        <v>0</v>
      </c>
      <c r="C30" s="125">
        <f>+IFERROR(VLOOKUP(L30,'DB Mapping'!A:C,3,0),0)</f>
        <v>0</v>
      </c>
      <c r="D30" s="125" t="str">
        <f t="shared" si="3"/>
        <v>LIC940</v>
      </c>
      <c r="E30" s="125" t="str">
        <f t="shared" si="4"/>
        <v>LIC940</v>
      </c>
      <c r="F30" s="211" t="s">
        <v>18</v>
      </c>
      <c r="G30" s="127" t="s">
        <v>453</v>
      </c>
      <c r="L30" s="212" t="s">
        <v>1739</v>
      </c>
      <c r="N30" s="212" t="s">
        <v>1643</v>
      </c>
      <c r="Z30" s="213">
        <v>0</v>
      </c>
      <c r="AA30" s="213">
        <v>0</v>
      </c>
      <c r="AB30" s="152">
        <f t="shared" si="1"/>
        <v>0</v>
      </c>
      <c r="AC30" s="122" t="s">
        <v>1837</v>
      </c>
    </row>
    <row r="31" spans="1:29" ht="12.75" hidden="1" customHeight="1">
      <c r="A31" s="125" t="str">
        <f t="shared" si="2"/>
        <v>LIC94Other Liability – IGST on Brokerage A/C</v>
      </c>
      <c r="B31" s="125">
        <f>+IFERROR(VLOOKUP(L31,'DB Mapping'!A:D,4,0),0)</f>
        <v>0</v>
      </c>
      <c r="C31" s="125">
        <f>+IFERROR(VLOOKUP(L31,'DB Mapping'!A:C,3,0),0)</f>
        <v>0</v>
      </c>
      <c r="D31" s="125" t="str">
        <f t="shared" si="3"/>
        <v>LIC940</v>
      </c>
      <c r="E31" s="125" t="str">
        <f t="shared" si="4"/>
        <v>LIC940</v>
      </c>
      <c r="F31" s="211" t="s">
        <v>18</v>
      </c>
      <c r="G31" s="127" t="s">
        <v>453</v>
      </c>
      <c r="L31" s="212" t="s">
        <v>1740</v>
      </c>
      <c r="N31" s="212" t="s">
        <v>1644</v>
      </c>
      <c r="Z31" s="213">
        <v>0</v>
      </c>
      <c r="AA31" s="213">
        <v>0</v>
      </c>
      <c r="AB31" s="152">
        <f t="shared" si="1"/>
        <v>0</v>
      </c>
      <c r="AC31" s="122" t="s">
        <v>1837</v>
      </c>
    </row>
    <row r="32" spans="1:29" ht="12.75" hidden="1" customHeight="1">
      <c r="A32" s="125" t="str">
        <f t="shared" si="2"/>
        <v>LIC94DIVIDEND DISTRIBUTION PAYABLE</v>
      </c>
      <c r="B32" s="125">
        <f>+IFERROR(VLOOKUP(L32,'DB Mapping'!A:D,4,0),0)</f>
        <v>0</v>
      </c>
      <c r="C32" s="125">
        <f>+IFERROR(VLOOKUP(L32,'DB Mapping'!A:C,3,0),0)</f>
        <v>0</v>
      </c>
      <c r="D32" s="125" t="str">
        <f t="shared" si="3"/>
        <v>LIC940</v>
      </c>
      <c r="E32" s="125" t="str">
        <f t="shared" si="4"/>
        <v>LIC940</v>
      </c>
      <c r="F32" s="211" t="s">
        <v>18</v>
      </c>
      <c r="G32" s="127" t="s">
        <v>453</v>
      </c>
      <c r="L32" s="212" t="s">
        <v>1741</v>
      </c>
      <c r="N32" s="212" t="s">
        <v>1645</v>
      </c>
      <c r="Z32" s="213">
        <v>0</v>
      </c>
      <c r="AA32" s="213">
        <v>0</v>
      </c>
      <c r="AB32" s="152">
        <f t="shared" si="1"/>
        <v>0</v>
      </c>
      <c r="AC32" s="122" t="s">
        <v>1837</v>
      </c>
    </row>
    <row r="33" spans="1:29" ht="12.75" hidden="1" customHeight="1">
      <c r="A33" s="125" t="str">
        <f t="shared" si="2"/>
        <v>LIC94CLIENT SERVICING FEES PAYABLE</v>
      </c>
      <c r="B33" s="125">
        <f>+IFERROR(VLOOKUP(L33,'DB Mapping'!A:D,4,0),0)</f>
        <v>0</v>
      </c>
      <c r="C33" s="125">
        <f>+IFERROR(VLOOKUP(L33,'DB Mapping'!A:C,3,0),0)</f>
        <v>0</v>
      </c>
      <c r="D33" s="125" t="str">
        <f t="shared" si="3"/>
        <v>LIC940</v>
      </c>
      <c r="E33" s="125" t="str">
        <f t="shared" si="4"/>
        <v>LIC940</v>
      </c>
      <c r="F33" s="211" t="s">
        <v>18</v>
      </c>
      <c r="G33" s="127" t="s">
        <v>453</v>
      </c>
      <c r="L33" s="212" t="s">
        <v>1742</v>
      </c>
      <c r="N33" s="212" t="s">
        <v>1646</v>
      </c>
      <c r="Z33" s="213">
        <v>0</v>
      </c>
      <c r="AA33" s="213">
        <v>9510.92</v>
      </c>
      <c r="AB33" s="152">
        <f t="shared" si="1"/>
        <v>-9.5109199999999995E-4</v>
      </c>
      <c r="AC33" s="122" t="s">
        <v>1837</v>
      </c>
    </row>
    <row r="34" spans="1:29" ht="12.75" hidden="1" customHeight="1">
      <c r="A34" s="125" t="str">
        <f t="shared" si="2"/>
        <v>LIC94PROVISION FOR WITHHOLDING BROKERAGE</v>
      </c>
      <c r="B34" s="125">
        <f>+IFERROR(VLOOKUP(L34,'DB Mapping'!A:D,4,0),0)</f>
        <v>0</v>
      </c>
      <c r="C34" s="125">
        <f>+IFERROR(VLOOKUP(L34,'DB Mapping'!A:C,3,0),0)</f>
        <v>0</v>
      </c>
      <c r="D34" s="125" t="str">
        <f t="shared" si="3"/>
        <v>LIC940</v>
      </c>
      <c r="E34" s="125" t="str">
        <f t="shared" si="4"/>
        <v>LIC940</v>
      </c>
      <c r="F34" s="211" t="s">
        <v>18</v>
      </c>
      <c r="G34" s="127" t="s">
        <v>453</v>
      </c>
      <c r="L34" s="212" t="s">
        <v>1743</v>
      </c>
      <c r="N34" s="212" t="s">
        <v>1648</v>
      </c>
      <c r="Z34" s="213">
        <v>0</v>
      </c>
      <c r="AA34" s="213">
        <v>19526.84</v>
      </c>
      <c r="AB34" s="152">
        <f t="shared" si="1"/>
        <v>-1.9526840000000001E-3</v>
      </c>
      <c r="AC34" s="122" t="s">
        <v>1837</v>
      </c>
    </row>
    <row r="35" spans="1:29" ht="12.75" hidden="1" customHeight="1">
      <c r="A35" s="125" t="str">
        <f t="shared" si="2"/>
        <v>LIC94PROV FOR WITHHOLDING BROKERAGE FY 2016-17</v>
      </c>
      <c r="B35" s="125">
        <f>+IFERROR(VLOOKUP(L35,'DB Mapping'!A:D,4,0),0)</f>
        <v>0</v>
      </c>
      <c r="C35" s="125">
        <f>+IFERROR(VLOOKUP(L35,'DB Mapping'!A:C,3,0),0)</f>
        <v>0</v>
      </c>
      <c r="D35" s="125" t="str">
        <f t="shared" si="3"/>
        <v>LIC940</v>
      </c>
      <c r="E35" s="125" t="str">
        <f t="shared" si="4"/>
        <v>LIC940</v>
      </c>
      <c r="F35" s="211" t="s">
        <v>18</v>
      </c>
      <c r="G35" s="127" t="s">
        <v>453</v>
      </c>
      <c r="L35" s="212" t="s">
        <v>1744</v>
      </c>
      <c r="N35" s="212" t="s">
        <v>1649</v>
      </c>
      <c r="Z35" s="213">
        <v>0</v>
      </c>
      <c r="AA35" s="213">
        <v>0</v>
      </c>
      <c r="AB35" s="152">
        <f t="shared" si="1"/>
        <v>0</v>
      </c>
      <c r="AC35" s="122" t="s">
        <v>1837</v>
      </c>
    </row>
    <row r="36" spans="1:29" ht="12.75" hidden="1" customHeight="1">
      <c r="A36" s="125" t="str">
        <f t="shared" si="2"/>
        <v>LIC94PAYABLE - WITHHOLD BROKERAGE</v>
      </c>
      <c r="B36" s="125">
        <f>+IFERROR(VLOOKUP(L36,'DB Mapping'!A:D,4,0),0)</f>
        <v>0</v>
      </c>
      <c r="C36" s="125">
        <f>+IFERROR(VLOOKUP(L36,'DB Mapping'!A:C,3,0),0)</f>
        <v>0</v>
      </c>
      <c r="D36" s="125" t="str">
        <f t="shared" si="3"/>
        <v>LIC940</v>
      </c>
      <c r="E36" s="125" t="str">
        <f t="shared" si="4"/>
        <v>LIC940</v>
      </c>
      <c r="F36" s="211" t="s">
        <v>18</v>
      </c>
      <c r="G36" s="127" t="s">
        <v>453</v>
      </c>
      <c r="L36" s="212" t="s">
        <v>1745</v>
      </c>
      <c r="N36" s="212" t="s">
        <v>1650</v>
      </c>
      <c r="Z36" s="213">
        <v>0</v>
      </c>
      <c r="AA36" s="213">
        <v>14536.71</v>
      </c>
      <c r="AB36" s="152">
        <f t="shared" si="1"/>
        <v>-1.4536709999999999E-3</v>
      </c>
      <c r="AC36" s="122" t="s">
        <v>1837</v>
      </c>
    </row>
    <row r="37" spans="1:29" ht="12.75" hidden="1" customHeight="1">
      <c r="A37" s="125" t="str">
        <f t="shared" si="2"/>
        <v>LIC94UNIT CAPITAL - REGULAR DIV</v>
      </c>
      <c r="B37" s="125">
        <f>+IFERROR(VLOOKUP(L37,'DB Mapping'!A:D,4,0),0)</f>
        <v>0</v>
      </c>
      <c r="C37" s="125" t="str">
        <f>+IFERROR(VLOOKUP(L37,'DB Mapping'!A:C,3,0),0)</f>
        <v>Unit Capital</v>
      </c>
      <c r="D37" s="125" t="str">
        <f t="shared" si="3"/>
        <v>LIC940</v>
      </c>
      <c r="E37" s="125" t="str">
        <f t="shared" si="4"/>
        <v>LIC94Unit Capital</v>
      </c>
      <c r="F37" s="211" t="s">
        <v>18</v>
      </c>
      <c r="G37" s="127" t="s">
        <v>453</v>
      </c>
      <c r="L37" s="212" t="s">
        <v>1746</v>
      </c>
      <c r="N37" s="212" t="s">
        <v>1651</v>
      </c>
      <c r="Z37" s="213">
        <v>0</v>
      </c>
      <c r="AA37" s="213">
        <v>6770629.9900000002</v>
      </c>
      <c r="AB37" s="152">
        <f t="shared" si="1"/>
        <v>-0.677062999</v>
      </c>
      <c r="AC37" s="122" t="s">
        <v>1837</v>
      </c>
    </row>
    <row r="38" spans="1:29" ht="12.75" hidden="1" customHeight="1">
      <c r="A38" s="125" t="str">
        <f t="shared" si="2"/>
        <v>LIC94UNIT CAPITAL - REGULAR GROWTH</v>
      </c>
      <c r="B38" s="125">
        <f>+IFERROR(VLOOKUP(L38,'DB Mapping'!A:D,4,0),0)</f>
        <v>0</v>
      </c>
      <c r="C38" s="125" t="str">
        <f>+IFERROR(VLOOKUP(L38,'DB Mapping'!A:C,3,0),0)</f>
        <v>Unit Capital</v>
      </c>
      <c r="D38" s="125" t="str">
        <f t="shared" si="3"/>
        <v>LIC940</v>
      </c>
      <c r="E38" s="125" t="str">
        <f t="shared" si="4"/>
        <v>LIC94Unit Capital</v>
      </c>
      <c r="F38" s="211" t="s">
        <v>18</v>
      </c>
      <c r="G38" s="127" t="s">
        <v>453</v>
      </c>
      <c r="L38" s="212" t="s">
        <v>1747</v>
      </c>
      <c r="N38" s="212" t="s">
        <v>1652</v>
      </c>
      <c r="Z38" s="213">
        <v>0</v>
      </c>
      <c r="AA38" s="213">
        <v>16856085.390000001</v>
      </c>
      <c r="AB38" s="152">
        <f t="shared" si="1"/>
        <v>-1.685608539</v>
      </c>
      <c r="AC38" s="122" t="s">
        <v>1837</v>
      </c>
    </row>
    <row r="39" spans="1:29" ht="12.75" hidden="1" customHeight="1">
      <c r="A39" s="125" t="str">
        <f t="shared" si="2"/>
        <v>LIC94UNIT CAPITAL - DIRECT DIVIDEND</v>
      </c>
      <c r="B39" s="125">
        <f>+IFERROR(VLOOKUP(L39,'DB Mapping'!A:D,4,0),0)</f>
        <v>0</v>
      </c>
      <c r="C39" s="125" t="str">
        <f>+IFERROR(VLOOKUP(L39,'DB Mapping'!A:C,3,0),0)</f>
        <v>Unit Capital</v>
      </c>
      <c r="D39" s="125" t="str">
        <f t="shared" si="3"/>
        <v>LIC940</v>
      </c>
      <c r="E39" s="125" t="str">
        <f t="shared" si="4"/>
        <v>LIC94Unit Capital</v>
      </c>
      <c r="F39" s="211" t="s">
        <v>18</v>
      </c>
      <c r="G39" s="127" t="s">
        <v>453</v>
      </c>
      <c r="L39" s="212" t="s">
        <v>1748</v>
      </c>
      <c r="N39" s="212" t="s">
        <v>1653</v>
      </c>
      <c r="Z39" s="213">
        <v>0</v>
      </c>
      <c r="AA39" s="213">
        <v>99978</v>
      </c>
      <c r="AB39" s="152">
        <f t="shared" si="1"/>
        <v>-9.9977999999999994E-3</v>
      </c>
      <c r="AC39" s="122" t="s">
        <v>1837</v>
      </c>
    </row>
    <row r="40" spans="1:29" ht="12.75" hidden="1" customHeight="1">
      <c r="A40" s="125" t="str">
        <f t="shared" si="2"/>
        <v>LIC94UNIT CAPITAL - DIRECT GROWTH</v>
      </c>
      <c r="B40" s="125">
        <f>+IFERROR(VLOOKUP(L40,'DB Mapping'!A:D,4,0),0)</f>
        <v>0</v>
      </c>
      <c r="C40" s="125" t="str">
        <f>+IFERROR(VLOOKUP(L40,'DB Mapping'!A:C,3,0),0)</f>
        <v>Unit Capital</v>
      </c>
      <c r="D40" s="125" t="str">
        <f t="shared" si="3"/>
        <v>LIC940</v>
      </c>
      <c r="E40" s="125" t="str">
        <f t="shared" si="4"/>
        <v>LIC94Unit Capital</v>
      </c>
      <c r="F40" s="211" t="s">
        <v>18</v>
      </c>
      <c r="G40" s="127" t="s">
        <v>453</v>
      </c>
      <c r="L40" s="212" t="s">
        <v>1749</v>
      </c>
      <c r="N40" s="212" t="s">
        <v>1654</v>
      </c>
      <c r="Z40" s="213">
        <v>0</v>
      </c>
      <c r="AA40" s="213">
        <v>767795.14</v>
      </c>
      <c r="AB40" s="152">
        <f t="shared" si="1"/>
        <v>-7.6779514000000007E-2</v>
      </c>
      <c r="AC40" s="122" t="s">
        <v>1837</v>
      </c>
    </row>
    <row r="41" spans="1:29" ht="12.75" hidden="1" customHeight="1">
      <c r="A41" s="125" t="str">
        <f t="shared" si="2"/>
        <v>LIC94UPR - REGULAR GROWTH</v>
      </c>
      <c r="B41" s="125">
        <f>+IFERROR(VLOOKUP(L41,'DB Mapping'!A:D,4,0),0)</f>
        <v>0</v>
      </c>
      <c r="C41" s="125">
        <f>+IFERROR(VLOOKUP(L41,'DB Mapping'!A:C,3,0),0)</f>
        <v>0</v>
      </c>
      <c r="D41" s="125" t="str">
        <f t="shared" si="3"/>
        <v>LIC940</v>
      </c>
      <c r="E41" s="125" t="str">
        <f t="shared" si="4"/>
        <v>LIC940</v>
      </c>
      <c r="F41" s="211" t="s">
        <v>18</v>
      </c>
      <c r="G41" s="127" t="s">
        <v>453</v>
      </c>
      <c r="L41" s="212" t="s">
        <v>1750</v>
      </c>
      <c r="N41" s="212" t="s">
        <v>1655</v>
      </c>
      <c r="Z41" s="213">
        <v>4446212.3600000003</v>
      </c>
      <c r="AA41" s="213">
        <v>0</v>
      </c>
      <c r="AB41" s="152">
        <f t="shared" si="1"/>
        <v>0.44462123600000003</v>
      </c>
      <c r="AC41" s="122" t="s">
        <v>1837</v>
      </c>
    </row>
    <row r="42" spans="1:29" ht="12.75" hidden="1" customHeight="1">
      <c r="A42" s="125" t="str">
        <f t="shared" si="2"/>
        <v>LIC94UPR - DIRECT GROWTH</v>
      </c>
      <c r="B42" s="125">
        <f>+IFERROR(VLOOKUP(L42,'DB Mapping'!A:D,4,0),0)</f>
        <v>0</v>
      </c>
      <c r="C42" s="125">
        <f>+IFERROR(VLOOKUP(L42,'DB Mapping'!A:C,3,0),0)</f>
        <v>0</v>
      </c>
      <c r="D42" s="125" t="str">
        <f t="shared" si="3"/>
        <v>LIC940</v>
      </c>
      <c r="E42" s="125" t="str">
        <f t="shared" si="4"/>
        <v>LIC940</v>
      </c>
      <c r="F42" s="211" t="s">
        <v>18</v>
      </c>
      <c r="G42" s="127" t="s">
        <v>453</v>
      </c>
      <c r="L42" s="212" t="s">
        <v>1751</v>
      </c>
      <c r="N42" s="212" t="s">
        <v>1786</v>
      </c>
      <c r="Z42" s="213">
        <v>577670.25</v>
      </c>
      <c r="AA42" s="213">
        <v>0</v>
      </c>
      <c r="AB42" s="152">
        <f t="shared" si="1"/>
        <v>5.7767025E-2</v>
      </c>
      <c r="AC42" s="122" t="s">
        <v>1837</v>
      </c>
    </row>
    <row r="43" spans="1:29" ht="12.75" hidden="1" customHeight="1">
      <c r="A43" s="125" t="str">
        <f t="shared" si="2"/>
        <v>LIC94RESERVES &amp; SURPLUS</v>
      </c>
      <c r="B43" s="125">
        <f>+IFERROR(VLOOKUP(L43,'DB Mapping'!A:D,4,0),0)</f>
        <v>0</v>
      </c>
      <c r="C43" s="125">
        <f>+IFERROR(VLOOKUP(L43,'DB Mapping'!A:C,3,0),0)</f>
        <v>0</v>
      </c>
      <c r="D43" s="125" t="str">
        <f t="shared" si="3"/>
        <v>LIC940</v>
      </c>
      <c r="E43" s="125" t="str">
        <f t="shared" si="4"/>
        <v>LIC940</v>
      </c>
      <c r="F43" s="211" t="s">
        <v>18</v>
      </c>
      <c r="G43" s="127" t="s">
        <v>453</v>
      </c>
      <c r="L43" s="212" t="s">
        <v>1752</v>
      </c>
      <c r="N43" s="212" t="s">
        <v>1656</v>
      </c>
      <c r="Z43" s="213">
        <v>0</v>
      </c>
      <c r="AA43" s="213">
        <v>22360760.670000002</v>
      </c>
      <c r="AB43" s="152">
        <f t="shared" si="1"/>
        <v>-2.2360760670000004</v>
      </c>
      <c r="AC43" s="122" t="s">
        <v>1837</v>
      </c>
    </row>
    <row r="44" spans="1:29" ht="12.75" hidden="1" customHeight="1">
      <c r="A44" s="125" t="str">
        <f t="shared" si="2"/>
        <v>LIC94DIV DISTRIBUTION - REGULAR DIV</v>
      </c>
      <c r="B44" s="125">
        <f>+IFERROR(VLOOKUP(L44,'DB Mapping'!A:D,4,0),0)</f>
        <v>0</v>
      </c>
      <c r="C44" s="125">
        <f>+IFERROR(VLOOKUP(L44,'DB Mapping'!A:C,3,0),0)</f>
        <v>0</v>
      </c>
      <c r="D44" s="125" t="str">
        <f t="shared" si="3"/>
        <v>LIC940</v>
      </c>
      <c r="E44" s="125" t="str">
        <f t="shared" si="4"/>
        <v>LIC940</v>
      </c>
      <c r="F44" s="211" t="s">
        <v>18</v>
      </c>
      <c r="G44" s="127" t="s">
        <v>453</v>
      </c>
      <c r="L44" s="212" t="s">
        <v>1753</v>
      </c>
      <c r="N44" s="212" t="s">
        <v>1657</v>
      </c>
      <c r="Z44" s="213">
        <v>189908.37</v>
      </c>
      <c r="AA44" s="213">
        <v>0</v>
      </c>
      <c r="AB44" s="152">
        <f t="shared" si="1"/>
        <v>1.8990837E-2</v>
      </c>
      <c r="AC44" s="122" t="s">
        <v>1837</v>
      </c>
    </row>
    <row r="45" spans="1:29" ht="12.75" hidden="1" customHeight="1">
      <c r="A45" s="125" t="str">
        <f t="shared" si="2"/>
        <v>LIC94DIV DISTRIBUTION - DIRECT DIVIDEND</v>
      </c>
      <c r="B45" s="125">
        <f>+IFERROR(VLOOKUP(L45,'DB Mapping'!A:D,4,0),0)</f>
        <v>0</v>
      </c>
      <c r="C45" s="125">
        <f>+IFERROR(VLOOKUP(L45,'DB Mapping'!A:C,3,0),0)</f>
        <v>0</v>
      </c>
      <c r="D45" s="125" t="str">
        <f t="shared" si="3"/>
        <v>LIC940</v>
      </c>
      <c r="E45" s="125" t="str">
        <f t="shared" si="4"/>
        <v>LIC940</v>
      </c>
      <c r="F45" s="211" t="s">
        <v>18</v>
      </c>
      <c r="G45" s="127" t="s">
        <v>453</v>
      </c>
      <c r="L45" s="212" t="s">
        <v>1754</v>
      </c>
      <c r="N45" s="212" t="s">
        <v>1658</v>
      </c>
      <c r="Z45" s="213">
        <v>3040.07</v>
      </c>
      <c r="AA45" s="213">
        <v>0</v>
      </c>
      <c r="AB45" s="152">
        <f t="shared" si="1"/>
        <v>3.0400700000000002E-4</v>
      </c>
      <c r="AC45" s="122" t="s">
        <v>1837</v>
      </c>
    </row>
    <row r="46" spans="1:29" ht="12.75" hidden="1" customHeight="1">
      <c r="A46" s="125" t="str">
        <f t="shared" si="2"/>
        <v>LIC94DDT - REGULAR DIV</v>
      </c>
      <c r="B46" s="125">
        <f>+IFERROR(VLOOKUP(L46,'DB Mapping'!A:D,4,0),0)</f>
        <v>0</v>
      </c>
      <c r="C46" s="125">
        <f>+IFERROR(VLOOKUP(L46,'DB Mapping'!A:C,3,0),0)</f>
        <v>0</v>
      </c>
      <c r="D46" s="125" t="str">
        <f t="shared" si="3"/>
        <v>LIC940</v>
      </c>
      <c r="E46" s="125" t="str">
        <f t="shared" si="4"/>
        <v>LIC940</v>
      </c>
      <c r="F46" s="211" t="s">
        <v>18</v>
      </c>
      <c r="G46" s="127" t="s">
        <v>453</v>
      </c>
      <c r="L46" s="212" t="s">
        <v>1755</v>
      </c>
      <c r="N46" s="212" t="s">
        <v>1659</v>
      </c>
      <c r="Z46" s="213">
        <v>83722</v>
      </c>
      <c r="AA46" s="213">
        <v>0</v>
      </c>
      <c r="AB46" s="152">
        <f t="shared" si="1"/>
        <v>8.3721999999999998E-3</v>
      </c>
      <c r="AC46" s="122" t="s">
        <v>1837</v>
      </c>
    </row>
    <row r="47" spans="1:29" ht="12.75" hidden="1" customHeight="1">
      <c r="A47" s="125" t="str">
        <f t="shared" si="2"/>
        <v>LIC94DDT - DIRECT DIVIDEND</v>
      </c>
      <c r="B47" s="125">
        <f>+IFERROR(VLOOKUP(L47,'DB Mapping'!A:D,4,0),0)</f>
        <v>0</v>
      </c>
      <c r="C47" s="125">
        <f>+IFERROR(VLOOKUP(L47,'DB Mapping'!A:C,3,0),0)</f>
        <v>0</v>
      </c>
      <c r="D47" s="125" t="str">
        <f t="shared" si="3"/>
        <v>LIC940</v>
      </c>
      <c r="E47" s="125" t="str">
        <f t="shared" si="4"/>
        <v>LIC940</v>
      </c>
      <c r="F47" s="211" t="s">
        <v>18</v>
      </c>
      <c r="G47" s="127" t="s">
        <v>453</v>
      </c>
      <c r="L47" s="212" t="s">
        <v>1756</v>
      </c>
      <c r="N47" s="212" t="s">
        <v>1660</v>
      </c>
      <c r="Z47" s="213">
        <v>1169</v>
      </c>
      <c r="AA47" s="213">
        <v>0</v>
      </c>
      <c r="AB47" s="152">
        <f t="shared" si="1"/>
        <v>1.169E-4</v>
      </c>
      <c r="AC47" s="122" t="s">
        <v>1837</v>
      </c>
    </row>
    <row r="48" spans="1:29" ht="12.75" hidden="1" customHeight="1">
      <c r="A48" s="125" t="str">
        <f t="shared" si="2"/>
        <v>LIC94AMORTISATION INCOME - CBLO</v>
      </c>
      <c r="B48" s="125">
        <f>+IFERROR(VLOOKUP(L48,'DB Mapping'!A:D,4,0),0)</f>
        <v>0</v>
      </c>
      <c r="C48" s="125">
        <f>+IFERROR(VLOOKUP(L48,'DB Mapping'!A:C,3,0),0)</f>
        <v>5.2</v>
      </c>
      <c r="D48" s="125" t="str">
        <f t="shared" si="3"/>
        <v>LIC940</v>
      </c>
      <c r="E48" s="125" t="str">
        <f t="shared" si="4"/>
        <v>LIC945.2</v>
      </c>
      <c r="F48" s="211" t="s">
        <v>18</v>
      </c>
      <c r="G48" s="127" t="s">
        <v>453</v>
      </c>
      <c r="L48" s="212" t="s">
        <v>1757</v>
      </c>
      <c r="N48" s="212" t="s">
        <v>1667</v>
      </c>
      <c r="Z48" s="213">
        <v>0</v>
      </c>
      <c r="AA48" s="213">
        <v>1600079.64</v>
      </c>
      <c r="AB48" s="152">
        <f t="shared" si="1"/>
        <v>-0.160007964</v>
      </c>
      <c r="AC48" s="122" t="s">
        <v>1837</v>
      </c>
    </row>
    <row r="49" spans="1:29" ht="12.75" hidden="1" customHeight="1">
      <c r="A49" s="125" t="str">
        <f t="shared" si="2"/>
        <v>LIC94AMORTISATION INCOME - TREASURY BILL</v>
      </c>
      <c r="B49" s="125">
        <f>+IFERROR(VLOOKUP(L49,'DB Mapping'!A:D,4,0),0)</f>
        <v>0</v>
      </c>
      <c r="C49" s="125">
        <f>+IFERROR(VLOOKUP(L49,'DB Mapping'!A:C,3,0),0)</f>
        <v>5.2</v>
      </c>
      <c r="D49" s="125" t="str">
        <f t="shared" si="3"/>
        <v>LIC940</v>
      </c>
      <c r="E49" s="125" t="str">
        <f t="shared" si="4"/>
        <v>LIC945.2</v>
      </c>
      <c r="F49" s="211" t="s">
        <v>18</v>
      </c>
      <c r="G49" s="127" t="s">
        <v>453</v>
      </c>
      <c r="L49" s="212" t="s">
        <v>1758</v>
      </c>
      <c r="N49" s="212" t="s">
        <v>1787</v>
      </c>
      <c r="Z49" s="213">
        <v>0</v>
      </c>
      <c r="AA49" s="213">
        <v>333927.8</v>
      </c>
      <c r="AB49" s="152">
        <f t="shared" si="1"/>
        <v>-3.3392779999999997E-2</v>
      </c>
      <c r="AC49" s="122" t="s">
        <v>1837</v>
      </c>
    </row>
    <row r="50" spans="1:29" ht="12.75" hidden="1" customHeight="1">
      <c r="A50" s="125" t="str">
        <f t="shared" si="2"/>
        <v>LIC94MISCELLEANOUS INCOME</v>
      </c>
      <c r="B50" s="125">
        <f>+IFERROR(VLOOKUP(L50,'DB Mapping'!A:D,4,0),0)</f>
        <v>0</v>
      </c>
      <c r="C50" s="125">
        <f>+IFERROR(VLOOKUP(L50,'DB Mapping'!A:C,3,0),0)</f>
        <v>5.5</v>
      </c>
      <c r="D50" s="125" t="str">
        <f t="shared" si="3"/>
        <v>LIC940</v>
      </c>
      <c r="E50" s="125" t="str">
        <f t="shared" si="4"/>
        <v>LIC945.5</v>
      </c>
      <c r="F50" s="211" t="s">
        <v>18</v>
      </c>
      <c r="G50" s="127" t="s">
        <v>453</v>
      </c>
      <c r="L50" s="212" t="s">
        <v>1759</v>
      </c>
      <c r="N50" s="212" t="s">
        <v>1668</v>
      </c>
      <c r="Z50" s="213">
        <v>0</v>
      </c>
      <c r="AA50" s="213">
        <v>0.83</v>
      </c>
      <c r="AB50" s="152">
        <f t="shared" si="1"/>
        <v>-8.3000000000000002E-8</v>
      </c>
      <c r="AC50" s="122" t="s">
        <v>1837</v>
      </c>
    </row>
    <row r="51" spans="1:29" ht="12.75" customHeight="1">
      <c r="A51" s="125" t="str">
        <f t="shared" si="2"/>
        <v>LIC94MANAGEMENT FEES</v>
      </c>
      <c r="B51" s="125">
        <f>+IFERROR(VLOOKUP(L51,'DB Mapping'!A:D,4,0),0)</f>
        <v>6.1</v>
      </c>
      <c r="C51" s="125">
        <f>+IFERROR(VLOOKUP(L51,'DB Mapping'!A:C,3,0),0)</f>
        <v>6.3</v>
      </c>
      <c r="D51" s="125" t="str">
        <f t="shared" si="3"/>
        <v>LIC946.1</v>
      </c>
      <c r="E51" s="125" t="str">
        <f t="shared" si="4"/>
        <v>LIC946.3</v>
      </c>
      <c r="F51" s="211" t="s">
        <v>18</v>
      </c>
      <c r="G51" s="127" t="s">
        <v>453</v>
      </c>
      <c r="L51" s="212" t="s">
        <v>1760</v>
      </c>
      <c r="N51" s="212" t="s">
        <v>1702</v>
      </c>
      <c r="Z51" s="213">
        <v>97415.58</v>
      </c>
      <c r="AA51" s="213">
        <v>0</v>
      </c>
      <c r="AB51" s="152">
        <f t="shared" si="1"/>
        <v>9.7415580000000009E-3</v>
      </c>
      <c r="AC51" s="122" t="s">
        <v>1837</v>
      </c>
    </row>
    <row r="52" spans="1:29" ht="12.75" hidden="1" customHeight="1">
      <c r="A52" s="125" t="str">
        <f t="shared" si="2"/>
        <v>LIC94OTHER FEES</v>
      </c>
      <c r="B52" s="125">
        <f>+IFERROR(VLOOKUP(L52,'DB Mapping'!A:D,4,0),0)</f>
        <v>0</v>
      </c>
      <c r="C52" s="125">
        <f>+IFERROR(VLOOKUP(L52,'DB Mapping'!A:C,3,0),0)</f>
        <v>6.3</v>
      </c>
      <c r="D52" s="125" t="str">
        <f t="shared" si="3"/>
        <v>LIC940</v>
      </c>
      <c r="E52" s="125" t="str">
        <f t="shared" si="4"/>
        <v>LIC946.3</v>
      </c>
      <c r="F52" s="211" t="s">
        <v>18</v>
      </c>
      <c r="G52" s="127" t="s">
        <v>453</v>
      </c>
      <c r="L52" s="212" t="s">
        <v>1761</v>
      </c>
      <c r="N52" s="212" t="s">
        <v>1788</v>
      </c>
      <c r="Z52" s="213">
        <v>0</v>
      </c>
      <c r="AA52" s="213">
        <v>106442.34</v>
      </c>
      <c r="AB52" s="152">
        <f t="shared" si="1"/>
        <v>-1.0644233999999999E-2</v>
      </c>
      <c r="AC52" s="122" t="s">
        <v>1837</v>
      </c>
    </row>
    <row r="53" spans="1:29" ht="12.75" hidden="1" customHeight="1">
      <c r="A53" s="125" t="str">
        <f t="shared" si="2"/>
        <v>LIC94OTHER FEES - REGULAR DIV</v>
      </c>
      <c r="B53" s="125">
        <f>+IFERROR(VLOOKUP(L53,'DB Mapping'!A:D,4,0),0)</f>
        <v>0</v>
      </c>
      <c r="C53" s="125">
        <f>+IFERROR(VLOOKUP(L53,'DB Mapping'!A:C,3,0),0)</f>
        <v>6.3</v>
      </c>
      <c r="D53" s="125" t="str">
        <f t="shared" si="3"/>
        <v>LIC940</v>
      </c>
      <c r="E53" s="125" t="str">
        <f t="shared" si="4"/>
        <v>LIC946.3</v>
      </c>
      <c r="F53" s="211" t="s">
        <v>18</v>
      </c>
      <c r="G53" s="127" t="s">
        <v>453</v>
      </c>
      <c r="L53" s="212" t="s">
        <v>1762</v>
      </c>
      <c r="N53" s="212" t="s">
        <v>1676</v>
      </c>
      <c r="Z53" s="213">
        <v>16913.41</v>
      </c>
      <c r="AA53" s="213">
        <v>0</v>
      </c>
      <c r="AB53" s="152">
        <f t="shared" si="1"/>
        <v>1.6913410000000001E-3</v>
      </c>
      <c r="AC53" s="122" t="s">
        <v>1837</v>
      </c>
    </row>
    <row r="54" spans="1:29" ht="12.75" hidden="1" customHeight="1">
      <c r="A54" s="125" t="str">
        <f t="shared" si="2"/>
        <v>LIC94OTHER FEES - REGULAR GROWTH</v>
      </c>
      <c r="B54" s="125">
        <f>+IFERROR(VLOOKUP(L54,'DB Mapping'!A:D,4,0),0)</f>
        <v>0</v>
      </c>
      <c r="C54" s="125">
        <f>+IFERROR(VLOOKUP(L54,'DB Mapping'!A:C,3,0),0)</f>
        <v>6.3</v>
      </c>
      <c r="D54" s="125" t="str">
        <f t="shared" si="3"/>
        <v>LIC940</v>
      </c>
      <c r="E54" s="125" t="str">
        <f t="shared" si="4"/>
        <v>LIC946.3</v>
      </c>
      <c r="F54" s="211" t="s">
        <v>18</v>
      </c>
      <c r="G54" s="127" t="s">
        <v>453</v>
      </c>
      <c r="L54" s="212" t="s">
        <v>1763</v>
      </c>
      <c r="N54" s="212" t="s">
        <v>1677</v>
      </c>
      <c r="Z54" s="213">
        <v>101289.87</v>
      </c>
      <c r="AA54" s="213">
        <v>0</v>
      </c>
      <c r="AB54" s="152">
        <f t="shared" si="1"/>
        <v>1.0128986999999999E-2</v>
      </c>
      <c r="AC54" s="122" t="s">
        <v>1837</v>
      </c>
    </row>
    <row r="55" spans="1:29" ht="12.75" hidden="1" customHeight="1">
      <c r="A55" s="125" t="str">
        <f t="shared" si="2"/>
        <v>LIC94OTHER FEES - DIRECT DIVIDEND</v>
      </c>
      <c r="B55" s="125">
        <f>+IFERROR(VLOOKUP(L55,'DB Mapping'!A:D,4,0),0)</f>
        <v>0</v>
      </c>
      <c r="C55" s="125">
        <f>+IFERROR(VLOOKUP(L55,'DB Mapping'!A:C,3,0),0)</f>
        <v>6.3</v>
      </c>
      <c r="D55" s="125" t="str">
        <f t="shared" si="3"/>
        <v>LIC940</v>
      </c>
      <c r="E55" s="125" t="str">
        <f t="shared" si="4"/>
        <v>LIC946.3</v>
      </c>
      <c r="F55" s="211" t="s">
        <v>18</v>
      </c>
      <c r="G55" s="127" t="s">
        <v>453</v>
      </c>
      <c r="L55" s="212" t="s">
        <v>1764</v>
      </c>
      <c r="N55" s="212" t="s">
        <v>1678</v>
      </c>
      <c r="Z55" s="213">
        <v>253.55</v>
      </c>
      <c r="AA55" s="213">
        <v>0</v>
      </c>
      <c r="AB55" s="152">
        <f t="shared" si="1"/>
        <v>2.5355E-5</v>
      </c>
      <c r="AC55" s="122" t="s">
        <v>1837</v>
      </c>
    </row>
    <row r="56" spans="1:29" ht="12.75" hidden="1" customHeight="1">
      <c r="A56" s="125" t="str">
        <f t="shared" si="2"/>
        <v>LIC94OTHER FEES - DIRECT GROWTH</v>
      </c>
      <c r="B56" s="125">
        <f>+IFERROR(VLOOKUP(L56,'DB Mapping'!A:D,4,0),0)</f>
        <v>0</v>
      </c>
      <c r="C56" s="125">
        <f>+IFERROR(VLOOKUP(L56,'DB Mapping'!A:C,3,0),0)</f>
        <v>6.3</v>
      </c>
      <c r="D56" s="125" t="str">
        <f t="shared" si="3"/>
        <v>LIC940</v>
      </c>
      <c r="E56" s="125" t="str">
        <f t="shared" si="4"/>
        <v>LIC946.3</v>
      </c>
      <c r="F56" s="211" t="s">
        <v>18</v>
      </c>
      <c r="G56" s="127" t="s">
        <v>453</v>
      </c>
      <c r="L56" s="212" t="s">
        <v>1765</v>
      </c>
      <c r="N56" s="212" t="s">
        <v>1679</v>
      </c>
      <c r="Z56" s="213">
        <v>6038.69</v>
      </c>
      <c r="AA56" s="213">
        <v>0</v>
      </c>
      <c r="AB56" s="152">
        <f t="shared" si="1"/>
        <v>6.0386899999999993E-4</v>
      </c>
      <c r="AC56" s="122" t="s">
        <v>1837</v>
      </c>
    </row>
    <row r="57" spans="1:29" ht="12.75" hidden="1" customHeight="1">
      <c r="A57" s="125" t="str">
        <f t="shared" si="2"/>
        <v>LIC94OTHER FEES (SELLING &amp; DISTRIBUTION)</v>
      </c>
      <c r="B57" s="125">
        <f>+IFERROR(VLOOKUP(L57,'DB Mapping'!A:D,4,0),0)</f>
        <v>0</v>
      </c>
      <c r="C57" s="125">
        <f>+IFERROR(VLOOKUP(L57,'DB Mapping'!A:C,3,0),0)</f>
        <v>6.3</v>
      </c>
      <c r="D57" s="125" t="str">
        <f t="shared" si="3"/>
        <v>LIC940</v>
      </c>
      <c r="E57" s="125" t="str">
        <f t="shared" si="4"/>
        <v>LIC946.3</v>
      </c>
      <c r="F57" s="211" t="s">
        <v>18</v>
      </c>
      <c r="G57" s="127" t="s">
        <v>453</v>
      </c>
      <c r="L57" s="212" t="s">
        <v>1766</v>
      </c>
      <c r="N57" s="212" t="s">
        <v>1680</v>
      </c>
      <c r="Z57" s="213">
        <v>0</v>
      </c>
      <c r="AA57" s="213">
        <v>0</v>
      </c>
      <c r="AB57" s="152">
        <f t="shared" si="1"/>
        <v>0</v>
      </c>
      <c r="AC57" s="122" t="s">
        <v>1837</v>
      </c>
    </row>
    <row r="58" spans="1:29" ht="12.75" customHeight="1">
      <c r="A58" s="125" t="str">
        <f t="shared" si="2"/>
        <v>LIC94CGST EXPENSE</v>
      </c>
      <c r="B58" s="125">
        <f>+IFERROR(VLOOKUP(L58,'DB Mapping'!A:D,4,0),0)</f>
        <v>6.1</v>
      </c>
      <c r="C58" s="125">
        <f>+IFERROR(VLOOKUP(L58,'DB Mapping'!A:C,3,0),0)</f>
        <v>6.3</v>
      </c>
      <c r="D58" s="125" t="str">
        <f t="shared" si="3"/>
        <v>LIC946.1</v>
      </c>
      <c r="E58" s="125" t="str">
        <f t="shared" si="4"/>
        <v>LIC946.3</v>
      </c>
      <c r="F58" s="211" t="s">
        <v>18</v>
      </c>
      <c r="G58" s="127" t="s">
        <v>453</v>
      </c>
      <c r="L58" s="212" t="s">
        <v>1767</v>
      </c>
      <c r="N58" s="212" t="s">
        <v>1682</v>
      </c>
      <c r="Z58" s="213">
        <v>8767.4</v>
      </c>
      <c r="AA58" s="213">
        <v>0</v>
      </c>
      <c r="AB58" s="152">
        <f t="shared" si="1"/>
        <v>8.7673999999999998E-4</v>
      </c>
      <c r="AC58" s="122" t="s">
        <v>1837</v>
      </c>
    </row>
    <row r="59" spans="1:29" ht="12.75" customHeight="1">
      <c r="A59" s="125" t="str">
        <f t="shared" si="2"/>
        <v>LIC94SGST EXPENSE</v>
      </c>
      <c r="B59" s="125">
        <f>+IFERROR(VLOOKUP(L59,'DB Mapping'!A:D,4,0),0)</f>
        <v>6.1</v>
      </c>
      <c r="C59" s="125">
        <f>+IFERROR(VLOOKUP(L59,'DB Mapping'!A:C,3,0),0)</f>
        <v>6.3</v>
      </c>
      <c r="D59" s="125" t="str">
        <f t="shared" si="3"/>
        <v>LIC946.1</v>
      </c>
      <c r="E59" s="125" t="str">
        <f t="shared" si="4"/>
        <v>LIC946.3</v>
      </c>
      <c r="F59" s="211" t="s">
        <v>18</v>
      </c>
      <c r="G59" s="127" t="s">
        <v>453</v>
      </c>
      <c r="L59" s="212" t="s">
        <v>1768</v>
      </c>
      <c r="N59" s="212" t="s">
        <v>1683</v>
      </c>
      <c r="Z59" s="213">
        <v>8767.4</v>
      </c>
      <c r="AA59" s="213">
        <v>0</v>
      </c>
      <c r="AB59" s="152">
        <f t="shared" si="1"/>
        <v>8.7673999999999998E-4</v>
      </c>
      <c r="AC59" s="122" t="s">
        <v>1837</v>
      </c>
    </row>
    <row r="60" spans="1:29" ht="12.75" hidden="1" customHeight="1">
      <c r="A60" s="125" t="str">
        <f t="shared" si="2"/>
        <v>LIC94EXPENSE ALLOCATION ACCOUNT</v>
      </c>
      <c r="B60" s="125">
        <f>+IFERROR(VLOOKUP(L60,'DB Mapping'!A:D,4,0),0)</f>
        <v>0</v>
      </c>
      <c r="C60" s="125">
        <f>+IFERROR(VLOOKUP(L60,'DB Mapping'!A:C,3,0),0)</f>
        <v>6.3</v>
      </c>
      <c r="D60" s="125" t="str">
        <f t="shared" si="3"/>
        <v>LIC940</v>
      </c>
      <c r="E60" s="125" t="str">
        <f t="shared" si="4"/>
        <v>LIC946.3</v>
      </c>
      <c r="F60" s="211" t="s">
        <v>18</v>
      </c>
      <c r="G60" s="127" t="s">
        <v>453</v>
      </c>
      <c r="L60" s="212" t="s">
        <v>1769</v>
      </c>
      <c r="N60" s="212" t="s">
        <v>1684</v>
      </c>
      <c r="Z60" s="213">
        <v>0</v>
      </c>
      <c r="AA60" s="213">
        <v>19170.18</v>
      </c>
      <c r="AB60" s="152">
        <f t="shared" si="1"/>
        <v>-1.9170179999999999E-3</v>
      </c>
      <c r="AC60" s="122" t="s">
        <v>1837</v>
      </c>
    </row>
    <row r="61" spans="1:29" ht="12.75" hidden="1" customHeight="1">
      <c r="A61" s="125" t="str">
        <f t="shared" si="2"/>
        <v>LIC94R&amp;T - OTHER CHARGES</v>
      </c>
      <c r="B61" s="125">
        <f>+IFERROR(VLOOKUP(L61,'DB Mapping'!A:D,4,0),0)</f>
        <v>0</v>
      </c>
      <c r="C61" s="125">
        <f>+IFERROR(VLOOKUP(L61,'DB Mapping'!A:C,3,0),0)</f>
        <v>6.3</v>
      </c>
      <c r="D61" s="125" t="str">
        <f t="shared" si="3"/>
        <v>LIC940</v>
      </c>
      <c r="E61" s="125" t="str">
        <f t="shared" si="4"/>
        <v>LIC946.3</v>
      </c>
      <c r="F61" s="211" t="s">
        <v>18</v>
      </c>
      <c r="G61" s="127" t="s">
        <v>453</v>
      </c>
      <c r="L61" s="212" t="s">
        <v>1770</v>
      </c>
      <c r="N61" s="212" t="s">
        <v>1685</v>
      </c>
      <c r="Z61" s="213">
        <v>768.81</v>
      </c>
      <c r="AA61" s="213">
        <v>0</v>
      </c>
      <c r="AB61" s="152">
        <f t="shared" si="1"/>
        <v>7.6880999999999998E-5</v>
      </c>
      <c r="AC61" s="122" t="s">
        <v>1837</v>
      </c>
    </row>
    <row r="62" spans="1:29" ht="12.75" hidden="1" customHeight="1">
      <c r="A62" s="125" t="str">
        <f t="shared" si="2"/>
        <v>LIC94AUDIT FEES</v>
      </c>
      <c r="B62" s="125">
        <f>+IFERROR(VLOOKUP(L62,'DB Mapping'!A:D,4,0),0)</f>
        <v>0</v>
      </c>
      <c r="C62" s="125">
        <f>+IFERROR(VLOOKUP(L62,'DB Mapping'!A:C,3,0),0)</f>
        <v>6.3</v>
      </c>
      <c r="D62" s="125" t="str">
        <f t="shared" si="3"/>
        <v>LIC940</v>
      </c>
      <c r="E62" s="125" t="str">
        <f t="shared" si="4"/>
        <v>LIC946.3</v>
      </c>
      <c r="F62" s="211" t="s">
        <v>18</v>
      </c>
      <c r="G62" s="127" t="s">
        <v>453</v>
      </c>
      <c r="L62" s="212" t="s">
        <v>1771</v>
      </c>
      <c r="N62" s="212" t="s">
        <v>1686</v>
      </c>
      <c r="Z62" s="213">
        <v>410.17</v>
      </c>
      <c r="AA62" s="213">
        <v>0</v>
      </c>
      <c r="AB62" s="152">
        <f t="shared" si="1"/>
        <v>4.1017000000000004E-5</v>
      </c>
      <c r="AC62" s="122" t="s">
        <v>1837</v>
      </c>
    </row>
    <row r="63" spans="1:29" ht="12.75" hidden="1" customHeight="1">
      <c r="A63" s="125" t="str">
        <f t="shared" si="2"/>
        <v>LIC94CUSTODIAN FEE</v>
      </c>
      <c r="B63" s="125">
        <f>+IFERROR(VLOOKUP(L63,'DB Mapping'!A:D,4,0),0)</f>
        <v>0</v>
      </c>
      <c r="C63" s="125">
        <f>+IFERROR(VLOOKUP(L63,'DB Mapping'!A:C,3,0),0)</f>
        <v>6.3</v>
      </c>
      <c r="D63" s="125" t="str">
        <f t="shared" si="3"/>
        <v>LIC940</v>
      </c>
      <c r="E63" s="125" t="str">
        <f t="shared" si="4"/>
        <v>LIC946.3</v>
      </c>
      <c r="F63" s="211" t="s">
        <v>18</v>
      </c>
      <c r="G63" s="127" t="s">
        <v>453</v>
      </c>
      <c r="L63" s="212" t="s">
        <v>1772</v>
      </c>
      <c r="N63" s="212" t="s">
        <v>1687</v>
      </c>
      <c r="Z63" s="213">
        <v>48.27</v>
      </c>
      <c r="AA63" s="213">
        <v>0</v>
      </c>
      <c r="AB63" s="152">
        <f t="shared" si="1"/>
        <v>4.8270000000000005E-6</v>
      </c>
      <c r="AC63" s="122" t="s">
        <v>1837</v>
      </c>
    </row>
    <row r="64" spans="1:29" ht="12.75" hidden="1" customHeight="1">
      <c r="A64" s="125" t="str">
        <f t="shared" si="2"/>
        <v>LIC94TRUSTEE FEES</v>
      </c>
      <c r="B64" s="125">
        <f>+IFERROR(VLOOKUP(L64,'DB Mapping'!A:D,4,0),0)</f>
        <v>6.2</v>
      </c>
      <c r="C64" s="125">
        <f>+IFERROR(VLOOKUP(L64,'DB Mapping'!A:C,3,0),0)</f>
        <v>6.3</v>
      </c>
      <c r="D64" s="125" t="str">
        <f t="shared" si="3"/>
        <v>LIC946.2</v>
      </c>
      <c r="E64" s="125" t="str">
        <f t="shared" si="4"/>
        <v>LIC946.3</v>
      </c>
      <c r="F64" s="211" t="s">
        <v>18</v>
      </c>
      <c r="G64" s="127" t="s">
        <v>453</v>
      </c>
      <c r="L64" s="212" t="s">
        <v>1773</v>
      </c>
      <c r="N64" s="212" t="s">
        <v>1688</v>
      </c>
      <c r="Z64" s="213">
        <v>334.39</v>
      </c>
      <c r="AA64" s="213">
        <v>0</v>
      </c>
      <c r="AB64" s="152">
        <f t="shared" si="1"/>
        <v>3.3438999999999996E-5</v>
      </c>
      <c r="AC64" s="122" t="s">
        <v>1837</v>
      </c>
    </row>
    <row r="65" spans="1:29" ht="12.75" hidden="1" customHeight="1">
      <c r="A65" s="125" t="str">
        <f t="shared" si="2"/>
        <v>LIC94OTHER OPERATING EXPENSES</v>
      </c>
      <c r="B65" s="125">
        <f>+IFERROR(VLOOKUP(L65,'DB Mapping'!A:D,4,0),0)</f>
        <v>0</v>
      </c>
      <c r="C65" s="125">
        <f>+IFERROR(VLOOKUP(L65,'DB Mapping'!A:C,3,0),0)</f>
        <v>6.3</v>
      </c>
      <c r="D65" s="125" t="str">
        <f t="shared" si="3"/>
        <v>LIC940</v>
      </c>
      <c r="E65" s="125" t="str">
        <f t="shared" si="4"/>
        <v>LIC946.3</v>
      </c>
      <c r="F65" s="211" t="s">
        <v>18</v>
      </c>
      <c r="G65" s="127" t="s">
        <v>453</v>
      </c>
      <c r="L65" s="212" t="s">
        <v>1774</v>
      </c>
      <c r="N65" s="212" t="s">
        <v>1689</v>
      </c>
      <c r="Z65" s="213">
        <v>129.52000000000001</v>
      </c>
      <c r="AA65" s="213">
        <v>0</v>
      </c>
      <c r="AB65" s="152">
        <f t="shared" si="1"/>
        <v>1.2952000000000001E-5</v>
      </c>
      <c r="AC65" s="122" t="s">
        <v>1837</v>
      </c>
    </row>
    <row r="66" spans="1:29" ht="12.75" hidden="1" customHeight="1">
      <c r="A66" s="125" t="str">
        <f t="shared" si="2"/>
        <v>LIC94SEBI ANNUAL FEES EXPENSE</v>
      </c>
      <c r="B66" s="125">
        <f>+IFERROR(VLOOKUP(L66,'DB Mapping'!A:D,4,0),0)</f>
        <v>0</v>
      </c>
      <c r="C66" s="125">
        <f>+IFERROR(VLOOKUP(L66,'DB Mapping'!A:C,3,0),0)</f>
        <v>6.3</v>
      </c>
      <c r="D66" s="125" t="str">
        <f t="shared" si="3"/>
        <v>LIC940</v>
      </c>
      <c r="E66" s="125" t="str">
        <f t="shared" si="4"/>
        <v>LIC946.3</v>
      </c>
      <c r="F66" s="211" t="s">
        <v>18</v>
      </c>
      <c r="G66" s="127" t="s">
        <v>453</v>
      </c>
      <c r="L66" s="212" t="s">
        <v>1775</v>
      </c>
      <c r="N66" s="212" t="s">
        <v>1690</v>
      </c>
      <c r="Z66" s="213">
        <v>777.07</v>
      </c>
      <c r="AA66" s="213">
        <v>0</v>
      </c>
      <c r="AB66" s="152">
        <f t="shared" ref="AB66:AB72" si="5">+(Z66-AA66)/10000000</f>
        <v>7.7707000000000007E-5</v>
      </c>
      <c r="AC66" s="122" t="s">
        <v>1837</v>
      </c>
    </row>
    <row r="67" spans="1:29" ht="12.75" hidden="1" customHeight="1">
      <c r="A67" s="125" t="str">
        <f t="shared" ref="A67:A72" si="6">+F67&amp;N67</f>
        <v>LIC94BANK CHARGES</v>
      </c>
      <c r="B67" s="125">
        <f>+IFERROR(VLOOKUP(L67,'DB Mapping'!A:D,4,0),0)</f>
        <v>0</v>
      </c>
      <c r="C67" s="125">
        <f>+IFERROR(VLOOKUP(L67,'DB Mapping'!A:C,3,0),0)</f>
        <v>6.3</v>
      </c>
      <c r="D67" s="125" t="str">
        <f t="shared" ref="D67:D72" si="7">+F67&amp;B67</f>
        <v>LIC940</v>
      </c>
      <c r="E67" s="125" t="str">
        <f t="shared" ref="E67:E72" si="8">+F67&amp;C67</f>
        <v>LIC946.3</v>
      </c>
      <c r="F67" s="211" t="s">
        <v>18</v>
      </c>
      <c r="G67" s="127" t="s">
        <v>453</v>
      </c>
      <c r="L67" s="212" t="s">
        <v>1776</v>
      </c>
      <c r="N67" s="212" t="s">
        <v>1789</v>
      </c>
      <c r="Z67" s="213">
        <v>18.36</v>
      </c>
      <c r="AA67" s="213">
        <v>0</v>
      </c>
      <c r="AB67" s="152">
        <f t="shared" si="5"/>
        <v>1.8359999999999999E-6</v>
      </c>
      <c r="AC67" s="122" t="s">
        <v>1837</v>
      </c>
    </row>
    <row r="68" spans="1:29" ht="12.75" hidden="1" customHeight="1">
      <c r="A68" s="125" t="str">
        <f t="shared" si="6"/>
        <v>LIC94CCIL CHARGES</v>
      </c>
      <c r="B68" s="125">
        <f>+IFERROR(VLOOKUP(L68,'DB Mapping'!A:D,4,0),0)</f>
        <v>0</v>
      </c>
      <c r="C68" s="125">
        <f>+IFERROR(VLOOKUP(L68,'DB Mapping'!A:C,3,0),0)</f>
        <v>6.3</v>
      </c>
      <c r="D68" s="125" t="str">
        <f t="shared" si="7"/>
        <v>LIC940</v>
      </c>
      <c r="E68" s="125" t="str">
        <f t="shared" si="8"/>
        <v>LIC946.3</v>
      </c>
      <c r="F68" s="211" t="s">
        <v>18</v>
      </c>
      <c r="G68" s="127" t="s">
        <v>453</v>
      </c>
      <c r="L68" s="212" t="s">
        <v>1777</v>
      </c>
      <c r="N68" s="212" t="s">
        <v>1691</v>
      </c>
      <c r="Z68" s="213">
        <v>9919.94</v>
      </c>
      <c r="AA68" s="213">
        <v>0</v>
      </c>
      <c r="AB68" s="152">
        <f t="shared" si="5"/>
        <v>9.9199399999999995E-4</v>
      </c>
      <c r="AC68" s="122" t="s">
        <v>1837</v>
      </c>
    </row>
    <row r="69" spans="1:29" ht="12.75" hidden="1" customHeight="1">
      <c r="A69" s="125" t="str">
        <f t="shared" si="6"/>
        <v>LIC94INTERNAL AUDIT FEES</v>
      </c>
      <c r="B69" s="125">
        <f>+IFERROR(VLOOKUP(L69,'DB Mapping'!A:D,4,0),0)</f>
        <v>0</v>
      </c>
      <c r="C69" s="125">
        <f>+IFERROR(VLOOKUP(L69,'DB Mapping'!A:C,3,0),0)</f>
        <v>6.3</v>
      </c>
      <c r="D69" s="125" t="str">
        <f t="shared" si="7"/>
        <v>LIC940</v>
      </c>
      <c r="E69" s="125" t="str">
        <f t="shared" si="8"/>
        <v>LIC946.3</v>
      </c>
      <c r="F69" s="211" t="s">
        <v>18</v>
      </c>
      <c r="G69" s="127" t="s">
        <v>453</v>
      </c>
      <c r="L69" s="212" t="s">
        <v>1778</v>
      </c>
      <c r="N69" s="212" t="s">
        <v>1692</v>
      </c>
      <c r="Z69" s="213">
        <v>211.17</v>
      </c>
      <c r="AA69" s="213">
        <v>0</v>
      </c>
      <c r="AB69" s="152">
        <f t="shared" si="5"/>
        <v>2.1116999999999998E-5</v>
      </c>
      <c r="AC69" s="122" t="s">
        <v>1837</v>
      </c>
    </row>
    <row r="70" spans="1:29" ht="12.75" hidden="1" customHeight="1">
      <c r="A70" s="125" t="str">
        <f t="shared" si="6"/>
        <v>LIC94CLIENT SERVICING EXPENES</v>
      </c>
      <c r="B70" s="125">
        <f>+IFERROR(VLOOKUP(L70,'DB Mapping'!A:D,4,0),0)</f>
        <v>0</v>
      </c>
      <c r="C70" s="125">
        <f>+IFERROR(VLOOKUP(L70,'DB Mapping'!A:C,3,0),0)</f>
        <v>6.3</v>
      </c>
      <c r="D70" s="125" t="str">
        <f t="shared" si="7"/>
        <v>LIC940</v>
      </c>
      <c r="E70" s="125" t="str">
        <f t="shared" si="8"/>
        <v>LIC946.3</v>
      </c>
      <c r="F70" s="211" t="s">
        <v>18</v>
      </c>
      <c r="G70" s="127" t="s">
        <v>453</v>
      </c>
      <c r="L70" s="212" t="s">
        <v>1779</v>
      </c>
      <c r="N70" s="212" t="s">
        <v>1693</v>
      </c>
      <c r="Z70" s="213">
        <v>28819.5</v>
      </c>
      <c r="AA70" s="213">
        <v>0</v>
      </c>
      <c r="AB70" s="152">
        <f t="shared" si="5"/>
        <v>2.8819499999999999E-3</v>
      </c>
      <c r="AC70" s="122" t="s">
        <v>1837</v>
      </c>
    </row>
    <row r="71" spans="1:29" ht="12.75" hidden="1" customHeight="1">
      <c r="A71" s="125" t="str">
        <f t="shared" si="6"/>
        <v>LIC94INVESTOR EDUCATION FUND EXPENSE</v>
      </c>
      <c r="B71" s="125">
        <f>+IFERROR(VLOOKUP(L71,'DB Mapping'!A:D,4,0),0)</f>
        <v>0</v>
      </c>
      <c r="C71" s="125">
        <f>+IFERROR(VLOOKUP(L71,'DB Mapping'!A:C,3,0),0)</f>
        <v>6.3</v>
      </c>
      <c r="D71" s="125" t="str">
        <f t="shared" si="7"/>
        <v>LIC940</v>
      </c>
      <c r="E71" s="125" t="str">
        <f t="shared" si="8"/>
        <v>LIC946.3</v>
      </c>
      <c r="F71" s="211" t="s">
        <v>18</v>
      </c>
      <c r="G71" s="127" t="s">
        <v>453</v>
      </c>
      <c r="L71" s="212" t="s">
        <v>1780</v>
      </c>
      <c r="N71" s="212" t="s">
        <v>1694</v>
      </c>
      <c r="Z71" s="213">
        <v>3276.24</v>
      </c>
      <c r="AA71" s="213">
        <v>0</v>
      </c>
      <c r="AB71" s="152">
        <f t="shared" si="5"/>
        <v>3.2762399999999999E-4</v>
      </c>
      <c r="AC71" s="122" t="s">
        <v>1837</v>
      </c>
    </row>
    <row r="72" spans="1:29" ht="12.75" hidden="1" customHeight="1">
      <c r="A72" s="125" t="str">
        <f t="shared" si="6"/>
        <v>LIC94INVESTOR EDUCATION FUND EXPENSE - AMFI</v>
      </c>
      <c r="B72" s="125">
        <f>+IFERROR(VLOOKUP(L72,'DB Mapping'!A:D,4,0),0)</f>
        <v>0</v>
      </c>
      <c r="C72" s="125">
        <f>+IFERROR(VLOOKUP(L72,'DB Mapping'!A:C,3,0),0)</f>
        <v>6.3</v>
      </c>
      <c r="D72" s="125" t="str">
        <f t="shared" si="7"/>
        <v>LIC940</v>
      </c>
      <c r="E72" s="125" t="str">
        <f t="shared" si="8"/>
        <v>LIC946.3</v>
      </c>
      <c r="F72" s="211" t="s">
        <v>18</v>
      </c>
      <c r="G72" s="127" t="s">
        <v>453</v>
      </c>
      <c r="L72" s="212" t="s">
        <v>1781</v>
      </c>
      <c r="N72" s="212" t="s">
        <v>1695</v>
      </c>
      <c r="Z72" s="213">
        <v>3276.24</v>
      </c>
      <c r="AA72" s="213">
        <v>0</v>
      </c>
      <c r="AB72" s="152">
        <f t="shared" si="5"/>
        <v>3.2762399999999999E-4</v>
      </c>
      <c r="AC72" s="122" t="s">
        <v>1837</v>
      </c>
    </row>
    <row r="73" spans="1:29" ht="12.75" hidden="1" customHeight="1">
      <c r="A73" s="125"/>
      <c r="B73" s="125"/>
      <c r="C73" s="125"/>
      <c r="D73" s="125"/>
      <c r="E73" s="125"/>
      <c r="F73" s="211"/>
      <c r="L73" s="215"/>
      <c r="N73" s="215"/>
      <c r="Z73" s="216"/>
      <c r="AA73" s="216"/>
      <c r="AB73" s="152"/>
      <c r="AC73" s="122" t="s">
        <v>1837</v>
      </c>
    </row>
    <row r="74" spans="1:29" ht="12.75" hidden="1" customHeight="1">
      <c r="A74" s="125" t="str">
        <f t="shared" ref="A74" si="9">+F74&amp;N74</f>
        <v>LIC95INVESTMENTS - CBLO</v>
      </c>
      <c r="B74" s="125">
        <f>+IFERROR(VLOOKUP(L74,'DB Mapping'!A:D,4,0),0)</f>
        <v>0</v>
      </c>
      <c r="C74" s="125">
        <f>+IFERROR(VLOOKUP(L74,'DB Mapping'!A:C,3,0),0)</f>
        <v>0</v>
      </c>
      <c r="D74" s="125" t="str">
        <f t="shared" ref="D74" si="10">+F74&amp;B74</f>
        <v>LIC950</v>
      </c>
      <c r="E74" s="125" t="str">
        <f t="shared" ref="E74" si="11">+F74&amp;C74</f>
        <v>LIC950</v>
      </c>
      <c r="F74" s="211" t="s">
        <v>19</v>
      </c>
      <c r="G74" s="127" t="s">
        <v>453</v>
      </c>
      <c r="L74" s="212" t="s">
        <v>1711</v>
      </c>
      <c r="N74" s="212" t="s">
        <v>1606</v>
      </c>
      <c r="Z74" s="213">
        <v>119442437.11</v>
      </c>
      <c r="AA74" s="213">
        <v>0</v>
      </c>
      <c r="AB74" s="152">
        <f t="shared" ref="AB74:AB137" si="12">+(Z74-AA74)/10000000</f>
        <v>11.944243711</v>
      </c>
      <c r="AC74" s="122" t="s">
        <v>1837</v>
      </c>
    </row>
    <row r="75" spans="1:29" ht="12.75" hidden="1" customHeight="1">
      <c r="A75" s="125" t="str">
        <f t="shared" ref="A75:A138" si="13">+F75&amp;N75</f>
        <v>LIC95INVESTMENTS - REPO TRANSACTIONS</v>
      </c>
      <c r="B75" s="125">
        <f>+IFERROR(VLOOKUP(L75,'DB Mapping'!A:D,4,0),0)</f>
        <v>0</v>
      </c>
      <c r="C75" s="125">
        <f>+IFERROR(VLOOKUP(L75,'DB Mapping'!A:C,3,0),0)</f>
        <v>0</v>
      </c>
      <c r="D75" s="125" t="str">
        <f t="shared" ref="D75:D138" si="14">+F75&amp;B75</f>
        <v>LIC950</v>
      </c>
      <c r="E75" s="125" t="str">
        <f t="shared" ref="E75:E138" si="15">+F75&amp;C75</f>
        <v>LIC950</v>
      </c>
      <c r="F75" s="211" t="s">
        <v>19</v>
      </c>
      <c r="G75" s="127" t="s">
        <v>453</v>
      </c>
      <c r="L75" s="212" t="s">
        <v>1790</v>
      </c>
      <c r="N75" s="212" t="s">
        <v>1611</v>
      </c>
      <c r="Z75" s="213">
        <v>0</v>
      </c>
      <c r="AA75" s="213">
        <v>0</v>
      </c>
      <c r="AB75" s="152">
        <f t="shared" si="12"/>
        <v>0</v>
      </c>
      <c r="AC75" s="122" t="s">
        <v>1837</v>
      </c>
    </row>
    <row r="76" spans="1:29" ht="12.75" hidden="1" customHeight="1">
      <c r="A76" s="125" t="str">
        <f t="shared" si="13"/>
        <v>LIC95HDFC BANK CURRENT ACCOUNT</v>
      </c>
      <c r="B76" s="125">
        <f>+IFERROR(VLOOKUP(L76,'DB Mapping'!A:D,4,0),0)</f>
        <v>0</v>
      </c>
      <c r="C76" s="125">
        <f>+IFERROR(VLOOKUP(L76,'DB Mapping'!A:C,3,0),0)</f>
        <v>0</v>
      </c>
      <c r="D76" s="125" t="str">
        <f t="shared" si="14"/>
        <v>LIC950</v>
      </c>
      <c r="E76" s="125" t="str">
        <f t="shared" si="15"/>
        <v>LIC950</v>
      </c>
      <c r="F76" s="211" t="s">
        <v>19</v>
      </c>
      <c r="G76" s="127" t="s">
        <v>453</v>
      </c>
      <c r="L76" s="212" t="s">
        <v>1712</v>
      </c>
      <c r="N76" s="212" t="s">
        <v>1612</v>
      </c>
      <c r="Z76" s="213">
        <v>0</v>
      </c>
      <c r="AA76" s="213">
        <v>0</v>
      </c>
      <c r="AB76" s="152">
        <f t="shared" si="12"/>
        <v>0</v>
      </c>
      <c r="AC76" s="122" t="s">
        <v>1837</v>
      </c>
    </row>
    <row r="77" spans="1:29" ht="12.75" hidden="1" customHeight="1">
      <c r="A77" s="125" t="str">
        <f t="shared" si="13"/>
        <v>LIC95HDFC BANK COLLECTION ACCOUNT</v>
      </c>
      <c r="B77" s="125">
        <f>+IFERROR(VLOOKUP(L77,'DB Mapping'!A:D,4,0),0)</f>
        <v>0</v>
      </c>
      <c r="C77" s="125">
        <f>+IFERROR(VLOOKUP(L77,'DB Mapping'!A:C,3,0),0)</f>
        <v>0</v>
      </c>
      <c r="D77" s="125" t="str">
        <f t="shared" si="14"/>
        <v>LIC950</v>
      </c>
      <c r="E77" s="125" t="str">
        <f t="shared" si="15"/>
        <v>LIC950</v>
      </c>
      <c r="F77" s="211" t="s">
        <v>19</v>
      </c>
      <c r="G77" s="127" t="s">
        <v>453</v>
      </c>
      <c r="L77" s="212" t="s">
        <v>1791</v>
      </c>
      <c r="N77" s="212" t="s">
        <v>1792</v>
      </c>
      <c r="Z77" s="213">
        <v>0</v>
      </c>
      <c r="AA77" s="213">
        <v>0</v>
      </c>
      <c r="AB77" s="152">
        <f t="shared" si="12"/>
        <v>0</v>
      </c>
      <c r="AC77" s="122" t="s">
        <v>1837</v>
      </c>
    </row>
    <row r="78" spans="1:29" ht="12.75" hidden="1" customHeight="1">
      <c r="A78" s="125" t="str">
        <f t="shared" si="13"/>
        <v>LIC95HDFC BANK</v>
      </c>
      <c r="B78" s="125">
        <f>+IFERROR(VLOOKUP(L78,'DB Mapping'!A:D,4,0),0)</f>
        <v>0</v>
      </c>
      <c r="C78" s="125">
        <f>+IFERROR(VLOOKUP(L78,'DB Mapping'!A:C,3,0),0)</f>
        <v>0</v>
      </c>
      <c r="D78" s="125" t="str">
        <f t="shared" si="14"/>
        <v>LIC950</v>
      </c>
      <c r="E78" s="125" t="str">
        <f t="shared" si="15"/>
        <v>LIC950</v>
      </c>
      <c r="F78" s="211" t="s">
        <v>19</v>
      </c>
      <c r="G78" s="127" t="s">
        <v>453</v>
      </c>
      <c r="L78" s="212" t="s">
        <v>1793</v>
      </c>
      <c r="N78" s="212" t="s">
        <v>1613</v>
      </c>
      <c r="Z78" s="213">
        <v>0</v>
      </c>
      <c r="AA78" s="213">
        <v>0</v>
      </c>
      <c r="AB78" s="152">
        <f t="shared" si="12"/>
        <v>0</v>
      </c>
      <c r="AC78" s="122" t="s">
        <v>1837</v>
      </c>
    </row>
    <row r="79" spans="1:29" ht="12.75" hidden="1" customHeight="1">
      <c r="A79" s="125" t="str">
        <f t="shared" si="13"/>
        <v>LIC95REDEMPTION RECEIVABLE - CBLO</v>
      </c>
      <c r="B79" s="125">
        <f>+IFERROR(VLOOKUP(L79,'DB Mapping'!A:D,4,0),0)</f>
        <v>0</v>
      </c>
      <c r="C79" s="125">
        <f>+IFERROR(VLOOKUP(L79,'DB Mapping'!A:C,3,0),0)</f>
        <v>0</v>
      </c>
      <c r="D79" s="125" t="str">
        <f t="shared" si="14"/>
        <v>LIC950</v>
      </c>
      <c r="E79" s="125" t="str">
        <f t="shared" si="15"/>
        <v>LIC950</v>
      </c>
      <c r="F79" s="211" t="s">
        <v>19</v>
      </c>
      <c r="G79" s="127" t="s">
        <v>453</v>
      </c>
      <c r="L79" s="212" t="s">
        <v>1713</v>
      </c>
      <c r="N79" s="212" t="s">
        <v>1615</v>
      </c>
      <c r="Z79" s="213">
        <v>0</v>
      </c>
      <c r="AA79" s="213">
        <v>0</v>
      </c>
      <c r="AB79" s="152">
        <f t="shared" si="12"/>
        <v>0</v>
      </c>
      <c r="AC79" s="122" t="s">
        <v>1837</v>
      </c>
    </row>
    <row r="80" spans="1:29" ht="12.75" hidden="1" customHeight="1">
      <c r="A80" s="125" t="str">
        <f t="shared" si="13"/>
        <v>LIC95RECEIVABLE - UNITS SUBSCRIPTION</v>
      </c>
      <c r="B80" s="125">
        <f>+IFERROR(VLOOKUP(L80,'DB Mapping'!A:D,4,0),0)</f>
        <v>0</v>
      </c>
      <c r="C80" s="125">
        <f>+IFERROR(VLOOKUP(L80,'DB Mapping'!A:C,3,0),0)</f>
        <v>0</v>
      </c>
      <c r="D80" s="125" t="str">
        <f t="shared" si="14"/>
        <v>LIC950</v>
      </c>
      <c r="E80" s="125" t="str">
        <f t="shared" si="15"/>
        <v>LIC950</v>
      </c>
      <c r="F80" s="211" t="s">
        <v>19</v>
      </c>
      <c r="G80" s="127" t="s">
        <v>453</v>
      </c>
      <c r="L80" s="212" t="s">
        <v>1714</v>
      </c>
      <c r="N80" s="212" t="s">
        <v>1782</v>
      </c>
      <c r="Z80" s="213">
        <v>0</v>
      </c>
      <c r="AA80" s="213">
        <v>0</v>
      </c>
      <c r="AB80" s="152">
        <f t="shared" si="12"/>
        <v>0</v>
      </c>
      <c r="AC80" s="122" t="s">
        <v>1837</v>
      </c>
    </row>
    <row r="81" spans="1:29" ht="12.75" hidden="1" customHeight="1">
      <c r="A81" s="125" t="str">
        <f t="shared" si="13"/>
        <v>LIC95INTEREST RECEIVABLE - REPO TRANSACTIONS</v>
      </c>
      <c r="B81" s="125">
        <f>+IFERROR(VLOOKUP(L81,'DB Mapping'!A:D,4,0),0)</f>
        <v>0</v>
      </c>
      <c r="C81" s="125">
        <f>+IFERROR(VLOOKUP(L81,'DB Mapping'!A:C,3,0),0)</f>
        <v>0</v>
      </c>
      <c r="D81" s="125" t="str">
        <f t="shared" si="14"/>
        <v>LIC950</v>
      </c>
      <c r="E81" s="125" t="str">
        <f t="shared" si="15"/>
        <v>LIC950</v>
      </c>
      <c r="F81" s="211" t="s">
        <v>19</v>
      </c>
      <c r="G81" s="127" t="s">
        <v>453</v>
      </c>
      <c r="L81" s="212" t="s">
        <v>1794</v>
      </c>
      <c r="N81" s="212" t="s">
        <v>1620</v>
      </c>
      <c r="Z81" s="213">
        <v>0</v>
      </c>
      <c r="AA81" s="213">
        <v>0</v>
      </c>
      <c r="AB81" s="152">
        <f t="shared" si="12"/>
        <v>0</v>
      </c>
      <c r="AC81" s="122" t="s">
        <v>1837</v>
      </c>
    </row>
    <row r="82" spans="1:29" ht="12.75" hidden="1" customHeight="1">
      <c r="A82" s="125" t="str">
        <f t="shared" si="13"/>
        <v>LIC95AMORTISATION RECEIVABLE - CBLO</v>
      </c>
      <c r="B82" s="125">
        <f>+IFERROR(VLOOKUP(L82,'DB Mapping'!A:D,4,0),0)</f>
        <v>0</v>
      </c>
      <c r="C82" s="125">
        <f>+IFERROR(VLOOKUP(L82,'DB Mapping'!A:C,3,0),0)</f>
        <v>0</v>
      </c>
      <c r="D82" s="125" t="str">
        <f t="shared" si="14"/>
        <v>LIC950</v>
      </c>
      <c r="E82" s="125" t="str">
        <f t="shared" si="15"/>
        <v>LIC950</v>
      </c>
      <c r="F82" s="211" t="s">
        <v>19</v>
      </c>
      <c r="G82" s="127" t="s">
        <v>453</v>
      </c>
      <c r="L82" s="212" t="s">
        <v>1715</v>
      </c>
      <c r="N82" s="212" t="s">
        <v>1621</v>
      </c>
      <c r="Z82" s="213">
        <v>19313.02</v>
      </c>
      <c r="AA82" s="213">
        <v>0</v>
      </c>
      <c r="AB82" s="152">
        <f t="shared" si="12"/>
        <v>1.931302E-3</v>
      </c>
      <c r="AC82" s="122" t="s">
        <v>1837</v>
      </c>
    </row>
    <row r="83" spans="1:29" ht="12.75" hidden="1" customHeight="1">
      <c r="A83" s="125" t="str">
        <f t="shared" si="13"/>
        <v>LIC95AMC RECEIVABLE / PAYABLE</v>
      </c>
      <c r="B83" s="125">
        <f>+IFERROR(VLOOKUP(L83,'DB Mapping'!A:D,4,0),0)</f>
        <v>0</v>
      </c>
      <c r="C83" s="125">
        <f>+IFERROR(VLOOKUP(L83,'DB Mapping'!A:C,3,0),0)</f>
        <v>0</v>
      </c>
      <c r="D83" s="125" t="str">
        <f t="shared" si="14"/>
        <v>LIC950</v>
      </c>
      <c r="E83" s="125" t="str">
        <f t="shared" si="15"/>
        <v>LIC950</v>
      </c>
      <c r="F83" s="211" t="s">
        <v>19</v>
      </c>
      <c r="G83" s="127" t="s">
        <v>453</v>
      </c>
      <c r="L83" s="212" t="s">
        <v>1716</v>
      </c>
      <c r="N83" s="212" t="s">
        <v>1704</v>
      </c>
      <c r="Z83" s="213">
        <v>39135.120000000003</v>
      </c>
      <c r="AA83" s="213">
        <v>0</v>
      </c>
      <c r="AB83" s="152">
        <f t="shared" si="12"/>
        <v>3.9135120000000001E-3</v>
      </c>
      <c r="AC83" s="122" t="s">
        <v>1837</v>
      </c>
    </row>
    <row r="84" spans="1:29" ht="12.75" hidden="1" customHeight="1">
      <c r="A84" s="125" t="str">
        <f t="shared" si="13"/>
        <v>LIC95CCIL SETTLEMENT A/C</v>
      </c>
      <c r="B84" s="125">
        <f>+IFERROR(VLOOKUP(L84,'DB Mapping'!A:D,4,0),0)</f>
        <v>0</v>
      </c>
      <c r="C84" s="125">
        <f>+IFERROR(VLOOKUP(L84,'DB Mapping'!A:C,3,0),0)</f>
        <v>0</v>
      </c>
      <c r="D84" s="125" t="str">
        <f t="shared" si="14"/>
        <v>LIC950</v>
      </c>
      <c r="E84" s="125" t="str">
        <f t="shared" si="15"/>
        <v>LIC950</v>
      </c>
      <c r="F84" s="211" t="s">
        <v>19</v>
      </c>
      <c r="G84" s="127" t="s">
        <v>453</v>
      </c>
      <c r="L84" s="212" t="s">
        <v>1717</v>
      </c>
      <c r="N84" s="212" t="s">
        <v>1624</v>
      </c>
      <c r="Z84" s="213">
        <v>19312.71</v>
      </c>
      <c r="AA84" s="213">
        <v>0</v>
      </c>
      <c r="AB84" s="152">
        <f t="shared" si="12"/>
        <v>1.9312709999999998E-3</v>
      </c>
      <c r="AC84" s="122" t="s">
        <v>1837</v>
      </c>
    </row>
    <row r="85" spans="1:29" ht="12.75" hidden="1" customHeight="1">
      <c r="A85" s="125" t="str">
        <f t="shared" si="13"/>
        <v>LIC95SETTLEMENT PAYABLE</v>
      </c>
      <c r="B85" s="125">
        <f>+IFERROR(VLOOKUP(L85,'DB Mapping'!A:D,4,0),0)</f>
        <v>0</v>
      </c>
      <c r="C85" s="125">
        <f>+IFERROR(VLOOKUP(L85,'DB Mapping'!A:C,3,0),0)</f>
        <v>0</v>
      </c>
      <c r="D85" s="125" t="str">
        <f t="shared" si="14"/>
        <v>LIC950</v>
      </c>
      <c r="E85" s="125" t="str">
        <f t="shared" si="15"/>
        <v>LIC950</v>
      </c>
      <c r="F85" s="211" t="s">
        <v>19</v>
      </c>
      <c r="G85" s="127" t="s">
        <v>453</v>
      </c>
      <c r="L85" s="212" t="s">
        <v>1718</v>
      </c>
      <c r="N85" s="212" t="s">
        <v>1625</v>
      </c>
      <c r="Z85" s="213">
        <v>0</v>
      </c>
      <c r="AA85" s="213">
        <v>0</v>
      </c>
      <c r="AB85" s="152">
        <f t="shared" si="12"/>
        <v>0</v>
      </c>
      <c r="AC85" s="122" t="s">
        <v>1837</v>
      </c>
    </row>
    <row r="86" spans="1:29" ht="12.75" hidden="1" customHeight="1">
      <c r="A86" s="125" t="str">
        <f t="shared" si="13"/>
        <v>LIC95PAYABLE - UNITS REDEMPTION</v>
      </c>
      <c r="B86" s="125">
        <f>+IFERROR(VLOOKUP(L86,'DB Mapping'!A:D,4,0),0)</f>
        <v>0</v>
      </c>
      <c r="C86" s="125">
        <f>+IFERROR(VLOOKUP(L86,'DB Mapping'!A:C,3,0),0)</f>
        <v>0</v>
      </c>
      <c r="D86" s="125" t="str">
        <f t="shared" si="14"/>
        <v>LIC950</v>
      </c>
      <c r="E86" s="125" t="str">
        <f t="shared" si="15"/>
        <v>LIC950</v>
      </c>
      <c r="F86" s="211" t="s">
        <v>19</v>
      </c>
      <c r="G86" s="127" t="s">
        <v>453</v>
      </c>
      <c r="L86" s="212" t="s">
        <v>1719</v>
      </c>
      <c r="N86" s="212" t="s">
        <v>1783</v>
      </c>
      <c r="Z86" s="213">
        <v>0</v>
      </c>
      <c r="AA86" s="213">
        <v>0</v>
      </c>
      <c r="AB86" s="152">
        <f t="shared" si="12"/>
        <v>0</v>
      </c>
      <c r="AC86" s="122" t="s">
        <v>1837</v>
      </c>
    </row>
    <row r="87" spans="1:29" ht="12.75" hidden="1" customHeight="1">
      <c r="A87" s="125" t="str">
        <f t="shared" si="13"/>
        <v>LIC95EXPENSE ALLOCATION - LIABILITY ACCOUNT</v>
      </c>
      <c r="B87" s="125">
        <f>+IFERROR(VLOOKUP(L87,'DB Mapping'!A:D,4,0),0)</f>
        <v>0</v>
      </c>
      <c r="C87" s="125">
        <f>+IFERROR(VLOOKUP(L87,'DB Mapping'!A:C,3,0),0)</f>
        <v>0</v>
      </c>
      <c r="D87" s="125" t="str">
        <f t="shared" si="14"/>
        <v>LIC950</v>
      </c>
      <c r="E87" s="125" t="str">
        <f t="shared" si="15"/>
        <v>LIC950</v>
      </c>
      <c r="F87" s="211" t="s">
        <v>19</v>
      </c>
      <c r="G87" s="127" t="s">
        <v>453</v>
      </c>
      <c r="L87" s="212" t="s">
        <v>1720</v>
      </c>
      <c r="N87" s="212" t="s">
        <v>1626</v>
      </c>
      <c r="Z87" s="213">
        <v>68932.94</v>
      </c>
      <c r="AA87" s="213">
        <v>0</v>
      </c>
      <c r="AB87" s="152">
        <f t="shared" si="12"/>
        <v>6.8932940000000003E-3</v>
      </c>
      <c r="AC87" s="122" t="s">
        <v>1837</v>
      </c>
    </row>
    <row r="88" spans="1:29" ht="12.75" hidden="1" customHeight="1">
      <c r="A88" s="125" t="str">
        <f t="shared" si="13"/>
        <v>LIC95PAYABLE - UNITS DIVIDEND TAX</v>
      </c>
      <c r="B88" s="125">
        <f>+IFERROR(VLOOKUP(L88,'DB Mapping'!A:D,4,0),0)</f>
        <v>0</v>
      </c>
      <c r="C88" s="125">
        <f>+IFERROR(VLOOKUP(L88,'DB Mapping'!A:C,3,0),0)</f>
        <v>0</v>
      </c>
      <c r="D88" s="125" t="str">
        <f t="shared" si="14"/>
        <v>LIC950</v>
      </c>
      <c r="E88" s="125" t="str">
        <f t="shared" si="15"/>
        <v>LIC950</v>
      </c>
      <c r="F88" s="211" t="s">
        <v>19</v>
      </c>
      <c r="G88" s="127" t="s">
        <v>453</v>
      </c>
      <c r="L88" s="212" t="s">
        <v>1721</v>
      </c>
      <c r="N88" s="212" t="s">
        <v>1627</v>
      </c>
      <c r="Z88" s="213">
        <v>0</v>
      </c>
      <c r="AA88" s="213">
        <v>0</v>
      </c>
      <c r="AB88" s="152">
        <f t="shared" si="12"/>
        <v>0</v>
      </c>
      <c r="AC88" s="122" t="s">
        <v>1837</v>
      </c>
    </row>
    <row r="89" spans="1:29" ht="12.75" hidden="1" customHeight="1">
      <c r="A89" s="125" t="str">
        <f t="shared" si="13"/>
        <v>LIC95PAYABLE - AUDIT FEES</v>
      </c>
      <c r="B89" s="125">
        <f>+IFERROR(VLOOKUP(L89,'DB Mapping'!A:D,4,0),0)</f>
        <v>0</v>
      </c>
      <c r="C89" s="125">
        <f>+IFERROR(VLOOKUP(L89,'DB Mapping'!A:C,3,0),0)</f>
        <v>0</v>
      </c>
      <c r="D89" s="125" t="str">
        <f t="shared" si="14"/>
        <v>LIC950</v>
      </c>
      <c r="E89" s="125" t="str">
        <f t="shared" si="15"/>
        <v>LIC950</v>
      </c>
      <c r="F89" s="211" t="s">
        <v>19</v>
      </c>
      <c r="G89" s="127" t="s">
        <v>453</v>
      </c>
      <c r="L89" s="212" t="s">
        <v>1722</v>
      </c>
      <c r="N89" s="212" t="s">
        <v>1628</v>
      </c>
      <c r="Z89" s="213">
        <v>0</v>
      </c>
      <c r="AA89" s="213">
        <v>37735.26</v>
      </c>
      <c r="AB89" s="152">
        <f t="shared" si="12"/>
        <v>-3.7735260000000001E-3</v>
      </c>
      <c r="AC89" s="122" t="s">
        <v>1837</v>
      </c>
    </row>
    <row r="90" spans="1:29" ht="12.75" hidden="1" customHeight="1">
      <c r="A90" s="125" t="str">
        <f t="shared" si="13"/>
        <v>LIC95PAYABLE - CUSTODIAN FEE - CUSTODY</v>
      </c>
      <c r="B90" s="125">
        <f>+IFERROR(VLOOKUP(L90,'DB Mapping'!A:D,4,0),0)</f>
        <v>0</v>
      </c>
      <c r="C90" s="125">
        <f>+IFERROR(VLOOKUP(L90,'DB Mapping'!A:C,3,0),0)</f>
        <v>0</v>
      </c>
      <c r="D90" s="125" t="str">
        <f t="shared" si="14"/>
        <v>LIC950</v>
      </c>
      <c r="E90" s="125" t="str">
        <f t="shared" si="15"/>
        <v>LIC950</v>
      </c>
      <c r="F90" s="211" t="s">
        <v>19</v>
      </c>
      <c r="G90" s="127" t="s">
        <v>453</v>
      </c>
      <c r="L90" s="212" t="s">
        <v>1723</v>
      </c>
      <c r="N90" s="212" t="s">
        <v>1705</v>
      </c>
      <c r="Z90" s="213">
        <v>0</v>
      </c>
      <c r="AA90" s="213">
        <v>3231</v>
      </c>
      <c r="AB90" s="152">
        <f t="shared" si="12"/>
        <v>-3.2309999999999999E-4</v>
      </c>
      <c r="AC90" s="122" t="s">
        <v>1837</v>
      </c>
    </row>
    <row r="91" spans="1:29" ht="12.75" hidden="1" customHeight="1">
      <c r="A91" s="125" t="str">
        <f t="shared" si="13"/>
        <v>LIC95PAYABLE - TDS ON EXPENSES</v>
      </c>
      <c r="B91" s="125">
        <f>+IFERROR(VLOOKUP(L91,'DB Mapping'!A:D,4,0),0)</f>
        <v>0</v>
      </c>
      <c r="C91" s="125">
        <f>+IFERROR(VLOOKUP(L91,'DB Mapping'!A:C,3,0),0)</f>
        <v>0</v>
      </c>
      <c r="D91" s="125" t="str">
        <f t="shared" si="14"/>
        <v>LIC950</v>
      </c>
      <c r="E91" s="125" t="str">
        <f t="shared" si="15"/>
        <v>LIC950</v>
      </c>
      <c r="F91" s="211" t="s">
        <v>19</v>
      </c>
      <c r="G91" s="127" t="s">
        <v>453</v>
      </c>
      <c r="L91" s="212" t="s">
        <v>1724</v>
      </c>
      <c r="N91" s="212" t="s">
        <v>1629</v>
      </c>
      <c r="Z91" s="213">
        <v>0</v>
      </c>
      <c r="AA91" s="213">
        <v>7989.29</v>
      </c>
      <c r="AB91" s="152">
        <f t="shared" si="12"/>
        <v>-7.9892899999999998E-4</v>
      </c>
      <c r="AC91" s="122" t="s">
        <v>1837</v>
      </c>
    </row>
    <row r="92" spans="1:29" ht="12.75" hidden="1" customHeight="1">
      <c r="A92" s="125" t="str">
        <f t="shared" si="13"/>
        <v>LIC95PAYABLE - TRUSTEE FEES</v>
      </c>
      <c r="B92" s="125">
        <f>+IFERROR(VLOOKUP(L92,'DB Mapping'!A:D,4,0),0)</f>
        <v>0</v>
      </c>
      <c r="C92" s="125">
        <f>+IFERROR(VLOOKUP(L92,'DB Mapping'!A:C,3,0),0)</f>
        <v>0</v>
      </c>
      <c r="D92" s="125" t="str">
        <f t="shared" si="14"/>
        <v>LIC950</v>
      </c>
      <c r="E92" s="125" t="str">
        <f t="shared" si="15"/>
        <v>LIC950</v>
      </c>
      <c r="F92" s="211" t="s">
        <v>19</v>
      </c>
      <c r="G92" s="127" t="s">
        <v>453</v>
      </c>
      <c r="L92" s="212" t="s">
        <v>1725</v>
      </c>
      <c r="N92" s="212" t="s">
        <v>1784</v>
      </c>
      <c r="Z92" s="213">
        <v>0</v>
      </c>
      <c r="AA92" s="213">
        <v>225.23</v>
      </c>
      <c r="AB92" s="152">
        <f t="shared" si="12"/>
        <v>-2.2522999999999998E-5</v>
      </c>
      <c r="AC92" s="122" t="s">
        <v>1837</v>
      </c>
    </row>
    <row r="93" spans="1:29" ht="12.75" hidden="1" customHeight="1">
      <c r="A93" s="125" t="str">
        <f t="shared" si="13"/>
        <v>LIC95TRANSACTION CHARGES PAYABLE - UNIT CAPITAL</v>
      </c>
      <c r="B93" s="125">
        <f>+IFERROR(VLOOKUP(L93,'DB Mapping'!A:D,4,0),0)</f>
        <v>0</v>
      </c>
      <c r="C93" s="125">
        <f>+IFERROR(VLOOKUP(L93,'DB Mapping'!A:C,3,0),0)</f>
        <v>0</v>
      </c>
      <c r="D93" s="125" t="str">
        <f t="shared" si="14"/>
        <v>LIC950</v>
      </c>
      <c r="E93" s="125" t="str">
        <f t="shared" si="15"/>
        <v>LIC950</v>
      </c>
      <c r="F93" s="211" t="s">
        <v>19</v>
      </c>
      <c r="G93" s="127" t="s">
        <v>453</v>
      </c>
      <c r="L93" s="212" t="s">
        <v>1726</v>
      </c>
      <c r="N93" s="212" t="s">
        <v>1630</v>
      </c>
      <c r="Z93" s="213">
        <v>0</v>
      </c>
      <c r="AA93" s="213">
        <v>1000</v>
      </c>
      <c r="AB93" s="152">
        <f t="shared" si="12"/>
        <v>-1E-4</v>
      </c>
      <c r="AC93" s="122" t="s">
        <v>1837</v>
      </c>
    </row>
    <row r="94" spans="1:29" ht="12.75" hidden="1" customHeight="1">
      <c r="A94" s="125" t="str">
        <f t="shared" si="13"/>
        <v>LIC95PAYABLE - TDS ON WORKS CONTRACT</v>
      </c>
      <c r="B94" s="125">
        <f>+IFERROR(VLOOKUP(L94,'DB Mapping'!A:D,4,0),0)</f>
        <v>0</v>
      </c>
      <c r="C94" s="125">
        <f>+IFERROR(VLOOKUP(L94,'DB Mapping'!A:C,3,0),0)</f>
        <v>0</v>
      </c>
      <c r="D94" s="125" t="str">
        <f t="shared" si="14"/>
        <v>LIC950</v>
      </c>
      <c r="E94" s="125" t="str">
        <f t="shared" si="15"/>
        <v>LIC950</v>
      </c>
      <c r="F94" s="211" t="s">
        <v>19</v>
      </c>
      <c r="G94" s="127" t="s">
        <v>453</v>
      </c>
      <c r="L94" s="212" t="s">
        <v>1795</v>
      </c>
      <c r="N94" s="212" t="s">
        <v>1631</v>
      </c>
      <c r="Z94" s="213">
        <v>0</v>
      </c>
      <c r="AA94" s="213">
        <v>0</v>
      </c>
      <c r="AB94" s="152">
        <f t="shared" si="12"/>
        <v>0</v>
      </c>
      <c r="AC94" s="122" t="s">
        <v>1837</v>
      </c>
    </row>
    <row r="95" spans="1:29" ht="12.75" hidden="1" customHeight="1">
      <c r="A95" s="125" t="str">
        <f t="shared" si="13"/>
        <v>LIC95PAYABLE - MANAGEMENT FEES</v>
      </c>
      <c r="B95" s="125">
        <f>+IFERROR(VLOOKUP(L95,'DB Mapping'!A:D,4,0),0)</f>
        <v>0</v>
      </c>
      <c r="C95" s="125">
        <f>+IFERROR(VLOOKUP(L95,'DB Mapping'!A:C,3,0),0)</f>
        <v>0</v>
      </c>
      <c r="D95" s="125" t="str">
        <f t="shared" si="14"/>
        <v>LIC950</v>
      </c>
      <c r="E95" s="125" t="str">
        <f t="shared" si="15"/>
        <v>LIC950</v>
      </c>
      <c r="F95" s="211" t="s">
        <v>19</v>
      </c>
      <c r="G95" s="127" t="s">
        <v>453</v>
      </c>
      <c r="L95" s="212" t="s">
        <v>1727</v>
      </c>
      <c r="N95" s="212" t="s">
        <v>1632</v>
      </c>
      <c r="Z95" s="213">
        <v>0</v>
      </c>
      <c r="AA95" s="213">
        <v>266471.39</v>
      </c>
      <c r="AB95" s="152">
        <f t="shared" si="12"/>
        <v>-2.6647139E-2</v>
      </c>
      <c r="AC95" s="122" t="s">
        <v>1837</v>
      </c>
    </row>
    <row r="96" spans="1:29" ht="12.75" hidden="1" customHeight="1">
      <c r="A96" s="125" t="str">
        <f t="shared" si="13"/>
        <v>LIC95PAYABLE - OTHER FEES</v>
      </c>
      <c r="B96" s="125">
        <f>+IFERROR(VLOOKUP(L96,'DB Mapping'!A:D,4,0),0)</f>
        <v>0</v>
      </c>
      <c r="C96" s="125">
        <f>+IFERROR(VLOOKUP(L96,'DB Mapping'!A:C,3,0),0)</f>
        <v>0</v>
      </c>
      <c r="D96" s="125" t="str">
        <f t="shared" si="14"/>
        <v>LIC950</v>
      </c>
      <c r="E96" s="125" t="str">
        <f t="shared" si="15"/>
        <v>LIC950</v>
      </c>
      <c r="F96" s="211" t="s">
        <v>19</v>
      </c>
      <c r="G96" s="127" t="s">
        <v>453</v>
      </c>
      <c r="L96" s="212" t="s">
        <v>1728</v>
      </c>
      <c r="N96" s="212" t="s">
        <v>1633</v>
      </c>
      <c r="Z96" s="213">
        <v>0</v>
      </c>
      <c r="AA96" s="213">
        <v>68932.91</v>
      </c>
      <c r="AB96" s="152">
        <f t="shared" si="12"/>
        <v>-6.8932910000000002E-3</v>
      </c>
      <c r="AC96" s="122" t="s">
        <v>1837</v>
      </c>
    </row>
    <row r="97" spans="1:29" ht="12.75" hidden="1" customHeight="1">
      <c r="A97" s="125" t="str">
        <f t="shared" si="13"/>
        <v>LIC95TDS PAYABLE ON UNIT REDEMPTIONS - NRI</v>
      </c>
      <c r="B97" s="125">
        <f>+IFERROR(VLOOKUP(L97,'DB Mapping'!A:D,4,0),0)</f>
        <v>0</v>
      </c>
      <c r="C97" s="125">
        <f>+IFERROR(VLOOKUP(L97,'DB Mapping'!A:C,3,0),0)</f>
        <v>0</v>
      </c>
      <c r="D97" s="125" t="str">
        <f t="shared" si="14"/>
        <v>LIC950</v>
      </c>
      <c r="E97" s="125" t="str">
        <f t="shared" si="15"/>
        <v>LIC950</v>
      </c>
      <c r="F97" s="211" t="s">
        <v>19</v>
      </c>
      <c r="G97" s="127" t="s">
        <v>453</v>
      </c>
      <c r="L97" s="212" t="s">
        <v>1796</v>
      </c>
      <c r="N97" s="212" t="s">
        <v>1797</v>
      </c>
      <c r="Z97" s="213">
        <v>0</v>
      </c>
      <c r="AA97" s="213">
        <v>86</v>
      </c>
      <c r="AB97" s="152">
        <f t="shared" si="12"/>
        <v>-8.6000000000000007E-6</v>
      </c>
      <c r="AC97" s="122" t="s">
        <v>1837</v>
      </c>
    </row>
    <row r="98" spans="1:29" ht="12.75" hidden="1" customHeight="1">
      <c r="A98" s="125" t="str">
        <f t="shared" si="13"/>
        <v>LIC95PAYABLE - OTHER FEES (SELLING &amp; DISTRIBUTION)</v>
      </c>
      <c r="B98" s="125">
        <f>+IFERROR(VLOOKUP(L98,'DB Mapping'!A:D,4,0),0)</f>
        <v>0</v>
      </c>
      <c r="C98" s="125">
        <f>+IFERROR(VLOOKUP(L98,'DB Mapping'!A:C,3,0),0)</f>
        <v>0</v>
      </c>
      <c r="D98" s="125" t="str">
        <f t="shared" si="14"/>
        <v>LIC950</v>
      </c>
      <c r="E98" s="125" t="str">
        <f t="shared" si="15"/>
        <v>LIC950</v>
      </c>
      <c r="F98" s="211" t="s">
        <v>19</v>
      </c>
      <c r="G98" s="127" t="s">
        <v>453</v>
      </c>
      <c r="L98" s="212" t="s">
        <v>1729</v>
      </c>
      <c r="N98" s="212" t="s">
        <v>1634</v>
      </c>
      <c r="Z98" s="213">
        <v>0</v>
      </c>
      <c r="AA98" s="213">
        <v>0.01</v>
      </c>
      <c r="AB98" s="152">
        <f t="shared" si="12"/>
        <v>-1.0000000000000001E-9</v>
      </c>
      <c r="AC98" s="122" t="s">
        <v>1837</v>
      </c>
    </row>
    <row r="99" spans="1:29" ht="12.75" hidden="1" customHeight="1">
      <c r="A99" s="125" t="str">
        <f t="shared" si="13"/>
        <v>LIC95PAYABLE - SERVICE TAX</v>
      </c>
      <c r="B99" s="125">
        <f>+IFERROR(VLOOKUP(L99,'DB Mapping'!A:D,4,0),0)</f>
        <v>0</v>
      </c>
      <c r="C99" s="125">
        <f>+IFERROR(VLOOKUP(L99,'DB Mapping'!A:C,3,0),0)</f>
        <v>0</v>
      </c>
      <c r="D99" s="125" t="str">
        <f t="shared" si="14"/>
        <v>LIC950</v>
      </c>
      <c r="E99" s="125" t="str">
        <f t="shared" si="15"/>
        <v>LIC950</v>
      </c>
      <c r="F99" s="211" t="s">
        <v>19</v>
      </c>
      <c r="G99" s="127" t="s">
        <v>453</v>
      </c>
      <c r="L99" s="212" t="s">
        <v>1730</v>
      </c>
      <c r="N99" s="212" t="s">
        <v>1635</v>
      </c>
      <c r="Z99" s="213">
        <v>0</v>
      </c>
      <c r="AA99" s="213">
        <v>0</v>
      </c>
      <c r="AB99" s="152">
        <f t="shared" si="12"/>
        <v>0</v>
      </c>
      <c r="AC99" s="122" t="s">
        <v>1837</v>
      </c>
    </row>
    <row r="100" spans="1:29" ht="12.75" hidden="1" customHeight="1">
      <c r="A100" s="125" t="str">
        <f t="shared" si="13"/>
        <v>LIC95PAYABLE - TRAIL BROKERAGE</v>
      </c>
      <c r="B100" s="125">
        <f>+IFERROR(VLOOKUP(L100,'DB Mapping'!A:D,4,0),0)</f>
        <v>0</v>
      </c>
      <c r="C100" s="125">
        <f>+IFERROR(VLOOKUP(L100,'DB Mapping'!A:C,3,0),0)</f>
        <v>0</v>
      </c>
      <c r="D100" s="125" t="str">
        <f t="shared" si="14"/>
        <v>LIC950</v>
      </c>
      <c r="E100" s="125" t="str">
        <f t="shared" si="15"/>
        <v>LIC950</v>
      </c>
      <c r="F100" s="211" t="s">
        <v>19</v>
      </c>
      <c r="G100" s="127" t="s">
        <v>453</v>
      </c>
      <c r="L100" s="212" t="s">
        <v>1731</v>
      </c>
      <c r="N100" s="212" t="s">
        <v>1636</v>
      </c>
      <c r="Z100" s="213">
        <v>0</v>
      </c>
      <c r="AA100" s="213">
        <v>854.06</v>
      </c>
      <c r="AB100" s="152">
        <f t="shared" si="12"/>
        <v>-8.5405999999999988E-5</v>
      </c>
      <c r="AC100" s="122" t="s">
        <v>1837</v>
      </c>
    </row>
    <row r="101" spans="1:29" ht="12.75" hidden="1" customHeight="1">
      <c r="A101" s="125" t="str">
        <f t="shared" si="13"/>
        <v>LIC95PAYABLE - INTERNAL AUDIT FEES</v>
      </c>
      <c r="B101" s="125">
        <f>+IFERROR(VLOOKUP(L101,'DB Mapping'!A:D,4,0),0)</f>
        <v>0</v>
      </c>
      <c r="C101" s="125">
        <f>+IFERROR(VLOOKUP(L101,'DB Mapping'!A:C,3,0),0)</f>
        <v>0</v>
      </c>
      <c r="D101" s="125" t="str">
        <f t="shared" si="14"/>
        <v>LIC950</v>
      </c>
      <c r="E101" s="125" t="str">
        <f t="shared" si="15"/>
        <v>LIC950</v>
      </c>
      <c r="F101" s="211" t="s">
        <v>19</v>
      </c>
      <c r="G101" s="127" t="s">
        <v>453</v>
      </c>
      <c r="L101" s="212" t="s">
        <v>1732</v>
      </c>
      <c r="N101" s="212" t="s">
        <v>1637</v>
      </c>
      <c r="Z101" s="213">
        <v>0</v>
      </c>
      <c r="AA101" s="213">
        <v>318.39</v>
      </c>
      <c r="AB101" s="152">
        <f t="shared" si="12"/>
        <v>-3.1838999999999998E-5</v>
      </c>
      <c r="AC101" s="122" t="s">
        <v>1837</v>
      </c>
    </row>
    <row r="102" spans="1:29" ht="12.75" hidden="1" customHeight="1">
      <c r="A102" s="125" t="str">
        <f t="shared" si="13"/>
        <v>LIC95CGST EXPS PAYABLE ON MFEES</v>
      </c>
      <c r="B102" s="125">
        <f>+IFERROR(VLOOKUP(L102,'DB Mapping'!A:D,4,0),0)</f>
        <v>0</v>
      </c>
      <c r="C102" s="125">
        <f>+IFERROR(VLOOKUP(L102,'DB Mapping'!A:C,3,0),0)</f>
        <v>0</v>
      </c>
      <c r="D102" s="125" t="str">
        <f t="shared" si="14"/>
        <v>LIC950</v>
      </c>
      <c r="E102" s="125" t="str">
        <f t="shared" si="15"/>
        <v>LIC950</v>
      </c>
      <c r="F102" s="211" t="s">
        <v>19</v>
      </c>
      <c r="G102" s="127" t="s">
        <v>453</v>
      </c>
      <c r="L102" s="212" t="s">
        <v>1733</v>
      </c>
      <c r="N102" s="212" t="s">
        <v>1638</v>
      </c>
      <c r="Z102" s="213">
        <v>0</v>
      </c>
      <c r="AA102" s="213">
        <v>24471.91</v>
      </c>
      <c r="AB102" s="152">
        <f t="shared" si="12"/>
        <v>-2.447191E-3</v>
      </c>
      <c r="AC102" s="122" t="s">
        <v>1837</v>
      </c>
    </row>
    <row r="103" spans="1:29" ht="12.75" hidden="1" customHeight="1">
      <c r="A103" s="125" t="str">
        <f t="shared" si="13"/>
        <v>LIC95SGST EXPS PAYABLE ON MFEES</v>
      </c>
      <c r="B103" s="125">
        <f>+IFERROR(VLOOKUP(L103,'DB Mapping'!A:D,4,0),0)</f>
        <v>0</v>
      </c>
      <c r="C103" s="125">
        <f>+IFERROR(VLOOKUP(L103,'DB Mapping'!A:C,3,0),0)</f>
        <v>0</v>
      </c>
      <c r="D103" s="125" t="str">
        <f t="shared" si="14"/>
        <v>LIC950</v>
      </c>
      <c r="E103" s="125" t="str">
        <f t="shared" si="15"/>
        <v>LIC950</v>
      </c>
      <c r="F103" s="211" t="s">
        <v>19</v>
      </c>
      <c r="G103" s="127" t="s">
        <v>453</v>
      </c>
      <c r="L103" s="212" t="s">
        <v>1734</v>
      </c>
      <c r="N103" s="212" t="s">
        <v>1639</v>
      </c>
      <c r="Z103" s="213">
        <v>0</v>
      </c>
      <c r="AA103" s="213">
        <v>24471.91</v>
      </c>
      <c r="AB103" s="152">
        <f t="shared" si="12"/>
        <v>-2.447191E-3</v>
      </c>
      <c r="AC103" s="122" t="s">
        <v>1837</v>
      </c>
    </row>
    <row r="104" spans="1:29" ht="12.75" hidden="1" customHeight="1">
      <c r="A104" s="125" t="str">
        <f t="shared" si="13"/>
        <v>LIC95PAYABLE - INVESTOR EDUCATION FUND</v>
      </c>
      <c r="B104" s="125">
        <f>+IFERROR(VLOOKUP(L104,'DB Mapping'!A:D,4,0),0)</f>
        <v>0</v>
      </c>
      <c r="C104" s="125">
        <f>+IFERROR(VLOOKUP(L104,'DB Mapping'!A:C,3,0),0)</f>
        <v>0</v>
      </c>
      <c r="D104" s="125" t="str">
        <f t="shared" si="14"/>
        <v>LIC950</v>
      </c>
      <c r="E104" s="125" t="str">
        <f t="shared" si="15"/>
        <v>LIC950</v>
      </c>
      <c r="F104" s="211" t="s">
        <v>19</v>
      </c>
      <c r="G104" s="127" t="s">
        <v>453</v>
      </c>
      <c r="L104" s="212" t="s">
        <v>1735</v>
      </c>
      <c r="N104" s="212" t="s">
        <v>1640</v>
      </c>
      <c r="Z104" s="213">
        <v>0</v>
      </c>
      <c r="AA104" s="213">
        <v>1031.8900000000001</v>
      </c>
      <c r="AB104" s="152">
        <f t="shared" si="12"/>
        <v>-1.03189E-4</v>
      </c>
      <c r="AC104" s="122" t="s">
        <v>1837</v>
      </c>
    </row>
    <row r="105" spans="1:29" ht="12.75" hidden="1" customHeight="1">
      <c r="A105" s="125" t="str">
        <f t="shared" si="13"/>
        <v>LIC95PAYABLE - SWITCH OUT</v>
      </c>
      <c r="B105" s="125">
        <f>+IFERROR(VLOOKUP(L105,'DB Mapping'!A:D,4,0),0)</f>
        <v>0</v>
      </c>
      <c r="C105" s="125">
        <f>+IFERROR(VLOOKUP(L105,'DB Mapping'!A:C,3,0),0)</f>
        <v>0</v>
      </c>
      <c r="D105" s="125" t="str">
        <f t="shared" si="14"/>
        <v>LIC950</v>
      </c>
      <c r="E105" s="125" t="str">
        <f t="shared" si="15"/>
        <v>LIC950</v>
      </c>
      <c r="F105" s="211" t="s">
        <v>19</v>
      </c>
      <c r="G105" s="127" t="s">
        <v>453</v>
      </c>
      <c r="L105" s="212" t="s">
        <v>1736</v>
      </c>
      <c r="N105" s="212" t="s">
        <v>1785</v>
      </c>
      <c r="Z105" s="213">
        <v>0</v>
      </c>
      <c r="AA105" s="213">
        <v>0</v>
      </c>
      <c r="AB105" s="152">
        <f t="shared" si="12"/>
        <v>0</v>
      </c>
      <c r="AC105" s="122" t="s">
        <v>1837</v>
      </c>
    </row>
    <row r="106" spans="1:29" ht="12.75" hidden="1" customHeight="1">
      <c r="A106" s="125" t="str">
        <f t="shared" si="13"/>
        <v>LIC95PAYABLE - INVESTOR EDUCATION FUND - AMFI</v>
      </c>
      <c r="B106" s="125">
        <f>+IFERROR(VLOOKUP(L106,'DB Mapping'!A:D,4,0),0)</f>
        <v>0</v>
      </c>
      <c r="C106" s="125">
        <f>+IFERROR(VLOOKUP(L106,'DB Mapping'!A:C,3,0),0)</f>
        <v>0</v>
      </c>
      <c r="D106" s="125" t="str">
        <f t="shared" si="14"/>
        <v>LIC950</v>
      </c>
      <c r="E106" s="125" t="str">
        <f t="shared" si="15"/>
        <v>LIC950</v>
      </c>
      <c r="F106" s="211" t="s">
        <v>19</v>
      </c>
      <c r="G106" s="127" t="s">
        <v>453</v>
      </c>
      <c r="L106" s="212" t="s">
        <v>1737</v>
      </c>
      <c r="N106" s="212" t="s">
        <v>1641</v>
      </c>
      <c r="Z106" s="213">
        <v>0</v>
      </c>
      <c r="AA106" s="213">
        <v>1031.8900000000001</v>
      </c>
      <c r="AB106" s="152">
        <f t="shared" si="12"/>
        <v>-1.03189E-4</v>
      </c>
      <c r="AC106" s="122" t="s">
        <v>1837</v>
      </c>
    </row>
    <row r="107" spans="1:29" ht="12.75" hidden="1" customHeight="1">
      <c r="A107" s="125" t="str">
        <f t="shared" si="13"/>
        <v>LIC95Other Liability – CGST on Brokerage A/C</v>
      </c>
      <c r="B107" s="125">
        <f>+IFERROR(VLOOKUP(L107,'DB Mapping'!A:D,4,0),0)</f>
        <v>0</v>
      </c>
      <c r="C107" s="125">
        <f>+IFERROR(VLOOKUP(L107,'DB Mapping'!A:C,3,0),0)</f>
        <v>0</v>
      </c>
      <c r="D107" s="125" t="str">
        <f t="shared" si="14"/>
        <v>LIC950</v>
      </c>
      <c r="E107" s="125" t="str">
        <f t="shared" si="15"/>
        <v>LIC950</v>
      </c>
      <c r="F107" s="211" t="s">
        <v>19</v>
      </c>
      <c r="G107" s="127" t="s">
        <v>453</v>
      </c>
      <c r="L107" s="212" t="s">
        <v>1738</v>
      </c>
      <c r="N107" s="212" t="s">
        <v>1642</v>
      </c>
      <c r="Z107" s="213">
        <v>0</v>
      </c>
      <c r="AA107" s="213">
        <v>0</v>
      </c>
      <c r="AB107" s="152">
        <f t="shared" si="12"/>
        <v>0</v>
      </c>
      <c r="AC107" s="122" t="s">
        <v>1837</v>
      </c>
    </row>
    <row r="108" spans="1:29" ht="12.75" hidden="1" customHeight="1">
      <c r="A108" s="125" t="str">
        <f t="shared" si="13"/>
        <v>LIC95Other Liability – SGST on Brokerage A/C</v>
      </c>
      <c r="B108" s="125">
        <f>+IFERROR(VLOOKUP(L108,'DB Mapping'!A:D,4,0),0)</f>
        <v>0</v>
      </c>
      <c r="C108" s="125">
        <f>+IFERROR(VLOOKUP(L108,'DB Mapping'!A:C,3,0),0)</f>
        <v>0</v>
      </c>
      <c r="D108" s="125" t="str">
        <f t="shared" si="14"/>
        <v>LIC950</v>
      </c>
      <c r="E108" s="125" t="str">
        <f t="shared" si="15"/>
        <v>LIC950</v>
      </c>
      <c r="F108" s="211" t="s">
        <v>19</v>
      </c>
      <c r="G108" s="127" t="s">
        <v>453</v>
      </c>
      <c r="L108" s="212" t="s">
        <v>1739</v>
      </c>
      <c r="N108" s="212" t="s">
        <v>1643</v>
      </c>
      <c r="Z108" s="213">
        <v>0</v>
      </c>
      <c r="AA108" s="213">
        <v>0</v>
      </c>
      <c r="AB108" s="152">
        <f t="shared" si="12"/>
        <v>0</v>
      </c>
      <c r="AC108" s="122" t="s">
        <v>1837</v>
      </c>
    </row>
    <row r="109" spans="1:29" ht="12.75" hidden="1" customHeight="1">
      <c r="A109" s="125" t="str">
        <f t="shared" si="13"/>
        <v>LIC95Other Liability – IGST on Brokerage A/C</v>
      </c>
      <c r="B109" s="125">
        <f>+IFERROR(VLOOKUP(L109,'DB Mapping'!A:D,4,0),0)</f>
        <v>0</v>
      </c>
      <c r="C109" s="125">
        <f>+IFERROR(VLOOKUP(L109,'DB Mapping'!A:C,3,0),0)</f>
        <v>0</v>
      </c>
      <c r="D109" s="125" t="str">
        <f t="shared" si="14"/>
        <v>LIC950</v>
      </c>
      <c r="E109" s="125" t="str">
        <f t="shared" si="15"/>
        <v>LIC950</v>
      </c>
      <c r="F109" s="211" t="s">
        <v>19</v>
      </c>
      <c r="G109" s="127" t="s">
        <v>453</v>
      </c>
      <c r="L109" s="212" t="s">
        <v>1740</v>
      </c>
      <c r="N109" s="212" t="s">
        <v>1644</v>
      </c>
      <c r="Z109" s="213">
        <v>0</v>
      </c>
      <c r="AA109" s="213">
        <v>0</v>
      </c>
      <c r="AB109" s="152">
        <f t="shared" si="12"/>
        <v>0</v>
      </c>
      <c r="AC109" s="122" t="s">
        <v>1837</v>
      </c>
    </row>
    <row r="110" spans="1:29" ht="12.75" hidden="1" customHeight="1">
      <c r="A110" s="125" t="str">
        <f t="shared" si="13"/>
        <v>LIC95DIVIDEND DISTRIBUTION PAYABLE</v>
      </c>
      <c r="B110" s="125">
        <f>+IFERROR(VLOOKUP(L110,'DB Mapping'!A:D,4,0),0)</f>
        <v>0</v>
      </c>
      <c r="C110" s="125">
        <f>+IFERROR(VLOOKUP(L110,'DB Mapping'!A:C,3,0),0)</f>
        <v>0</v>
      </c>
      <c r="D110" s="125" t="str">
        <f t="shared" si="14"/>
        <v>LIC950</v>
      </c>
      <c r="E110" s="125" t="str">
        <f t="shared" si="15"/>
        <v>LIC950</v>
      </c>
      <c r="F110" s="211" t="s">
        <v>19</v>
      </c>
      <c r="G110" s="127" t="s">
        <v>453</v>
      </c>
      <c r="L110" s="212" t="s">
        <v>1741</v>
      </c>
      <c r="N110" s="212" t="s">
        <v>1645</v>
      </c>
      <c r="Z110" s="213">
        <v>0</v>
      </c>
      <c r="AA110" s="213">
        <v>0</v>
      </c>
      <c r="AB110" s="152">
        <f t="shared" si="12"/>
        <v>0</v>
      </c>
      <c r="AC110" s="122" t="s">
        <v>1837</v>
      </c>
    </row>
    <row r="111" spans="1:29" ht="12.75" hidden="1" customHeight="1">
      <c r="A111" s="125" t="str">
        <f t="shared" si="13"/>
        <v>LIC95CLIENT SERVICING FEES PAYABLE</v>
      </c>
      <c r="B111" s="125">
        <f>+IFERROR(VLOOKUP(L111,'DB Mapping'!A:D,4,0),0)</f>
        <v>0</v>
      </c>
      <c r="C111" s="125">
        <f>+IFERROR(VLOOKUP(L111,'DB Mapping'!A:C,3,0),0)</f>
        <v>0</v>
      </c>
      <c r="D111" s="125" t="str">
        <f t="shared" si="14"/>
        <v>LIC950</v>
      </c>
      <c r="E111" s="125" t="str">
        <f t="shared" si="15"/>
        <v>LIC950</v>
      </c>
      <c r="F111" s="211" t="s">
        <v>19</v>
      </c>
      <c r="G111" s="127" t="s">
        <v>453</v>
      </c>
      <c r="L111" s="212" t="s">
        <v>1742</v>
      </c>
      <c r="N111" s="212" t="s">
        <v>1646</v>
      </c>
      <c r="Z111" s="213">
        <v>0</v>
      </c>
      <c r="AA111" s="213">
        <v>25586.240000000002</v>
      </c>
      <c r="AB111" s="152">
        <f t="shared" si="12"/>
        <v>-2.5586240000000002E-3</v>
      </c>
      <c r="AC111" s="122" t="s">
        <v>1837</v>
      </c>
    </row>
    <row r="112" spans="1:29" ht="12.75" hidden="1" customHeight="1">
      <c r="A112" s="125" t="str">
        <f t="shared" si="13"/>
        <v>LIC95PROVISION FOR OPERATING EXPENSES</v>
      </c>
      <c r="B112" s="125">
        <f>+IFERROR(VLOOKUP(L112,'DB Mapping'!A:D,4,0),0)</f>
        <v>0</v>
      </c>
      <c r="C112" s="125">
        <f>+IFERROR(VLOOKUP(L112,'DB Mapping'!A:C,3,0),0)</f>
        <v>0</v>
      </c>
      <c r="D112" s="125" t="str">
        <f t="shared" si="14"/>
        <v>LIC950</v>
      </c>
      <c r="E112" s="125" t="str">
        <f t="shared" si="15"/>
        <v>LIC950</v>
      </c>
      <c r="F112" s="211" t="s">
        <v>19</v>
      </c>
      <c r="G112" s="127" t="s">
        <v>453</v>
      </c>
      <c r="L112" s="212" t="s">
        <v>1798</v>
      </c>
      <c r="N112" s="212" t="s">
        <v>1647</v>
      </c>
      <c r="Z112" s="213">
        <v>0</v>
      </c>
      <c r="AA112" s="213">
        <v>0</v>
      </c>
      <c r="AB112" s="152">
        <f t="shared" si="12"/>
        <v>0</v>
      </c>
      <c r="AC112" s="122" t="s">
        <v>1837</v>
      </c>
    </row>
    <row r="113" spans="1:29" ht="12.75" hidden="1" customHeight="1">
      <c r="A113" s="125" t="str">
        <f t="shared" si="13"/>
        <v>LIC95PROVISION FOR WITHHOLDING BROKERAGE</v>
      </c>
      <c r="B113" s="125">
        <f>+IFERROR(VLOOKUP(L113,'DB Mapping'!A:D,4,0),0)</f>
        <v>0</v>
      </c>
      <c r="C113" s="125">
        <f>+IFERROR(VLOOKUP(L113,'DB Mapping'!A:C,3,0),0)</f>
        <v>0</v>
      </c>
      <c r="D113" s="125" t="str">
        <f t="shared" si="14"/>
        <v>LIC950</v>
      </c>
      <c r="E113" s="125" t="str">
        <f t="shared" si="15"/>
        <v>LIC950</v>
      </c>
      <c r="F113" s="211" t="s">
        <v>19</v>
      </c>
      <c r="G113" s="127" t="s">
        <v>453</v>
      </c>
      <c r="L113" s="212" t="s">
        <v>1743</v>
      </c>
      <c r="N113" s="212" t="s">
        <v>1648</v>
      </c>
      <c r="Z113" s="213">
        <v>0</v>
      </c>
      <c r="AA113" s="213">
        <v>70820.87</v>
      </c>
      <c r="AB113" s="152">
        <f t="shared" si="12"/>
        <v>-7.0820869999999999E-3</v>
      </c>
      <c r="AC113" s="122" t="s">
        <v>1837</v>
      </c>
    </row>
    <row r="114" spans="1:29" ht="12.75" hidden="1" customHeight="1">
      <c r="A114" s="125" t="str">
        <f t="shared" si="13"/>
        <v>LIC95PROV FOR WITHHOLDING BROKERAGE FY 2016-17</v>
      </c>
      <c r="B114" s="125">
        <f>+IFERROR(VLOOKUP(L114,'DB Mapping'!A:D,4,0),0)</f>
        <v>0</v>
      </c>
      <c r="C114" s="125">
        <f>+IFERROR(VLOOKUP(L114,'DB Mapping'!A:C,3,0),0)</f>
        <v>0</v>
      </c>
      <c r="D114" s="125" t="str">
        <f t="shared" si="14"/>
        <v>LIC950</v>
      </c>
      <c r="E114" s="125" t="str">
        <f t="shared" si="15"/>
        <v>LIC950</v>
      </c>
      <c r="F114" s="211" t="s">
        <v>19</v>
      </c>
      <c r="G114" s="127" t="s">
        <v>453</v>
      </c>
      <c r="L114" s="212" t="s">
        <v>1744</v>
      </c>
      <c r="N114" s="212" t="s">
        <v>1649</v>
      </c>
      <c r="Z114" s="213">
        <v>0</v>
      </c>
      <c r="AA114" s="213">
        <v>0</v>
      </c>
      <c r="AB114" s="152">
        <f t="shared" si="12"/>
        <v>0</v>
      </c>
      <c r="AC114" s="122" t="s">
        <v>1837</v>
      </c>
    </row>
    <row r="115" spans="1:29" ht="12.75" hidden="1" customHeight="1">
      <c r="A115" s="125" t="str">
        <f t="shared" si="13"/>
        <v>LIC95PAYABLE - WITHHOLD BROKERAGE</v>
      </c>
      <c r="B115" s="125">
        <f>+IFERROR(VLOOKUP(L115,'DB Mapping'!A:D,4,0),0)</f>
        <v>0</v>
      </c>
      <c r="C115" s="125">
        <f>+IFERROR(VLOOKUP(L115,'DB Mapping'!A:C,3,0),0)</f>
        <v>0</v>
      </c>
      <c r="D115" s="125" t="str">
        <f t="shared" si="14"/>
        <v>LIC950</v>
      </c>
      <c r="E115" s="125" t="str">
        <f t="shared" si="15"/>
        <v>LIC950</v>
      </c>
      <c r="F115" s="211" t="s">
        <v>19</v>
      </c>
      <c r="G115" s="127" t="s">
        <v>453</v>
      </c>
      <c r="L115" s="212" t="s">
        <v>1745</v>
      </c>
      <c r="N115" s="212" t="s">
        <v>1650</v>
      </c>
      <c r="Z115" s="213">
        <v>0</v>
      </c>
      <c r="AA115" s="213">
        <v>33990.379999999997</v>
      </c>
      <c r="AB115" s="152">
        <f t="shared" si="12"/>
        <v>-3.3990379999999996E-3</v>
      </c>
      <c r="AC115" s="122" t="s">
        <v>1837</v>
      </c>
    </row>
    <row r="116" spans="1:29" ht="12.75" hidden="1" customHeight="1">
      <c r="A116" s="125" t="str">
        <f t="shared" si="13"/>
        <v>LIC95UNIT CAPITAL - REGULAR DIV</v>
      </c>
      <c r="B116" s="125">
        <f>+IFERROR(VLOOKUP(L116,'DB Mapping'!A:D,4,0),0)</f>
        <v>0</v>
      </c>
      <c r="C116" s="125" t="str">
        <f>+IFERROR(VLOOKUP(L116,'DB Mapping'!A:C,3,0),0)</f>
        <v>Unit Capital</v>
      </c>
      <c r="D116" s="125" t="str">
        <f t="shared" si="14"/>
        <v>LIC950</v>
      </c>
      <c r="E116" s="125" t="str">
        <f t="shared" si="15"/>
        <v>LIC95Unit Capital</v>
      </c>
      <c r="F116" s="211" t="s">
        <v>19</v>
      </c>
      <c r="G116" s="127" t="s">
        <v>453</v>
      </c>
      <c r="L116" s="212" t="s">
        <v>1746</v>
      </c>
      <c r="N116" s="212" t="s">
        <v>1651</v>
      </c>
      <c r="Z116" s="213">
        <v>0</v>
      </c>
      <c r="AA116" s="213">
        <v>25763555.289999999</v>
      </c>
      <c r="AB116" s="152">
        <f t="shared" si="12"/>
        <v>-2.5763555289999998</v>
      </c>
      <c r="AC116" s="122" t="s">
        <v>1837</v>
      </c>
    </row>
    <row r="117" spans="1:29" ht="12.75" hidden="1" customHeight="1">
      <c r="A117" s="125" t="str">
        <f t="shared" si="13"/>
        <v>LIC95UNIT CAPITAL - REGULAR GROWTH</v>
      </c>
      <c r="B117" s="125">
        <f>+IFERROR(VLOOKUP(L117,'DB Mapping'!A:D,4,0),0)</f>
        <v>0</v>
      </c>
      <c r="C117" s="125" t="str">
        <f>+IFERROR(VLOOKUP(L117,'DB Mapping'!A:C,3,0),0)</f>
        <v>Unit Capital</v>
      </c>
      <c r="D117" s="125" t="str">
        <f t="shared" si="14"/>
        <v>LIC950</v>
      </c>
      <c r="E117" s="125" t="str">
        <f t="shared" si="15"/>
        <v>LIC95Unit Capital</v>
      </c>
      <c r="F117" s="211" t="s">
        <v>19</v>
      </c>
      <c r="G117" s="127" t="s">
        <v>453</v>
      </c>
      <c r="L117" s="212" t="s">
        <v>1747</v>
      </c>
      <c r="N117" s="212" t="s">
        <v>1652</v>
      </c>
      <c r="Z117" s="213">
        <v>0</v>
      </c>
      <c r="AA117" s="213">
        <v>40611880.880000003</v>
      </c>
      <c r="AB117" s="152">
        <f t="shared" si="12"/>
        <v>-4.0611880880000006</v>
      </c>
      <c r="AC117" s="122" t="s">
        <v>1837</v>
      </c>
    </row>
    <row r="118" spans="1:29" ht="12.75" hidden="1" customHeight="1">
      <c r="A118" s="125" t="str">
        <f t="shared" si="13"/>
        <v>LIC95UNIT CAPITAL - DIRECT DIVIDEND</v>
      </c>
      <c r="B118" s="125">
        <f>+IFERROR(VLOOKUP(L118,'DB Mapping'!A:D,4,0),0)</f>
        <v>0</v>
      </c>
      <c r="C118" s="125" t="str">
        <f>+IFERROR(VLOOKUP(L118,'DB Mapping'!A:C,3,0),0)</f>
        <v>Unit Capital</v>
      </c>
      <c r="D118" s="125" t="str">
        <f t="shared" si="14"/>
        <v>LIC950</v>
      </c>
      <c r="E118" s="125" t="str">
        <f t="shared" si="15"/>
        <v>LIC95Unit Capital</v>
      </c>
      <c r="F118" s="211" t="s">
        <v>19</v>
      </c>
      <c r="G118" s="127" t="s">
        <v>453</v>
      </c>
      <c r="L118" s="212" t="s">
        <v>1748</v>
      </c>
      <c r="N118" s="212" t="s">
        <v>1653</v>
      </c>
      <c r="Z118" s="213">
        <v>0</v>
      </c>
      <c r="AA118" s="213">
        <v>4573393.83</v>
      </c>
      <c r="AB118" s="152">
        <f t="shared" si="12"/>
        <v>-0.45733938299999999</v>
      </c>
      <c r="AC118" s="122" t="s">
        <v>1837</v>
      </c>
    </row>
    <row r="119" spans="1:29" ht="12.75" hidden="1" customHeight="1">
      <c r="A119" s="125" t="str">
        <f t="shared" si="13"/>
        <v>LIC95UNIT CAPITAL - DIRECT GROWTH</v>
      </c>
      <c r="B119" s="125">
        <f>+IFERROR(VLOOKUP(L119,'DB Mapping'!A:D,4,0),0)</f>
        <v>0</v>
      </c>
      <c r="C119" s="125" t="str">
        <f>+IFERROR(VLOOKUP(L119,'DB Mapping'!A:C,3,0),0)</f>
        <v>Unit Capital</v>
      </c>
      <c r="D119" s="125" t="str">
        <f t="shared" si="14"/>
        <v>LIC950</v>
      </c>
      <c r="E119" s="125" t="str">
        <f t="shared" si="15"/>
        <v>LIC95Unit Capital</v>
      </c>
      <c r="F119" s="211" t="s">
        <v>19</v>
      </c>
      <c r="G119" s="127" t="s">
        <v>453</v>
      </c>
      <c r="L119" s="212" t="s">
        <v>1749</v>
      </c>
      <c r="N119" s="212" t="s">
        <v>1654</v>
      </c>
      <c r="Z119" s="213">
        <v>0</v>
      </c>
      <c r="AA119" s="213">
        <v>2720552.66</v>
      </c>
      <c r="AB119" s="152">
        <f t="shared" si="12"/>
        <v>-0.27205526600000002</v>
      </c>
      <c r="AC119" s="122" t="s">
        <v>1837</v>
      </c>
    </row>
    <row r="120" spans="1:29" ht="12.75" hidden="1" customHeight="1">
      <c r="A120" s="125" t="str">
        <f t="shared" si="13"/>
        <v>LIC95UPR - REGULAR DIV</v>
      </c>
      <c r="B120" s="125">
        <f>+IFERROR(VLOOKUP(L120,'DB Mapping'!A:D,4,0),0)</f>
        <v>0</v>
      </c>
      <c r="C120" s="125">
        <f>+IFERROR(VLOOKUP(L120,'DB Mapping'!A:C,3,0),0)</f>
        <v>0</v>
      </c>
      <c r="D120" s="125" t="str">
        <f t="shared" si="14"/>
        <v>LIC950</v>
      </c>
      <c r="E120" s="125" t="str">
        <f t="shared" si="15"/>
        <v>LIC950</v>
      </c>
      <c r="F120" s="211" t="s">
        <v>19</v>
      </c>
      <c r="G120" s="127" t="s">
        <v>453</v>
      </c>
      <c r="L120" s="212" t="s">
        <v>1799</v>
      </c>
      <c r="N120" s="212" t="s">
        <v>1800</v>
      </c>
      <c r="Z120" s="213">
        <v>503.21</v>
      </c>
      <c r="AA120" s="213">
        <v>0</v>
      </c>
      <c r="AB120" s="152">
        <f t="shared" si="12"/>
        <v>5.0320999999999995E-5</v>
      </c>
      <c r="AC120" s="122" t="s">
        <v>1837</v>
      </c>
    </row>
    <row r="121" spans="1:29" ht="12.75" hidden="1" customHeight="1">
      <c r="A121" s="125" t="str">
        <f t="shared" si="13"/>
        <v>LIC95UPR - REGULAR GROWTH</v>
      </c>
      <c r="B121" s="125">
        <f>+IFERROR(VLOOKUP(L121,'DB Mapping'!A:D,4,0),0)</f>
        <v>0</v>
      </c>
      <c r="C121" s="125">
        <f>+IFERROR(VLOOKUP(L121,'DB Mapping'!A:C,3,0),0)</f>
        <v>0</v>
      </c>
      <c r="D121" s="125" t="str">
        <f t="shared" si="14"/>
        <v>LIC950</v>
      </c>
      <c r="E121" s="125" t="str">
        <f t="shared" si="15"/>
        <v>LIC950</v>
      </c>
      <c r="F121" s="211" t="s">
        <v>19</v>
      </c>
      <c r="G121" s="127" t="s">
        <v>453</v>
      </c>
      <c r="L121" s="212" t="s">
        <v>1750</v>
      </c>
      <c r="N121" s="212" t="s">
        <v>1655</v>
      </c>
      <c r="Z121" s="213">
        <v>18598324.670000002</v>
      </c>
      <c r="AA121" s="213">
        <v>0</v>
      </c>
      <c r="AB121" s="152">
        <f t="shared" si="12"/>
        <v>1.8598324670000002</v>
      </c>
      <c r="AC121" s="122" t="s">
        <v>1837</v>
      </c>
    </row>
    <row r="122" spans="1:29" ht="12.75" hidden="1" customHeight="1">
      <c r="A122" s="125" t="str">
        <f t="shared" si="13"/>
        <v>LIC95UPR - DIRECT DIVIDEND</v>
      </c>
      <c r="B122" s="125">
        <f>+IFERROR(VLOOKUP(L122,'DB Mapping'!A:D,4,0),0)</f>
        <v>0</v>
      </c>
      <c r="C122" s="125">
        <f>+IFERROR(VLOOKUP(L122,'DB Mapping'!A:C,3,0),0)</f>
        <v>0</v>
      </c>
      <c r="D122" s="125" t="str">
        <f t="shared" si="14"/>
        <v>LIC950</v>
      </c>
      <c r="E122" s="125" t="str">
        <f t="shared" si="15"/>
        <v>LIC950</v>
      </c>
      <c r="F122" s="211" t="s">
        <v>19</v>
      </c>
      <c r="G122" s="127" t="s">
        <v>453</v>
      </c>
      <c r="L122" s="212" t="s">
        <v>1801</v>
      </c>
      <c r="N122" s="212" t="s">
        <v>1802</v>
      </c>
      <c r="Z122" s="213">
        <v>0</v>
      </c>
      <c r="AA122" s="213">
        <v>0.14000000000000001</v>
      </c>
      <c r="AB122" s="152">
        <f t="shared" si="12"/>
        <v>-1.4000000000000001E-8</v>
      </c>
      <c r="AC122" s="122" t="s">
        <v>1837</v>
      </c>
    </row>
    <row r="123" spans="1:29" ht="12.75" hidden="1" customHeight="1">
      <c r="A123" s="125" t="str">
        <f t="shared" si="13"/>
        <v>LIC95UPR - DIRECT GROWTH</v>
      </c>
      <c r="B123" s="125">
        <f>+IFERROR(VLOOKUP(L123,'DB Mapping'!A:D,4,0),0)</f>
        <v>0</v>
      </c>
      <c r="C123" s="125">
        <f>+IFERROR(VLOOKUP(L123,'DB Mapping'!A:C,3,0),0)</f>
        <v>0</v>
      </c>
      <c r="D123" s="125" t="str">
        <f t="shared" si="14"/>
        <v>LIC950</v>
      </c>
      <c r="E123" s="125" t="str">
        <f t="shared" si="15"/>
        <v>LIC950</v>
      </c>
      <c r="F123" s="211" t="s">
        <v>19</v>
      </c>
      <c r="G123" s="127" t="s">
        <v>453</v>
      </c>
      <c r="L123" s="212" t="s">
        <v>1751</v>
      </c>
      <c r="N123" s="212" t="s">
        <v>1786</v>
      </c>
      <c r="Z123" s="213">
        <v>11237899.439999999</v>
      </c>
      <c r="AA123" s="213">
        <v>0</v>
      </c>
      <c r="AB123" s="152">
        <f t="shared" si="12"/>
        <v>1.1237899439999999</v>
      </c>
      <c r="AC123" s="122" t="s">
        <v>1837</v>
      </c>
    </row>
    <row r="124" spans="1:29" ht="12.75" hidden="1" customHeight="1">
      <c r="A124" s="125" t="str">
        <f t="shared" si="13"/>
        <v>LIC95RESERVES &amp; SURPLUS</v>
      </c>
      <c r="B124" s="125">
        <f>+IFERROR(VLOOKUP(L124,'DB Mapping'!A:D,4,0),0)</f>
        <v>0</v>
      </c>
      <c r="C124" s="125">
        <f>+IFERROR(VLOOKUP(L124,'DB Mapping'!A:C,3,0),0)</f>
        <v>0</v>
      </c>
      <c r="D124" s="125" t="str">
        <f t="shared" si="14"/>
        <v>LIC950</v>
      </c>
      <c r="E124" s="125" t="str">
        <f t="shared" si="15"/>
        <v>LIC950</v>
      </c>
      <c r="F124" s="211" t="s">
        <v>19</v>
      </c>
      <c r="G124" s="127" t="s">
        <v>453</v>
      </c>
      <c r="L124" s="212" t="s">
        <v>1752</v>
      </c>
      <c r="N124" s="212" t="s">
        <v>1656</v>
      </c>
      <c r="Z124" s="213">
        <v>0</v>
      </c>
      <c r="AA124" s="213">
        <v>70593533.480000004</v>
      </c>
      <c r="AB124" s="152">
        <f t="shared" si="12"/>
        <v>-7.0593533480000001</v>
      </c>
      <c r="AC124" s="122" t="s">
        <v>1837</v>
      </c>
    </row>
    <row r="125" spans="1:29" ht="12.75" hidden="1" customHeight="1">
      <c r="A125" s="125" t="str">
        <f t="shared" si="13"/>
        <v>LIC95DIV DISTRIBUTION - REGULAR DIV</v>
      </c>
      <c r="B125" s="125">
        <f>+IFERROR(VLOOKUP(L125,'DB Mapping'!A:D,4,0),0)</f>
        <v>0</v>
      </c>
      <c r="C125" s="125">
        <f>+IFERROR(VLOOKUP(L125,'DB Mapping'!A:C,3,0),0)</f>
        <v>0</v>
      </c>
      <c r="D125" s="125" t="str">
        <f t="shared" si="14"/>
        <v>LIC950</v>
      </c>
      <c r="E125" s="125" t="str">
        <f t="shared" si="15"/>
        <v>LIC950</v>
      </c>
      <c r="F125" s="211" t="s">
        <v>19</v>
      </c>
      <c r="G125" s="127" t="s">
        <v>453</v>
      </c>
      <c r="L125" s="212" t="s">
        <v>1753</v>
      </c>
      <c r="N125" s="212" t="s">
        <v>1657</v>
      </c>
      <c r="Z125" s="213">
        <v>863701.22</v>
      </c>
      <c r="AA125" s="213">
        <v>0</v>
      </c>
      <c r="AB125" s="152">
        <f t="shared" si="12"/>
        <v>8.6370121999999994E-2</v>
      </c>
      <c r="AC125" s="122" t="s">
        <v>1837</v>
      </c>
    </row>
    <row r="126" spans="1:29" ht="12.75" hidden="1" customHeight="1">
      <c r="A126" s="125" t="str">
        <f t="shared" si="13"/>
        <v>LIC95DIV DISTRIBUTION - DIRECT DIVIDEND</v>
      </c>
      <c r="B126" s="125">
        <f>+IFERROR(VLOOKUP(L126,'DB Mapping'!A:D,4,0),0)</f>
        <v>0</v>
      </c>
      <c r="C126" s="125">
        <f>+IFERROR(VLOOKUP(L126,'DB Mapping'!A:C,3,0),0)</f>
        <v>0</v>
      </c>
      <c r="D126" s="125" t="str">
        <f t="shared" si="14"/>
        <v>LIC950</v>
      </c>
      <c r="E126" s="125" t="str">
        <f t="shared" si="15"/>
        <v>LIC950</v>
      </c>
      <c r="F126" s="211" t="s">
        <v>19</v>
      </c>
      <c r="G126" s="127" t="s">
        <v>453</v>
      </c>
      <c r="L126" s="212" t="s">
        <v>1754</v>
      </c>
      <c r="N126" s="212" t="s">
        <v>1658</v>
      </c>
      <c r="Z126" s="213">
        <v>147168.64000000001</v>
      </c>
      <c r="AA126" s="213">
        <v>0</v>
      </c>
      <c r="AB126" s="152">
        <f t="shared" si="12"/>
        <v>1.4716864000000001E-2</v>
      </c>
      <c r="AC126" s="122" t="s">
        <v>1837</v>
      </c>
    </row>
    <row r="127" spans="1:29" ht="12.75" hidden="1" customHeight="1">
      <c r="A127" s="125" t="str">
        <f t="shared" si="13"/>
        <v>LIC95DDT - REGULAR DIV</v>
      </c>
      <c r="B127" s="125">
        <f>+IFERROR(VLOOKUP(L127,'DB Mapping'!A:D,4,0),0)</f>
        <v>0</v>
      </c>
      <c r="C127" s="125">
        <f>+IFERROR(VLOOKUP(L127,'DB Mapping'!A:C,3,0),0)</f>
        <v>0</v>
      </c>
      <c r="D127" s="125" t="str">
        <f t="shared" si="14"/>
        <v>LIC950</v>
      </c>
      <c r="E127" s="125" t="str">
        <f t="shared" si="15"/>
        <v>LIC950</v>
      </c>
      <c r="F127" s="211" t="s">
        <v>19</v>
      </c>
      <c r="G127" s="127" t="s">
        <v>453</v>
      </c>
      <c r="L127" s="212" t="s">
        <v>1755</v>
      </c>
      <c r="N127" s="212" t="s">
        <v>1659</v>
      </c>
      <c r="Z127" s="213">
        <v>334094</v>
      </c>
      <c r="AA127" s="213">
        <v>0</v>
      </c>
      <c r="AB127" s="152">
        <f t="shared" si="12"/>
        <v>3.3409399999999999E-2</v>
      </c>
      <c r="AC127" s="122" t="s">
        <v>1837</v>
      </c>
    </row>
    <row r="128" spans="1:29" ht="12.75" hidden="1" customHeight="1">
      <c r="A128" s="125" t="str">
        <f t="shared" si="13"/>
        <v>LIC95DDT - DIRECT DIVIDEND</v>
      </c>
      <c r="B128" s="125">
        <f>+IFERROR(VLOOKUP(L128,'DB Mapping'!A:D,4,0),0)</f>
        <v>0</v>
      </c>
      <c r="C128" s="125">
        <f>+IFERROR(VLOOKUP(L128,'DB Mapping'!A:C,3,0),0)</f>
        <v>0</v>
      </c>
      <c r="D128" s="125" t="str">
        <f t="shared" si="14"/>
        <v>LIC950</v>
      </c>
      <c r="E128" s="125" t="str">
        <f t="shared" si="15"/>
        <v>LIC950</v>
      </c>
      <c r="F128" s="211" t="s">
        <v>19</v>
      </c>
      <c r="G128" s="127" t="s">
        <v>453</v>
      </c>
      <c r="L128" s="212" t="s">
        <v>1756</v>
      </c>
      <c r="N128" s="212" t="s">
        <v>1660</v>
      </c>
      <c r="Z128" s="213">
        <v>68791</v>
      </c>
      <c r="AA128" s="213">
        <v>0</v>
      </c>
      <c r="AB128" s="152">
        <f t="shared" si="12"/>
        <v>6.8791E-3</v>
      </c>
      <c r="AC128" s="122" t="s">
        <v>1837</v>
      </c>
    </row>
    <row r="129" spans="1:29" ht="12.75" hidden="1" customHeight="1">
      <c r="A129" s="125" t="str">
        <f t="shared" si="13"/>
        <v>LIC95INTEREST INCOME - REPO TRANSACTIONS</v>
      </c>
      <c r="B129" s="125">
        <f>+IFERROR(VLOOKUP(L129,'DB Mapping'!A:D,4,0),0)</f>
        <v>0</v>
      </c>
      <c r="C129" s="125">
        <f>+IFERROR(VLOOKUP(L129,'DB Mapping'!A:C,3,0),0)</f>
        <v>5.2</v>
      </c>
      <c r="D129" s="125" t="str">
        <f t="shared" si="14"/>
        <v>LIC950</v>
      </c>
      <c r="E129" s="125" t="str">
        <f t="shared" si="15"/>
        <v>LIC955.2</v>
      </c>
      <c r="F129" s="211" t="s">
        <v>19</v>
      </c>
      <c r="G129" s="127" t="s">
        <v>453</v>
      </c>
      <c r="L129" s="212" t="s">
        <v>1803</v>
      </c>
      <c r="N129" s="212" t="s">
        <v>1665</v>
      </c>
      <c r="Z129" s="213">
        <v>0</v>
      </c>
      <c r="AA129" s="213">
        <v>70822.289999999994</v>
      </c>
      <c r="AB129" s="152">
        <f t="shared" si="12"/>
        <v>-7.0822289999999998E-3</v>
      </c>
      <c r="AC129" s="122" t="s">
        <v>1837</v>
      </c>
    </row>
    <row r="130" spans="1:29" ht="12.75" hidden="1" customHeight="1">
      <c r="A130" s="125" t="str">
        <f t="shared" si="13"/>
        <v>LIC95AMORTISATION INCOME - CBLO</v>
      </c>
      <c r="B130" s="125">
        <f>+IFERROR(VLOOKUP(L130,'DB Mapping'!A:D,4,0),0)</f>
        <v>0</v>
      </c>
      <c r="C130" s="125">
        <f>+IFERROR(VLOOKUP(L130,'DB Mapping'!A:C,3,0),0)</f>
        <v>5.2</v>
      </c>
      <c r="D130" s="125" t="str">
        <f t="shared" si="14"/>
        <v>LIC950</v>
      </c>
      <c r="E130" s="125" t="str">
        <f t="shared" si="15"/>
        <v>LIC955.2</v>
      </c>
      <c r="F130" s="211" t="s">
        <v>19</v>
      </c>
      <c r="G130" s="127" t="s">
        <v>453</v>
      </c>
      <c r="L130" s="212" t="s">
        <v>1757</v>
      </c>
      <c r="N130" s="212" t="s">
        <v>1667</v>
      </c>
      <c r="Z130" s="213">
        <v>0</v>
      </c>
      <c r="AA130" s="213">
        <v>6398101.0499999998</v>
      </c>
      <c r="AB130" s="152">
        <f t="shared" si="12"/>
        <v>-0.63981010500000002</v>
      </c>
      <c r="AC130" s="122" t="s">
        <v>1837</v>
      </c>
    </row>
    <row r="131" spans="1:29" ht="12.75" hidden="1" customHeight="1">
      <c r="A131" s="125" t="str">
        <f t="shared" si="13"/>
        <v>LIC95MISCELLEANOUS INCOME</v>
      </c>
      <c r="B131" s="125">
        <f>+IFERROR(VLOOKUP(L131,'DB Mapping'!A:D,4,0),0)</f>
        <v>0</v>
      </c>
      <c r="C131" s="125">
        <f>+IFERROR(VLOOKUP(L131,'DB Mapping'!A:C,3,0),0)</f>
        <v>5.5</v>
      </c>
      <c r="D131" s="125" t="str">
        <f t="shared" si="14"/>
        <v>LIC950</v>
      </c>
      <c r="E131" s="125" t="str">
        <f t="shared" si="15"/>
        <v>LIC955.5</v>
      </c>
      <c r="F131" s="211" t="s">
        <v>19</v>
      </c>
      <c r="G131" s="127" t="s">
        <v>453</v>
      </c>
      <c r="L131" s="212" t="s">
        <v>1759</v>
      </c>
      <c r="N131" s="212" t="s">
        <v>1668</v>
      </c>
      <c r="Z131" s="213">
        <v>77.040000000000006</v>
      </c>
      <c r="AA131" s="213">
        <v>0</v>
      </c>
      <c r="AB131" s="152">
        <f t="shared" si="12"/>
        <v>7.7040000000000011E-6</v>
      </c>
      <c r="AC131" s="122" t="s">
        <v>1837</v>
      </c>
    </row>
    <row r="132" spans="1:29" ht="12.75" customHeight="1">
      <c r="A132" s="125" t="str">
        <f t="shared" si="13"/>
        <v>LIC95MANAGEMENT FEES</v>
      </c>
      <c r="B132" s="125">
        <f>+IFERROR(VLOOKUP(L132,'DB Mapping'!A:D,4,0),0)</f>
        <v>6.1</v>
      </c>
      <c r="C132" s="125">
        <f>+IFERROR(VLOOKUP(L132,'DB Mapping'!A:C,3,0),0)</f>
        <v>6.3</v>
      </c>
      <c r="D132" s="125" t="str">
        <f t="shared" si="14"/>
        <v>LIC956.1</v>
      </c>
      <c r="E132" s="125" t="str">
        <f t="shared" si="15"/>
        <v>LIC956.3</v>
      </c>
      <c r="F132" s="211" t="s">
        <v>19</v>
      </c>
      <c r="G132" s="127" t="s">
        <v>453</v>
      </c>
      <c r="L132" s="212" t="s">
        <v>1760</v>
      </c>
      <c r="N132" s="212" t="s">
        <v>1702</v>
      </c>
      <c r="Z132" s="213">
        <v>271910.13</v>
      </c>
      <c r="AA132" s="213">
        <v>0</v>
      </c>
      <c r="AB132" s="152">
        <f t="shared" si="12"/>
        <v>2.7191013E-2</v>
      </c>
      <c r="AC132" s="122" t="s">
        <v>1837</v>
      </c>
    </row>
    <row r="133" spans="1:29" ht="12.75" hidden="1" customHeight="1">
      <c r="A133" s="125" t="str">
        <f t="shared" si="13"/>
        <v>LIC95OTHER FEES</v>
      </c>
      <c r="B133" s="125">
        <f>+IFERROR(VLOOKUP(L133,'DB Mapping'!A:D,4,0),0)</f>
        <v>0</v>
      </c>
      <c r="C133" s="125">
        <f>+IFERROR(VLOOKUP(L133,'DB Mapping'!A:C,3,0),0)</f>
        <v>6.3</v>
      </c>
      <c r="D133" s="125" t="str">
        <f t="shared" si="14"/>
        <v>LIC950</v>
      </c>
      <c r="E133" s="125" t="str">
        <f t="shared" si="15"/>
        <v>LIC956.3</v>
      </c>
      <c r="F133" s="211" t="s">
        <v>19</v>
      </c>
      <c r="G133" s="127" t="s">
        <v>453</v>
      </c>
      <c r="L133" s="212" t="s">
        <v>1761</v>
      </c>
      <c r="N133" s="212" t="s">
        <v>1788</v>
      </c>
      <c r="Z133" s="213">
        <v>0</v>
      </c>
      <c r="AA133" s="213">
        <v>265327.87</v>
      </c>
      <c r="AB133" s="152">
        <f t="shared" si="12"/>
        <v>-2.6532786999999999E-2</v>
      </c>
      <c r="AC133" s="122" t="s">
        <v>1837</v>
      </c>
    </row>
    <row r="134" spans="1:29" ht="12.75" hidden="1" customHeight="1">
      <c r="A134" s="125" t="str">
        <f t="shared" si="13"/>
        <v>LIC95OTHER FEES - REGULAR DIV</v>
      </c>
      <c r="B134" s="125">
        <f>+IFERROR(VLOOKUP(L134,'DB Mapping'!A:D,4,0),0)</f>
        <v>0</v>
      </c>
      <c r="C134" s="125">
        <f>+IFERROR(VLOOKUP(L134,'DB Mapping'!A:C,3,0),0)</f>
        <v>6.3</v>
      </c>
      <c r="D134" s="125" t="str">
        <f t="shared" si="14"/>
        <v>LIC950</v>
      </c>
      <c r="E134" s="125" t="str">
        <f t="shared" si="15"/>
        <v>LIC956.3</v>
      </c>
      <c r="F134" s="211" t="s">
        <v>19</v>
      </c>
      <c r="G134" s="127" t="s">
        <v>453</v>
      </c>
      <c r="L134" s="212" t="s">
        <v>1762</v>
      </c>
      <c r="N134" s="212" t="s">
        <v>1676</v>
      </c>
      <c r="Z134" s="213">
        <v>61195.63</v>
      </c>
      <c r="AA134" s="213">
        <v>0</v>
      </c>
      <c r="AB134" s="152">
        <f t="shared" si="12"/>
        <v>6.1195629999999997E-3</v>
      </c>
      <c r="AC134" s="122" t="s">
        <v>1837</v>
      </c>
    </row>
    <row r="135" spans="1:29" ht="12.75" hidden="1" customHeight="1">
      <c r="A135" s="125" t="str">
        <f t="shared" si="13"/>
        <v>LIC95OTHER FEES - REGULAR GROWTH</v>
      </c>
      <c r="B135" s="125">
        <f>+IFERROR(VLOOKUP(L135,'DB Mapping'!A:D,4,0),0)</f>
        <v>0</v>
      </c>
      <c r="C135" s="125">
        <f>+IFERROR(VLOOKUP(L135,'DB Mapping'!A:C,3,0),0)</f>
        <v>6.3</v>
      </c>
      <c r="D135" s="125" t="str">
        <f t="shared" si="14"/>
        <v>LIC950</v>
      </c>
      <c r="E135" s="125" t="str">
        <f t="shared" si="15"/>
        <v>LIC956.3</v>
      </c>
      <c r="F135" s="211" t="s">
        <v>19</v>
      </c>
      <c r="G135" s="127" t="s">
        <v>453</v>
      </c>
      <c r="L135" s="212" t="s">
        <v>1763</v>
      </c>
      <c r="N135" s="212" t="s">
        <v>1677</v>
      </c>
      <c r="Z135" s="213">
        <v>216020.89</v>
      </c>
      <c r="AA135" s="213">
        <v>0</v>
      </c>
      <c r="AB135" s="152">
        <f t="shared" si="12"/>
        <v>2.1602089000000001E-2</v>
      </c>
      <c r="AC135" s="122" t="s">
        <v>1837</v>
      </c>
    </row>
    <row r="136" spans="1:29" ht="12.75" hidden="1" customHeight="1">
      <c r="A136" s="125" t="str">
        <f t="shared" si="13"/>
        <v>LIC95OTHER FEES - DIRECT DIVIDEND</v>
      </c>
      <c r="B136" s="125">
        <f>+IFERROR(VLOOKUP(L136,'DB Mapping'!A:D,4,0),0)</f>
        <v>0</v>
      </c>
      <c r="C136" s="125">
        <f>+IFERROR(VLOOKUP(L136,'DB Mapping'!A:C,3,0),0)</f>
        <v>6.3</v>
      </c>
      <c r="D136" s="125" t="str">
        <f t="shared" si="14"/>
        <v>LIC950</v>
      </c>
      <c r="E136" s="125" t="str">
        <f t="shared" si="15"/>
        <v>LIC956.3</v>
      </c>
      <c r="F136" s="211" t="s">
        <v>19</v>
      </c>
      <c r="G136" s="127" t="s">
        <v>453</v>
      </c>
      <c r="L136" s="212" t="s">
        <v>1764</v>
      </c>
      <c r="N136" s="212" t="s">
        <v>1678</v>
      </c>
      <c r="Z136" s="213">
        <v>10704.98</v>
      </c>
      <c r="AA136" s="213">
        <v>0</v>
      </c>
      <c r="AB136" s="152">
        <f t="shared" si="12"/>
        <v>1.070498E-3</v>
      </c>
      <c r="AC136" s="122" t="s">
        <v>1837</v>
      </c>
    </row>
    <row r="137" spans="1:29" ht="12.75" hidden="1" customHeight="1">
      <c r="A137" s="125" t="str">
        <f t="shared" si="13"/>
        <v>LIC95OTHER FEES - DIRECT GROWTH</v>
      </c>
      <c r="B137" s="125">
        <f>+IFERROR(VLOOKUP(L137,'DB Mapping'!A:D,4,0),0)</f>
        <v>0</v>
      </c>
      <c r="C137" s="125">
        <f>+IFERROR(VLOOKUP(L137,'DB Mapping'!A:C,3,0),0)</f>
        <v>6.3</v>
      </c>
      <c r="D137" s="125" t="str">
        <f t="shared" si="14"/>
        <v>LIC950</v>
      </c>
      <c r="E137" s="125" t="str">
        <f t="shared" si="15"/>
        <v>LIC956.3</v>
      </c>
      <c r="F137" s="211" t="s">
        <v>19</v>
      </c>
      <c r="G137" s="127" t="s">
        <v>453</v>
      </c>
      <c r="L137" s="212" t="s">
        <v>1765</v>
      </c>
      <c r="N137" s="212" t="s">
        <v>1679</v>
      </c>
      <c r="Z137" s="213">
        <v>43108.31</v>
      </c>
      <c r="AA137" s="213">
        <v>0</v>
      </c>
      <c r="AB137" s="152">
        <f t="shared" si="12"/>
        <v>4.3108309999999993E-3</v>
      </c>
      <c r="AC137" s="122" t="s">
        <v>1837</v>
      </c>
    </row>
    <row r="138" spans="1:29" ht="12.75" hidden="1" customHeight="1">
      <c r="A138" s="125" t="str">
        <f t="shared" si="13"/>
        <v>LIC95OTHER FEES (SELLING &amp; DISTRIBUTION)</v>
      </c>
      <c r="B138" s="125">
        <f>+IFERROR(VLOOKUP(L138,'DB Mapping'!A:D,4,0),0)</f>
        <v>0</v>
      </c>
      <c r="C138" s="125">
        <f>+IFERROR(VLOOKUP(L138,'DB Mapping'!A:C,3,0),0)</f>
        <v>6.3</v>
      </c>
      <c r="D138" s="125" t="str">
        <f t="shared" si="14"/>
        <v>LIC950</v>
      </c>
      <c r="E138" s="125" t="str">
        <f t="shared" si="15"/>
        <v>LIC956.3</v>
      </c>
      <c r="F138" s="211" t="s">
        <v>19</v>
      </c>
      <c r="G138" s="127" t="s">
        <v>453</v>
      </c>
      <c r="L138" s="212" t="s">
        <v>1766</v>
      </c>
      <c r="N138" s="212" t="s">
        <v>1680</v>
      </c>
      <c r="Z138" s="213">
        <v>0</v>
      </c>
      <c r="AA138" s="213">
        <v>0</v>
      </c>
      <c r="AB138" s="152">
        <f t="shared" ref="AB138:AB201" si="16">+(Z138-AA138)/10000000</f>
        <v>0</v>
      </c>
      <c r="AC138" s="122" t="s">
        <v>1837</v>
      </c>
    </row>
    <row r="139" spans="1:29" ht="12.75" customHeight="1">
      <c r="A139" s="125" t="str">
        <f t="shared" ref="A139:A153" si="17">+F139&amp;N139</f>
        <v>LIC95CGST EXPENSE</v>
      </c>
      <c r="B139" s="125">
        <f>+IFERROR(VLOOKUP(L139,'DB Mapping'!A:D,4,0),0)</f>
        <v>6.1</v>
      </c>
      <c r="C139" s="125">
        <f>+IFERROR(VLOOKUP(L139,'DB Mapping'!A:C,3,0),0)</f>
        <v>6.3</v>
      </c>
      <c r="D139" s="125" t="str">
        <f t="shared" ref="D139:D153" si="18">+F139&amp;B139</f>
        <v>LIC956.1</v>
      </c>
      <c r="E139" s="125" t="str">
        <f t="shared" ref="E139:E153" si="19">+F139&amp;C139</f>
        <v>LIC956.3</v>
      </c>
      <c r="F139" s="211" t="s">
        <v>19</v>
      </c>
      <c r="G139" s="127" t="s">
        <v>453</v>
      </c>
      <c r="L139" s="212" t="s">
        <v>1767</v>
      </c>
      <c r="N139" s="212" t="s">
        <v>1682</v>
      </c>
      <c r="Z139" s="213">
        <v>24471.91</v>
      </c>
      <c r="AA139" s="213">
        <v>0</v>
      </c>
      <c r="AB139" s="152">
        <f t="shared" si="16"/>
        <v>2.447191E-3</v>
      </c>
      <c r="AC139" s="122" t="s">
        <v>1837</v>
      </c>
    </row>
    <row r="140" spans="1:29" ht="12.75" customHeight="1">
      <c r="A140" s="125" t="str">
        <f t="shared" si="17"/>
        <v>LIC95SGST EXPENSE</v>
      </c>
      <c r="B140" s="125">
        <f>+IFERROR(VLOOKUP(L140,'DB Mapping'!A:D,4,0),0)</f>
        <v>6.1</v>
      </c>
      <c r="C140" s="125">
        <f>+IFERROR(VLOOKUP(L140,'DB Mapping'!A:C,3,0),0)</f>
        <v>6.3</v>
      </c>
      <c r="D140" s="125" t="str">
        <f t="shared" si="18"/>
        <v>LIC956.1</v>
      </c>
      <c r="E140" s="125" t="str">
        <f t="shared" si="19"/>
        <v>LIC956.3</v>
      </c>
      <c r="F140" s="211" t="s">
        <v>19</v>
      </c>
      <c r="G140" s="127" t="s">
        <v>453</v>
      </c>
      <c r="L140" s="212" t="s">
        <v>1768</v>
      </c>
      <c r="N140" s="212" t="s">
        <v>1683</v>
      </c>
      <c r="Z140" s="213">
        <v>24471.91</v>
      </c>
      <c r="AA140" s="213">
        <v>0</v>
      </c>
      <c r="AB140" s="152">
        <f t="shared" si="16"/>
        <v>2.447191E-3</v>
      </c>
      <c r="AC140" s="122" t="s">
        <v>1837</v>
      </c>
    </row>
    <row r="141" spans="1:29" ht="12.75" hidden="1" customHeight="1">
      <c r="A141" s="125" t="str">
        <f t="shared" si="17"/>
        <v>LIC95EXPENSE ALLOCATION ACCOUNT</v>
      </c>
      <c r="B141" s="125">
        <f>+IFERROR(VLOOKUP(L141,'DB Mapping'!A:D,4,0),0)</f>
        <v>0</v>
      </c>
      <c r="C141" s="125">
        <f>+IFERROR(VLOOKUP(L141,'DB Mapping'!A:C,3,0),0)</f>
        <v>6.3</v>
      </c>
      <c r="D141" s="125" t="str">
        <f t="shared" si="18"/>
        <v>LIC950</v>
      </c>
      <c r="E141" s="125" t="str">
        <f t="shared" si="19"/>
        <v>LIC956.3</v>
      </c>
      <c r="F141" s="211" t="s">
        <v>19</v>
      </c>
      <c r="G141" s="127" t="s">
        <v>453</v>
      </c>
      <c r="L141" s="212" t="s">
        <v>1769</v>
      </c>
      <c r="N141" s="212" t="s">
        <v>1684</v>
      </c>
      <c r="Z141" s="213">
        <v>0</v>
      </c>
      <c r="AA141" s="213">
        <v>68932.94</v>
      </c>
      <c r="AB141" s="152">
        <f t="shared" si="16"/>
        <v>-6.8932940000000003E-3</v>
      </c>
      <c r="AC141" s="122" t="s">
        <v>1837</v>
      </c>
    </row>
    <row r="142" spans="1:29" ht="12.75" hidden="1" customHeight="1">
      <c r="A142" s="125" t="str">
        <f t="shared" si="17"/>
        <v>LIC95R&amp;T - OTHER CHARGES</v>
      </c>
      <c r="B142" s="125">
        <f>+IFERROR(VLOOKUP(L142,'DB Mapping'!A:D,4,0),0)</f>
        <v>0</v>
      </c>
      <c r="C142" s="125">
        <f>+IFERROR(VLOOKUP(L142,'DB Mapping'!A:C,3,0),0)</f>
        <v>6.3</v>
      </c>
      <c r="D142" s="125" t="str">
        <f t="shared" si="18"/>
        <v>LIC950</v>
      </c>
      <c r="E142" s="125" t="str">
        <f t="shared" si="19"/>
        <v>LIC956.3</v>
      </c>
      <c r="F142" s="211" t="s">
        <v>19</v>
      </c>
      <c r="G142" s="127" t="s">
        <v>453</v>
      </c>
      <c r="L142" s="212" t="s">
        <v>1770</v>
      </c>
      <c r="N142" s="212" t="s">
        <v>1685</v>
      </c>
      <c r="Z142" s="213">
        <v>2245.44</v>
      </c>
      <c r="AA142" s="213">
        <v>0</v>
      </c>
      <c r="AB142" s="152">
        <f t="shared" si="16"/>
        <v>2.24544E-4</v>
      </c>
      <c r="AC142" s="122" t="s">
        <v>1837</v>
      </c>
    </row>
    <row r="143" spans="1:29" ht="12.75" hidden="1" customHeight="1">
      <c r="A143" s="125" t="str">
        <f t="shared" si="17"/>
        <v>LIC95AUDIT FEES</v>
      </c>
      <c r="B143" s="125">
        <f>+IFERROR(VLOOKUP(L143,'DB Mapping'!A:D,4,0),0)</f>
        <v>0</v>
      </c>
      <c r="C143" s="125">
        <f>+IFERROR(VLOOKUP(L143,'DB Mapping'!A:C,3,0),0)</f>
        <v>6.3</v>
      </c>
      <c r="D143" s="125" t="str">
        <f t="shared" si="18"/>
        <v>LIC950</v>
      </c>
      <c r="E143" s="125" t="str">
        <f t="shared" si="19"/>
        <v>LIC956.3</v>
      </c>
      <c r="F143" s="211" t="s">
        <v>19</v>
      </c>
      <c r="G143" s="127" t="s">
        <v>453</v>
      </c>
      <c r="L143" s="212" t="s">
        <v>1771</v>
      </c>
      <c r="N143" s="212" t="s">
        <v>1686</v>
      </c>
      <c r="Z143" s="213">
        <v>410.17</v>
      </c>
      <c r="AA143" s="213">
        <v>0</v>
      </c>
      <c r="AB143" s="152">
        <f t="shared" si="16"/>
        <v>4.1017000000000004E-5</v>
      </c>
      <c r="AC143" s="122" t="s">
        <v>1837</v>
      </c>
    </row>
    <row r="144" spans="1:29" ht="12.75" hidden="1" customHeight="1">
      <c r="A144" s="125" t="str">
        <f t="shared" si="17"/>
        <v>LIC95CUSTODIAN FEE</v>
      </c>
      <c r="B144" s="125">
        <f>+IFERROR(VLOOKUP(L144,'DB Mapping'!A:D,4,0),0)</f>
        <v>0</v>
      </c>
      <c r="C144" s="125">
        <f>+IFERROR(VLOOKUP(L144,'DB Mapping'!A:C,3,0),0)</f>
        <v>6.3</v>
      </c>
      <c r="D144" s="125" t="str">
        <f t="shared" si="18"/>
        <v>LIC950</v>
      </c>
      <c r="E144" s="125" t="str">
        <f t="shared" si="19"/>
        <v>LIC956.3</v>
      </c>
      <c r="F144" s="211" t="s">
        <v>19</v>
      </c>
      <c r="G144" s="127" t="s">
        <v>453</v>
      </c>
      <c r="L144" s="212" t="s">
        <v>1772</v>
      </c>
      <c r="N144" s="212" t="s">
        <v>1687</v>
      </c>
      <c r="Z144" s="213">
        <v>169.98</v>
      </c>
      <c r="AA144" s="213">
        <v>0</v>
      </c>
      <c r="AB144" s="152">
        <f t="shared" si="16"/>
        <v>1.6997999999999999E-5</v>
      </c>
      <c r="AC144" s="122" t="s">
        <v>1837</v>
      </c>
    </row>
    <row r="145" spans="1:29" ht="12.75" hidden="1" customHeight="1">
      <c r="A145" s="125" t="str">
        <f t="shared" si="17"/>
        <v>LIC95TRUSTEE FEES</v>
      </c>
      <c r="B145" s="125">
        <f>+IFERROR(VLOOKUP(L145,'DB Mapping'!A:D,4,0),0)</f>
        <v>6.2</v>
      </c>
      <c r="C145" s="125">
        <f>+IFERROR(VLOOKUP(L145,'DB Mapping'!A:C,3,0),0)</f>
        <v>6.3</v>
      </c>
      <c r="D145" s="125" t="str">
        <f t="shared" si="18"/>
        <v>LIC956.2</v>
      </c>
      <c r="E145" s="125" t="str">
        <f t="shared" si="19"/>
        <v>LIC956.3</v>
      </c>
      <c r="F145" s="211" t="s">
        <v>19</v>
      </c>
      <c r="G145" s="127" t="s">
        <v>453</v>
      </c>
      <c r="L145" s="212" t="s">
        <v>1773</v>
      </c>
      <c r="N145" s="212" t="s">
        <v>1688</v>
      </c>
      <c r="Z145" s="213">
        <v>1127.7</v>
      </c>
      <c r="AA145" s="213">
        <v>0</v>
      </c>
      <c r="AB145" s="152">
        <f t="shared" si="16"/>
        <v>1.1277000000000001E-4</v>
      </c>
      <c r="AC145" s="122" t="s">
        <v>1837</v>
      </c>
    </row>
    <row r="146" spans="1:29" ht="12.75" hidden="1" customHeight="1">
      <c r="A146" s="125" t="str">
        <f t="shared" si="17"/>
        <v>LIC95OTHER OPERATING EXPENSES</v>
      </c>
      <c r="B146" s="125">
        <f>+IFERROR(VLOOKUP(L146,'DB Mapping'!A:D,4,0),0)</f>
        <v>0</v>
      </c>
      <c r="C146" s="125">
        <f>+IFERROR(VLOOKUP(L146,'DB Mapping'!A:C,3,0),0)</f>
        <v>6.3</v>
      </c>
      <c r="D146" s="125" t="str">
        <f t="shared" si="18"/>
        <v>LIC950</v>
      </c>
      <c r="E146" s="125" t="str">
        <f t="shared" si="19"/>
        <v>LIC956.3</v>
      </c>
      <c r="F146" s="211" t="s">
        <v>19</v>
      </c>
      <c r="G146" s="127" t="s">
        <v>453</v>
      </c>
      <c r="L146" s="212" t="s">
        <v>1774</v>
      </c>
      <c r="N146" s="212" t="s">
        <v>1689</v>
      </c>
      <c r="Z146" s="213">
        <v>563.29</v>
      </c>
      <c r="AA146" s="213">
        <v>0</v>
      </c>
      <c r="AB146" s="152">
        <f t="shared" si="16"/>
        <v>5.6328999999999996E-5</v>
      </c>
      <c r="AC146" s="122" t="s">
        <v>1837</v>
      </c>
    </row>
    <row r="147" spans="1:29" ht="12.75" hidden="1" customHeight="1">
      <c r="A147" s="125" t="str">
        <f t="shared" si="17"/>
        <v>LIC95SEBI ANNUAL FEES EXPENSE</v>
      </c>
      <c r="B147" s="125">
        <f>+IFERROR(VLOOKUP(L147,'DB Mapping'!A:D,4,0),0)</f>
        <v>0</v>
      </c>
      <c r="C147" s="125">
        <f>+IFERROR(VLOOKUP(L147,'DB Mapping'!A:C,3,0),0)</f>
        <v>6.3</v>
      </c>
      <c r="D147" s="125" t="str">
        <f t="shared" si="18"/>
        <v>LIC950</v>
      </c>
      <c r="E147" s="125" t="str">
        <f t="shared" si="19"/>
        <v>LIC956.3</v>
      </c>
      <c r="F147" s="211" t="s">
        <v>19</v>
      </c>
      <c r="G147" s="127" t="s">
        <v>453</v>
      </c>
      <c r="L147" s="212" t="s">
        <v>1775</v>
      </c>
      <c r="N147" s="212" t="s">
        <v>1690</v>
      </c>
      <c r="Z147" s="213">
        <v>2735.9</v>
      </c>
      <c r="AA147" s="213">
        <v>0</v>
      </c>
      <c r="AB147" s="152">
        <f t="shared" si="16"/>
        <v>2.7358999999999999E-4</v>
      </c>
      <c r="AC147" s="122" t="s">
        <v>1837</v>
      </c>
    </row>
    <row r="148" spans="1:29" ht="12.75" hidden="1" customHeight="1">
      <c r="A148" s="125" t="str">
        <f t="shared" si="17"/>
        <v>LIC95BANK CHARGES</v>
      </c>
      <c r="B148" s="125">
        <f>+IFERROR(VLOOKUP(L148,'DB Mapping'!A:D,4,0),0)</f>
        <v>0</v>
      </c>
      <c r="C148" s="125">
        <f>+IFERROR(VLOOKUP(L148,'DB Mapping'!A:C,3,0),0)</f>
        <v>6.3</v>
      </c>
      <c r="D148" s="125" t="str">
        <f t="shared" si="18"/>
        <v>LIC950</v>
      </c>
      <c r="E148" s="125" t="str">
        <f t="shared" si="19"/>
        <v>LIC956.3</v>
      </c>
      <c r="F148" s="211" t="s">
        <v>19</v>
      </c>
      <c r="G148" s="127" t="s">
        <v>453</v>
      </c>
      <c r="L148" s="212" t="s">
        <v>1776</v>
      </c>
      <c r="N148" s="212" t="s">
        <v>1789</v>
      </c>
      <c r="Z148" s="213">
        <v>181.22</v>
      </c>
      <c r="AA148" s="213">
        <v>0</v>
      </c>
      <c r="AB148" s="152">
        <f t="shared" si="16"/>
        <v>1.8122E-5</v>
      </c>
      <c r="AC148" s="122" t="s">
        <v>1837</v>
      </c>
    </row>
    <row r="149" spans="1:29" ht="12.75" hidden="1" customHeight="1">
      <c r="A149" s="125" t="str">
        <f t="shared" si="17"/>
        <v>LIC95CCIL CHARGES</v>
      </c>
      <c r="B149" s="125">
        <f>+IFERROR(VLOOKUP(L149,'DB Mapping'!A:D,4,0),0)</f>
        <v>0</v>
      </c>
      <c r="C149" s="125">
        <f>+IFERROR(VLOOKUP(L149,'DB Mapping'!A:C,3,0),0)</f>
        <v>6.3</v>
      </c>
      <c r="D149" s="125" t="str">
        <f t="shared" si="18"/>
        <v>LIC950</v>
      </c>
      <c r="E149" s="125" t="str">
        <f t="shared" si="19"/>
        <v>LIC956.3</v>
      </c>
      <c r="F149" s="211" t="s">
        <v>19</v>
      </c>
      <c r="G149" s="127" t="s">
        <v>453</v>
      </c>
      <c r="L149" s="212" t="s">
        <v>1777</v>
      </c>
      <c r="N149" s="212" t="s">
        <v>1691</v>
      </c>
      <c r="Z149" s="213">
        <v>38704.61</v>
      </c>
      <c r="AA149" s="213">
        <v>0</v>
      </c>
      <c r="AB149" s="152">
        <f t="shared" si="16"/>
        <v>3.870461E-3</v>
      </c>
      <c r="AC149" s="122" t="s">
        <v>1837</v>
      </c>
    </row>
    <row r="150" spans="1:29" ht="12.75" hidden="1" customHeight="1">
      <c r="A150" s="125" t="str">
        <f t="shared" si="17"/>
        <v>LIC95INTERNAL AUDIT FEES</v>
      </c>
      <c r="B150" s="125">
        <f>+IFERROR(VLOOKUP(L150,'DB Mapping'!A:D,4,0),0)</f>
        <v>0</v>
      </c>
      <c r="C150" s="125">
        <f>+IFERROR(VLOOKUP(L150,'DB Mapping'!A:C,3,0),0)</f>
        <v>6.3</v>
      </c>
      <c r="D150" s="125" t="str">
        <f t="shared" si="18"/>
        <v>LIC950</v>
      </c>
      <c r="E150" s="125" t="str">
        <f t="shared" si="19"/>
        <v>LIC956.3</v>
      </c>
      <c r="F150" s="211" t="s">
        <v>19</v>
      </c>
      <c r="G150" s="127" t="s">
        <v>453</v>
      </c>
      <c r="L150" s="212" t="s">
        <v>1778</v>
      </c>
      <c r="N150" s="212" t="s">
        <v>1692</v>
      </c>
      <c r="Z150" s="213">
        <v>725.69</v>
      </c>
      <c r="AA150" s="213">
        <v>0</v>
      </c>
      <c r="AB150" s="152">
        <f t="shared" si="16"/>
        <v>7.2569000000000003E-5</v>
      </c>
      <c r="AC150" s="122" t="s">
        <v>1837</v>
      </c>
    </row>
    <row r="151" spans="1:29" ht="12.75" hidden="1" customHeight="1">
      <c r="A151" s="125" t="str">
        <f t="shared" si="17"/>
        <v>LIC95CLIENT SERVICING EXPENES</v>
      </c>
      <c r="B151" s="125">
        <f>+IFERROR(VLOOKUP(L151,'DB Mapping'!A:D,4,0),0)</f>
        <v>0</v>
      </c>
      <c r="C151" s="125">
        <f>+IFERROR(VLOOKUP(L151,'DB Mapping'!A:C,3,0),0)</f>
        <v>6.3</v>
      </c>
      <c r="D151" s="125" t="str">
        <f t="shared" si="18"/>
        <v>LIC950</v>
      </c>
      <c r="E151" s="125" t="str">
        <f t="shared" si="19"/>
        <v>LIC956.3</v>
      </c>
      <c r="F151" s="211" t="s">
        <v>19</v>
      </c>
      <c r="G151" s="127" t="s">
        <v>453</v>
      </c>
      <c r="L151" s="212" t="s">
        <v>1779</v>
      </c>
      <c r="N151" s="212" t="s">
        <v>1693</v>
      </c>
      <c r="Z151" s="213">
        <v>73842.240000000005</v>
      </c>
      <c r="AA151" s="213">
        <v>0</v>
      </c>
      <c r="AB151" s="152">
        <f t="shared" si="16"/>
        <v>7.3842240000000009E-3</v>
      </c>
      <c r="AC151" s="122" t="s">
        <v>1837</v>
      </c>
    </row>
    <row r="152" spans="1:29" ht="12.75" hidden="1" customHeight="1">
      <c r="A152" s="125" t="str">
        <f t="shared" si="17"/>
        <v>LIC95INVESTOR EDUCATION FUND EXPENSE</v>
      </c>
      <c r="B152" s="125">
        <f>+IFERROR(VLOOKUP(L152,'DB Mapping'!A:D,4,0),0)</f>
        <v>0</v>
      </c>
      <c r="C152" s="125">
        <f>+IFERROR(VLOOKUP(L152,'DB Mapping'!A:C,3,0),0)</f>
        <v>6.3</v>
      </c>
      <c r="D152" s="125" t="str">
        <f t="shared" si="18"/>
        <v>LIC950</v>
      </c>
      <c r="E152" s="125" t="str">
        <f t="shared" si="19"/>
        <v>LIC956.3</v>
      </c>
      <c r="F152" s="211" t="s">
        <v>19</v>
      </c>
      <c r="G152" s="127" t="s">
        <v>453</v>
      </c>
      <c r="L152" s="212" t="s">
        <v>1780</v>
      </c>
      <c r="N152" s="212" t="s">
        <v>1694</v>
      </c>
      <c r="Z152" s="213">
        <v>11034.47</v>
      </c>
      <c r="AA152" s="213">
        <v>0</v>
      </c>
      <c r="AB152" s="152">
        <f t="shared" si="16"/>
        <v>1.103447E-3</v>
      </c>
      <c r="AC152" s="122" t="s">
        <v>1837</v>
      </c>
    </row>
    <row r="153" spans="1:29" ht="12.75" hidden="1" customHeight="1">
      <c r="A153" s="125" t="str">
        <f t="shared" si="17"/>
        <v>LIC95INVESTOR EDUCATION FUND EXPENSE - AMFI</v>
      </c>
      <c r="B153" s="125">
        <f>+IFERROR(VLOOKUP(L153,'DB Mapping'!A:D,4,0),0)</f>
        <v>0</v>
      </c>
      <c r="C153" s="125">
        <f>+IFERROR(VLOOKUP(L153,'DB Mapping'!A:C,3,0),0)</f>
        <v>6.3</v>
      </c>
      <c r="D153" s="125" t="str">
        <f t="shared" si="18"/>
        <v>LIC950</v>
      </c>
      <c r="E153" s="125" t="str">
        <f t="shared" si="19"/>
        <v>LIC956.3</v>
      </c>
      <c r="F153" s="211" t="s">
        <v>19</v>
      </c>
      <c r="G153" s="127" t="s">
        <v>453</v>
      </c>
      <c r="L153" s="212" t="s">
        <v>1781</v>
      </c>
      <c r="N153" s="212" t="s">
        <v>1695</v>
      </c>
      <c r="Z153" s="213">
        <v>11034.47</v>
      </c>
      <c r="AA153" s="213">
        <v>0</v>
      </c>
      <c r="AB153" s="152">
        <f t="shared" si="16"/>
        <v>1.103447E-3</v>
      </c>
      <c r="AC153" s="122" t="s">
        <v>1837</v>
      </c>
    </row>
    <row r="154" spans="1:29" ht="12.75" hidden="1" customHeight="1">
      <c r="A154" s="125" t="str">
        <f t="shared" ref="A154:A217" si="20">+F154&amp;N154</f>
        <v/>
      </c>
      <c r="B154" s="125">
        <f>+IFERROR(VLOOKUP(L154,'DB Mapping'!A:D,4,0),0)</f>
        <v>0</v>
      </c>
      <c r="C154" s="125">
        <f>+IFERROR(VLOOKUP(L154,'DB Mapping'!A:C,3,0),0)</f>
        <v>0</v>
      </c>
      <c r="D154" s="125" t="str">
        <f t="shared" ref="D154:D217" si="21">+F154&amp;B154</f>
        <v>0</v>
      </c>
      <c r="E154" s="125" t="str">
        <f t="shared" ref="E154:E217" si="22">+F154&amp;C154</f>
        <v>0</v>
      </c>
      <c r="F154" s="211"/>
      <c r="L154" s="215"/>
      <c r="N154" s="215"/>
      <c r="Z154" s="216"/>
      <c r="AA154" s="216"/>
      <c r="AB154" s="152"/>
      <c r="AC154" s="122" t="s">
        <v>1837</v>
      </c>
    </row>
    <row r="155" spans="1:29" ht="12.75" hidden="1" customHeight="1">
      <c r="A155" s="125" t="str">
        <f t="shared" si="20"/>
        <v>LIC96INVESTMENTS - CBLO</v>
      </c>
      <c r="B155" s="125">
        <f>+IFERROR(VLOOKUP(L155,'DB Mapping'!A:D,4,0),0)</f>
        <v>0</v>
      </c>
      <c r="C155" s="125">
        <f>+IFERROR(VLOOKUP(L155,'DB Mapping'!A:C,3,0),0)</f>
        <v>0</v>
      </c>
      <c r="D155" s="125" t="str">
        <f t="shared" si="21"/>
        <v>LIC960</v>
      </c>
      <c r="E155" s="125" t="str">
        <f t="shared" si="22"/>
        <v>LIC960</v>
      </c>
      <c r="F155" s="211" t="s">
        <v>20</v>
      </c>
      <c r="G155" s="127" t="s">
        <v>453</v>
      </c>
      <c r="L155" s="212" t="s">
        <v>1711</v>
      </c>
      <c r="N155" s="212" t="s">
        <v>1606</v>
      </c>
      <c r="Z155" s="213">
        <v>80761464.189999998</v>
      </c>
      <c r="AA155" s="213">
        <v>0</v>
      </c>
      <c r="AB155" s="152">
        <f t="shared" si="16"/>
        <v>8.0761464190000005</v>
      </c>
      <c r="AC155" s="122" t="s">
        <v>1837</v>
      </c>
    </row>
    <row r="156" spans="1:29" ht="12.75" hidden="1" customHeight="1">
      <c r="A156" s="125" t="str">
        <f t="shared" si="20"/>
        <v>LIC96HDFC BANK CURRENT ACCOUNT</v>
      </c>
      <c r="B156" s="125">
        <f>+IFERROR(VLOOKUP(L156,'DB Mapping'!A:D,4,0),0)</f>
        <v>0</v>
      </c>
      <c r="C156" s="125">
        <f>+IFERROR(VLOOKUP(L156,'DB Mapping'!A:C,3,0),0)</f>
        <v>0</v>
      </c>
      <c r="D156" s="125" t="str">
        <f t="shared" si="21"/>
        <v>LIC960</v>
      </c>
      <c r="E156" s="125" t="str">
        <f t="shared" si="22"/>
        <v>LIC960</v>
      </c>
      <c r="F156" s="211" t="s">
        <v>20</v>
      </c>
      <c r="G156" s="127" t="s">
        <v>453</v>
      </c>
      <c r="L156" s="212" t="s">
        <v>1712</v>
      </c>
      <c r="N156" s="212" t="s">
        <v>1612</v>
      </c>
      <c r="Z156" s="213">
        <v>0</v>
      </c>
      <c r="AA156" s="213">
        <v>0</v>
      </c>
      <c r="AB156" s="152">
        <f t="shared" si="16"/>
        <v>0</v>
      </c>
      <c r="AC156" s="122" t="s">
        <v>1837</v>
      </c>
    </row>
    <row r="157" spans="1:29" ht="12.75" hidden="1" customHeight="1">
      <c r="A157" s="125" t="str">
        <f t="shared" si="20"/>
        <v>LIC96HDFC BANK</v>
      </c>
      <c r="B157" s="125">
        <f>+IFERROR(VLOOKUP(L157,'DB Mapping'!A:D,4,0),0)</f>
        <v>0</v>
      </c>
      <c r="C157" s="125">
        <f>+IFERROR(VLOOKUP(L157,'DB Mapping'!A:C,3,0),0)</f>
        <v>0</v>
      </c>
      <c r="D157" s="125" t="str">
        <f t="shared" si="21"/>
        <v>LIC960</v>
      </c>
      <c r="E157" s="125" t="str">
        <f t="shared" si="22"/>
        <v>LIC960</v>
      </c>
      <c r="F157" s="211" t="s">
        <v>20</v>
      </c>
      <c r="G157" s="127" t="s">
        <v>453</v>
      </c>
      <c r="L157" s="212" t="s">
        <v>1793</v>
      </c>
      <c r="N157" s="212" t="s">
        <v>1613</v>
      </c>
      <c r="Z157" s="213">
        <v>0</v>
      </c>
      <c r="AA157" s="213">
        <v>0</v>
      </c>
      <c r="AB157" s="152">
        <f t="shared" si="16"/>
        <v>0</v>
      </c>
      <c r="AC157" s="122" t="s">
        <v>1837</v>
      </c>
    </row>
    <row r="158" spans="1:29" ht="12.75" hidden="1" customHeight="1">
      <c r="A158" s="125" t="str">
        <f t="shared" si="20"/>
        <v>LIC96REDEMPTION RECEIVABLE - CBLO</v>
      </c>
      <c r="B158" s="125">
        <f>+IFERROR(VLOOKUP(L158,'DB Mapping'!A:D,4,0),0)</f>
        <v>0</v>
      </c>
      <c r="C158" s="125">
        <f>+IFERROR(VLOOKUP(L158,'DB Mapping'!A:C,3,0),0)</f>
        <v>0</v>
      </c>
      <c r="D158" s="125" t="str">
        <f t="shared" si="21"/>
        <v>LIC960</v>
      </c>
      <c r="E158" s="125" t="str">
        <f t="shared" si="22"/>
        <v>LIC960</v>
      </c>
      <c r="F158" s="211" t="s">
        <v>20</v>
      </c>
      <c r="G158" s="127" t="s">
        <v>453</v>
      </c>
      <c r="L158" s="212" t="s">
        <v>1713</v>
      </c>
      <c r="N158" s="212" t="s">
        <v>1615</v>
      </c>
      <c r="Z158" s="213">
        <v>0</v>
      </c>
      <c r="AA158" s="213">
        <v>0</v>
      </c>
      <c r="AB158" s="152">
        <f t="shared" si="16"/>
        <v>0</v>
      </c>
      <c r="AC158" s="122" t="s">
        <v>1837</v>
      </c>
    </row>
    <row r="159" spans="1:29" ht="12.75" hidden="1" customHeight="1">
      <c r="A159" s="125" t="str">
        <f t="shared" si="20"/>
        <v>LIC96AMORTISATION RECEIVABLE - CBLO</v>
      </c>
      <c r="B159" s="125">
        <f>+IFERROR(VLOOKUP(L159,'DB Mapping'!A:D,4,0),0)</f>
        <v>0</v>
      </c>
      <c r="C159" s="125">
        <f>+IFERROR(VLOOKUP(L159,'DB Mapping'!A:C,3,0),0)</f>
        <v>0</v>
      </c>
      <c r="D159" s="125" t="str">
        <f t="shared" si="21"/>
        <v>LIC960</v>
      </c>
      <c r="E159" s="125" t="str">
        <f t="shared" si="22"/>
        <v>LIC960</v>
      </c>
      <c r="F159" s="211" t="s">
        <v>20</v>
      </c>
      <c r="G159" s="127" t="s">
        <v>453</v>
      </c>
      <c r="L159" s="212" t="s">
        <v>1715</v>
      </c>
      <c r="N159" s="212" t="s">
        <v>1621</v>
      </c>
      <c r="Z159" s="213">
        <v>12952.81</v>
      </c>
      <c r="AA159" s="213">
        <v>0</v>
      </c>
      <c r="AB159" s="152">
        <f t="shared" si="16"/>
        <v>1.2952809999999999E-3</v>
      </c>
      <c r="AC159" s="122" t="s">
        <v>1837</v>
      </c>
    </row>
    <row r="160" spans="1:29" ht="12.75" hidden="1" customHeight="1">
      <c r="A160" s="125" t="str">
        <f t="shared" si="20"/>
        <v>LIC96AMC RECEIVABLE / PAYABLE</v>
      </c>
      <c r="B160" s="125">
        <f>+IFERROR(VLOOKUP(L160,'DB Mapping'!A:D,4,0),0)</f>
        <v>0</v>
      </c>
      <c r="C160" s="125">
        <f>+IFERROR(VLOOKUP(L160,'DB Mapping'!A:C,3,0),0)</f>
        <v>0</v>
      </c>
      <c r="D160" s="125" t="str">
        <f t="shared" si="21"/>
        <v>LIC960</v>
      </c>
      <c r="E160" s="125" t="str">
        <f t="shared" si="22"/>
        <v>LIC960</v>
      </c>
      <c r="F160" s="211" t="s">
        <v>20</v>
      </c>
      <c r="G160" s="127" t="s">
        <v>453</v>
      </c>
      <c r="L160" s="212" t="s">
        <v>1716</v>
      </c>
      <c r="N160" s="212" t="s">
        <v>1704</v>
      </c>
      <c r="Z160" s="213">
        <v>29500</v>
      </c>
      <c r="AA160" s="213">
        <v>0</v>
      </c>
      <c r="AB160" s="152">
        <f t="shared" si="16"/>
        <v>2.9499999999999999E-3</v>
      </c>
      <c r="AC160" s="122" t="s">
        <v>1837</v>
      </c>
    </row>
    <row r="161" spans="1:29" ht="12.75" hidden="1" customHeight="1">
      <c r="A161" s="125" t="str">
        <f t="shared" si="20"/>
        <v>LIC96RECEIVABLE - OTHER INCOME</v>
      </c>
      <c r="B161" s="125">
        <f>+IFERROR(VLOOKUP(L161,'DB Mapping'!A:D,4,0),0)</f>
        <v>0</v>
      </c>
      <c r="C161" s="125">
        <f>+IFERROR(VLOOKUP(L161,'DB Mapping'!A:C,3,0),0)</f>
        <v>0</v>
      </c>
      <c r="D161" s="125" t="str">
        <f t="shared" si="21"/>
        <v>LIC960</v>
      </c>
      <c r="E161" s="125" t="str">
        <f t="shared" si="22"/>
        <v>LIC960</v>
      </c>
      <c r="F161" s="211" t="s">
        <v>20</v>
      </c>
      <c r="G161" s="127" t="s">
        <v>453</v>
      </c>
      <c r="L161" s="212" t="s">
        <v>1804</v>
      </c>
      <c r="N161" s="212" t="s">
        <v>1623</v>
      </c>
      <c r="Z161" s="213">
        <v>38858.43</v>
      </c>
      <c r="AA161" s="213">
        <v>0</v>
      </c>
      <c r="AB161" s="152">
        <f t="shared" si="16"/>
        <v>3.8858429999999999E-3</v>
      </c>
      <c r="AC161" s="122" t="s">
        <v>1837</v>
      </c>
    </row>
    <row r="162" spans="1:29" ht="12.75" hidden="1" customHeight="1">
      <c r="A162" s="125" t="str">
        <f t="shared" si="20"/>
        <v>LIC96CCIL SETTLEMENT A/C</v>
      </c>
      <c r="B162" s="125">
        <f>+IFERROR(VLOOKUP(L162,'DB Mapping'!A:D,4,0),0)</f>
        <v>0</v>
      </c>
      <c r="C162" s="125">
        <f>+IFERROR(VLOOKUP(L162,'DB Mapping'!A:C,3,0),0)</f>
        <v>0</v>
      </c>
      <c r="D162" s="125" t="str">
        <f t="shared" si="21"/>
        <v>LIC960</v>
      </c>
      <c r="E162" s="125" t="str">
        <f t="shared" si="22"/>
        <v>LIC960</v>
      </c>
      <c r="F162" s="211" t="s">
        <v>20</v>
      </c>
      <c r="G162" s="127" t="s">
        <v>453</v>
      </c>
      <c r="L162" s="212" t="s">
        <v>1717</v>
      </c>
      <c r="N162" s="212" t="s">
        <v>1624</v>
      </c>
      <c r="Z162" s="213">
        <v>51811.16</v>
      </c>
      <c r="AA162" s="213">
        <v>0</v>
      </c>
      <c r="AB162" s="152">
        <f t="shared" si="16"/>
        <v>5.1811160000000004E-3</v>
      </c>
      <c r="AC162" s="122" t="s">
        <v>1837</v>
      </c>
    </row>
    <row r="163" spans="1:29" ht="12.75" hidden="1" customHeight="1">
      <c r="A163" s="125" t="str">
        <f t="shared" si="20"/>
        <v>LIC96SETTLEMENT PAYABLE</v>
      </c>
      <c r="B163" s="125">
        <f>+IFERROR(VLOOKUP(L163,'DB Mapping'!A:D,4,0),0)</f>
        <v>0</v>
      </c>
      <c r="C163" s="125">
        <f>+IFERROR(VLOOKUP(L163,'DB Mapping'!A:C,3,0),0)</f>
        <v>0</v>
      </c>
      <c r="D163" s="125" t="str">
        <f t="shared" si="21"/>
        <v>LIC960</v>
      </c>
      <c r="E163" s="125" t="str">
        <f t="shared" si="22"/>
        <v>LIC960</v>
      </c>
      <c r="F163" s="211" t="s">
        <v>20</v>
      </c>
      <c r="G163" s="127" t="s">
        <v>453</v>
      </c>
      <c r="L163" s="212" t="s">
        <v>1718</v>
      </c>
      <c r="N163" s="212" t="s">
        <v>1625</v>
      </c>
      <c r="Z163" s="213">
        <v>0</v>
      </c>
      <c r="AA163" s="213">
        <v>0</v>
      </c>
      <c r="AB163" s="152">
        <f t="shared" si="16"/>
        <v>0</v>
      </c>
      <c r="AC163" s="122" t="s">
        <v>1837</v>
      </c>
    </row>
    <row r="164" spans="1:29" ht="12.75" hidden="1" customHeight="1">
      <c r="A164" s="125" t="str">
        <f t="shared" si="20"/>
        <v>LIC96PAYABLE - UNITS REDEMPTION</v>
      </c>
      <c r="B164" s="125">
        <f>+IFERROR(VLOOKUP(L164,'DB Mapping'!A:D,4,0),0)</f>
        <v>0</v>
      </c>
      <c r="C164" s="125">
        <f>+IFERROR(VLOOKUP(L164,'DB Mapping'!A:C,3,0),0)</f>
        <v>0</v>
      </c>
      <c r="D164" s="125" t="str">
        <f t="shared" si="21"/>
        <v>LIC960</v>
      </c>
      <c r="E164" s="125" t="str">
        <f t="shared" si="22"/>
        <v>LIC960</v>
      </c>
      <c r="F164" s="211" t="s">
        <v>20</v>
      </c>
      <c r="G164" s="127" t="s">
        <v>453</v>
      </c>
      <c r="L164" s="212" t="s">
        <v>1719</v>
      </c>
      <c r="N164" s="212" t="s">
        <v>1783</v>
      </c>
      <c r="Z164" s="213">
        <v>0</v>
      </c>
      <c r="AA164" s="213">
        <v>0</v>
      </c>
      <c r="AB164" s="152">
        <f t="shared" si="16"/>
        <v>0</v>
      </c>
      <c r="AC164" s="122" t="s">
        <v>1837</v>
      </c>
    </row>
    <row r="165" spans="1:29" ht="12.75" hidden="1" customHeight="1">
      <c r="A165" s="125" t="str">
        <f t="shared" si="20"/>
        <v>LIC96EXPENSE ALLOCATION - LIABILITY ACCOUNT</v>
      </c>
      <c r="B165" s="125">
        <f>+IFERROR(VLOOKUP(L165,'DB Mapping'!A:D,4,0),0)</f>
        <v>0</v>
      </c>
      <c r="C165" s="125">
        <f>+IFERROR(VLOOKUP(L165,'DB Mapping'!A:C,3,0),0)</f>
        <v>0</v>
      </c>
      <c r="D165" s="125" t="str">
        <f t="shared" si="21"/>
        <v>LIC960</v>
      </c>
      <c r="E165" s="125" t="str">
        <f t="shared" si="22"/>
        <v>LIC960</v>
      </c>
      <c r="F165" s="211" t="s">
        <v>20</v>
      </c>
      <c r="G165" s="127" t="s">
        <v>453</v>
      </c>
      <c r="L165" s="212" t="s">
        <v>1720</v>
      </c>
      <c r="N165" s="212" t="s">
        <v>1626</v>
      </c>
      <c r="Z165" s="213">
        <v>33011.089999999997</v>
      </c>
      <c r="AA165" s="213">
        <v>0</v>
      </c>
      <c r="AB165" s="152">
        <f t="shared" si="16"/>
        <v>3.3011089999999996E-3</v>
      </c>
      <c r="AC165" s="122" t="s">
        <v>1837</v>
      </c>
    </row>
    <row r="166" spans="1:29" ht="12.75" hidden="1" customHeight="1">
      <c r="A166" s="125" t="str">
        <f t="shared" si="20"/>
        <v>LIC96PAYABLE - AUDIT FEES</v>
      </c>
      <c r="B166" s="125">
        <f>+IFERROR(VLOOKUP(L166,'DB Mapping'!A:D,4,0),0)</f>
        <v>0</v>
      </c>
      <c r="C166" s="125">
        <f>+IFERROR(VLOOKUP(L166,'DB Mapping'!A:C,3,0),0)</f>
        <v>0</v>
      </c>
      <c r="D166" s="125" t="str">
        <f t="shared" si="21"/>
        <v>LIC960</v>
      </c>
      <c r="E166" s="125" t="str">
        <f t="shared" si="22"/>
        <v>LIC960</v>
      </c>
      <c r="F166" s="211" t="s">
        <v>20</v>
      </c>
      <c r="G166" s="127" t="s">
        <v>453</v>
      </c>
      <c r="L166" s="212" t="s">
        <v>1722</v>
      </c>
      <c r="N166" s="212" t="s">
        <v>1628</v>
      </c>
      <c r="Z166" s="213">
        <v>0</v>
      </c>
      <c r="AA166" s="213">
        <v>37735.4</v>
      </c>
      <c r="AB166" s="152">
        <f t="shared" si="16"/>
        <v>-3.7735400000000001E-3</v>
      </c>
      <c r="AC166" s="122" t="s">
        <v>1837</v>
      </c>
    </row>
    <row r="167" spans="1:29" ht="12.75" hidden="1" customHeight="1">
      <c r="A167" s="125" t="str">
        <f t="shared" si="20"/>
        <v>LIC96PAYABLE - CUSTODIAN FEE - CUSTODY</v>
      </c>
      <c r="B167" s="125">
        <f>+IFERROR(VLOOKUP(L167,'DB Mapping'!A:D,4,0),0)</f>
        <v>0</v>
      </c>
      <c r="C167" s="125">
        <f>+IFERROR(VLOOKUP(L167,'DB Mapping'!A:C,3,0),0)</f>
        <v>0</v>
      </c>
      <c r="D167" s="125" t="str">
        <f t="shared" si="21"/>
        <v>LIC960</v>
      </c>
      <c r="E167" s="125" t="str">
        <f t="shared" si="22"/>
        <v>LIC960</v>
      </c>
      <c r="F167" s="211" t="s">
        <v>20</v>
      </c>
      <c r="G167" s="127" t="s">
        <v>453</v>
      </c>
      <c r="L167" s="212" t="s">
        <v>1723</v>
      </c>
      <c r="N167" s="212" t="s">
        <v>1705</v>
      </c>
      <c r="Z167" s="213">
        <v>0</v>
      </c>
      <c r="AA167" s="213">
        <v>2152</v>
      </c>
      <c r="AB167" s="152">
        <f t="shared" si="16"/>
        <v>-2.152E-4</v>
      </c>
      <c r="AC167" s="122" t="s">
        <v>1837</v>
      </c>
    </row>
    <row r="168" spans="1:29" ht="12.75" hidden="1" customHeight="1">
      <c r="A168" s="125" t="str">
        <f t="shared" si="20"/>
        <v>LIC96PAYABLE - TDS ON EXPENSES</v>
      </c>
      <c r="B168" s="125">
        <f>+IFERROR(VLOOKUP(L168,'DB Mapping'!A:D,4,0),0)</f>
        <v>0</v>
      </c>
      <c r="C168" s="125">
        <f>+IFERROR(VLOOKUP(L168,'DB Mapping'!A:C,3,0),0)</f>
        <v>0</v>
      </c>
      <c r="D168" s="125" t="str">
        <f t="shared" si="21"/>
        <v>LIC960</v>
      </c>
      <c r="E168" s="125" t="str">
        <f t="shared" si="22"/>
        <v>LIC960</v>
      </c>
      <c r="F168" s="211" t="s">
        <v>20</v>
      </c>
      <c r="G168" s="127" t="s">
        <v>453</v>
      </c>
      <c r="L168" s="212" t="s">
        <v>1724</v>
      </c>
      <c r="N168" s="212" t="s">
        <v>1629</v>
      </c>
      <c r="Z168" s="213">
        <v>0</v>
      </c>
      <c r="AA168" s="213">
        <v>4469.74</v>
      </c>
      <c r="AB168" s="152">
        <f t="shared" si="16"/>
        <v>-4.4697399999999999E-4</v>
      </c>
      <c r="AC168" s="122" t="s">
        <v>1837</v>
      </c>
    </row>
    <row r="169" spans="1:29" ht="12.75" hidden="1" customHeight="1">
      <c r="A169" s="125" t="str">
        <f t="shared" si="20"/>
        <v>LIC96PAYABLE - TRUSTEE FEES</v>
      </c>
      <c r="B169" s="125">
        <f>+IFERROR(VLOOKUP(L169,'DB Mapping'!A:D,4,0),0)</f>
        <v>0</v>
      </c>
      <c r="C169" s="125">
        <f>+IFERROR(VLOOKUP(L169,'DB Mapping'!A:C,3,0),0)</f>
        <v>0</v>
      </c>
      <c r="D169" s="125" t="str">
        <f t="shared" si="21"/>
        <v>LIC960</v>
      </c>
      <c r="E169" s="125" t="str">
        <f t="shared" si="22"/>
        <v>LIC960</v>
      </c>
      <c r="F169" s="211" t="s">
        <v>20</v>
      </c>
      <c r="G169" s="127" t="s">
        <v>453</v>
      </c>
      <c r="L169" s="212" t="s">
        <v>1725</v>
      </c>
      <c r="N169" s="212" t="s">
        <v>1784</v>
      </c>
      <c r="Z169" s="213">
        <v>0</v>
      </c>
      <c r="AA169" s="213">
        <v>126.2</v>
      </c>
      <c r="AB169" s="152">
        <f t="shared" si="16"/>
        <v>-1.2619999999999999E-5</v>
      </c>
      <c r="AC169" s="122" t="s">
        <v>1837</v>
      </c>
    </row>
    <row r="170" spans="1:29" ht="12.75" hidden="1" customHeight="1">
      <c r="A170" s="125" t="str">
        <f t="shared" si="20"/>
        <v>LIC96PAYABLE - TDS ON WORKS CONTRACT</v>
      </c>
      <c r="B170" s="125">
        <f>+IFERROR(VLOOKUP(L170,'DB Mapping'!A:D,4,0),0)</f>
        <v>0</v>
      </c>
      <c r="C170" s="125">
        <f>+IFERROR(VLOOKUP(L170,'DB Mapping'!A:C,3,0),0)</f>
        <v>0</v>
      </c>
      <c r="D170" s="125" t="str">
        <f t="shared" si="21"/>
        <v>LIC960</v>
      </c>
      <c r="E170" s="125" t="str">
        <f t="shared" si="22"/>
        <v>LIC960</v>
      </c>
      <c r="F170" s="211" t="s">
        <v>20</v>
      </c>
      <c r="G170" s="127" t="s">
        <v>453</v>
      </c>
      <c r="L170" s="212" t="s">
        <v>1795</v>
      </c>
      <c r="N170" s="212" t="s">
        <v>1631</v>
      </c>
      <c r="Z170" s="213">
        <v>0</v>
      </c>
      <c r="AA170" s="213">
        <v>0</v>
      </c>
      <c r="AB170" s="152">
        <f t="shared" si="16"/>
        <v>0</v>
      </c>
      <c r="AC170" s="122" t="s">
        <v>1837</v>
      </c>
    </row>
    <row r="171" spans="1:29" ht="12.75" hidden="1" customHeight="1">
      <c r="A171" s="125" t="str">
        <f t="shared" si="20"/>
        <v>LIC96PAYABLE - MANAGEMENT FEES</v>
      </c>
      <c r="B171" s="125">
        <f>+IFERROR(VLOOKUP(L171,'DB Mapping'!A:D,4,0),0)</f>
        <v>0</v>
      </c>
      <c r="C171" s="125">
        <f>+IFERROR(VLOOKUP(L171,'DB Mapping'!A:C,3,0),0)</f>
        <v>0</v>
      </c>
      <c r="D171" s="125" t="str">
        <f t="shared" si="21"/>
        <v>LIC960</v>
      </c>
      <c r="E171" s="125" t="str">
        <f t="shared" si="22"/>
        <v>LIC960</v>
      </c>
      <c r="F171" s="211" t="s">
        <v>20</v>
      </c>
      <c r="G171" s="127" t="s">
        <v>453</v>
      </c>
      <c r="L171" s="212" t="s">
        <v>1727</v>
      </c>
      <c r="N171" s="212" t="s">
        <v>1632</v>
      </c>
      <c r="Z171" s="213">
        <v>0</v>
      </c>
      <c r="AA171" s="213">
        <v>95647.52</v>
      </c>
      <c r="AB171" s="152">
        <f t="shared" si="16"/>
        <v>-9.564752000000001E-3</v>
      </c>
      <c r="AC171" s="122" t="s">
        <v>1837</v>
      </c>
    </row>
    <row r="172" spans="1:29" ht="12.75" hidden="1" customHeight="1">
      <c r="A172" s="125" t="str">
        <f t="shared" si="20"/>
        <v>LIC96PAYABLE - OTHER FEES</v>
      </c>
      <c r="B172" s="125">
        <f>+IFERROR(VLOOKUP(L172,'DB Mapping'!A:D,4,0),0)</f>
        <v>0</v>
      </c>
      <c r="C172" s="125">
        <f>+IFERROR(VLOOKUP(L172,'DB Mapping'!A:C,3,0),0)</f>
        <v>0</v>
      </c>
      <c r="D172" s="125" t="str">
        <f t="shared" si="21"/>
        <v>LIC960</v>
      </c>
      <c r="E172" s="125" t="str">
        <f t="shared" si="22"/>
        <v>LIC960</v>
      </c>
      <c r="F172" s="211" t="s">
        <v>20</v>
      </c>
      <c r="G172" s="127" t="s">
        <v>453</v>
      </c>
      <c r="L172" s="212" t="s">
        <v>1728</v>
      </c>
      <c r="N172" s="212" t="s">
        <v>1633</v>
      </c>
      <c r="Z172" s="213">
        <v>0</v>
      </c>
      <c r="AA172" s="213">
        <v>33011.19</v>
      </c>
      <c r="AB172" s="152">
        <f t="shared" si="16"/>
        <v>-3.3011190000000004E-3</v>
      </c>
      <c r="AC172" s="122" t="s">
        <v>1837</v>
      </c>
    </row>
    <row r="173" spans="1:29" ht="12.75" hidden="1" customHeight="1">
      <c r="A173" s="125" t="str">
        <f t="shared" si="20"/>
        <v>LIC96PAYABLE - OTHER FEES (SELLING &amp; DISTRIBUTION)</v>
      </c>
      <c r="B173" s="125">
        <f>+IFERROR(VLOOKUP(L173,'DB Mapping'!A:D,4,0),0)</f>
        <v>0</v>
      </c>
      <c r="C173" s="125">
        <f>+IFERROR(VLOOKUP(L173,'DB Mapping'!A:C,3,0),0)</f>
        <v>0</v>
      </c>
      <c r="D173" s="125" t="str">
        <f t="shared" si="21"/>
        <v>LIC960</v>
      </c>
      <c r="E173" s="125" t="str">
        <f t="shared" si="22"/>
        <v>LIC960</v>
      </c>
      <c r="F173" s="211" t="s">
        <v>20</v>
      </c>
      <c r="G173" s="127" t="s">
        <v>453</v>
      </c>
      <c r="L173" s="212" t="s">
        <v>1729</v>
      </c>
      <c r="N173" s="212" t="s">
        <v>1634</v>
      </c>
      <c r="Z173" s="213">
        <v>0</v>
      </c>
      <c r="AA173" s="213">
        <v>0</v>
      </c>
      <c r="AB173" s="152">
        <f t="shared" si="16"/>
        <v>0</v>
      </c>
      <c r="AC173" s="122" t="s">
        <v>1837</v>
      </c>
    </row>
    <row r="174" spans="1:29" ht="12.75" hidden="1" customHeight="1">
      <c r="A174" s="125" t="str">
        <f t="shared" si="20"/>
        <v>LIC96PAYABLE - INTERNAL AUDIT FEES</v>
      </c>
      <c r="B174" s="125">
        <f>+IFERROR(VLOOKUP(L174,'DB Mapping'!A:D,4,0),0)</f>
        <v>0</v>
      </c>
      <c r="C174" s="125">
        <f>+IFERROR(VLOOKUP(L174,'DB Mapping'!A:C,3,0),0)</f>
        <v>0</v>
      </c>
      <c r="D174" s="125" t="str">
        <f t="shared" si="21"/>
        <v>LIC960</v>
      </c>
      <c r="E174" s="125" t="str">
        <f t="shared" si="22"/>
        <v>LIC960</v>
      </c>
      <c r="F174" s="211" t="s">
        <v>20</v>
      </c>
      <c r="G174" s="127" t="s">
        <v>453</v>
      </c>
      <c r="L174" s="212" t="s">
        <v>1732</v>
      </c>
      <c r="N174" s="212" t="s">
        <v>1637</v>
      </c>
      <c r="Z174" s="213">
        <v>0</v>
      </c>
      <c r="AA174" s="213">
        <v>151.68</v>
      </c>
      <c r="AB174" s="152">
        <f t="shared" si="16"/>
        <v>-1.5168000000000001E-5</v>
      </c>
      <c r="AC174" s="122" t="s">
        <v>1837</v>
      </c>
    </row>
    <row r="175" spans="1:29" ht="12.75" hidden="1" customHeight="1">
      <c r="A175" s="125" t="str">
        <f t="shared" si="20"/>
        <v>LIC96CGST EXPS PAYABLE ON MFEES</v>
      </c>
      <c r="B175" s="125">
        <f>+IFERROR(VLOOKUP(L175,'DB Mapping'!A:D,4,0),0)</f>
        <v>0</v>
      </c>
      <c r="C175" s="125">
        <f>+IFERROR(VLOOKUP(L175,'DB Mapping'!A:C,3,0),0)</f>
        <v>0</v>
      </c>
      <c r="D175" s="125" t="str">
        <f t="shared" si="21"/>
        <v>LIC960</v>
      </c>
      <c r="E175" s="125" t="str">
        <f t="shared" si="22"/>
        <v>LIC960</v>
      </c>
      <c r="F175" s="211" t="s">
        <v>20</v>
      </c>
      <c r="G175" s="127" t="s">
        <v>453</v>
      </c>
      <c r="L175" s="212" t="s">
        <v>1733</v>
      </c>
      <c r="N175" s="212" t="s">
        <v>1638</v>
      </c>
      <c r="Z175" s="213">
        <v>0</v>
      </c>
      <c r="AA175" s="213">
        <v>8783.19</v>
      </c>
      <c r="AB175" s="152">
        <f t="shared" si="16"/>
        <v>-8.7831900000000002E-4</v>
      </c>
      <c r="AC175" s="122" t="s">
        <v>1837</v>
      </c>
    </row>
    <row r="176" spans="1:29" ht="12.75" hidden="1" customHeight="1">
      <c r="A176" s="125" t="str">
        <f t="shared" si="20"/>
        <v>LIC96SGST EXPS PAYABLE ON MFEES</v>
      </c>
      <c r="B176" s="125">
        <f>+IFERROR(VLOOKUP(L176,'DB Mapping'!A:D,4,0),0)</f>
        <v>0</v>
      </c>
      <c r="C176" s="125">
        <f>+IFERROR(VLOOKUP(L176,'DB Mapping'!A:C,3,0),0)</f>
        <v>0</v>
      </c>
      <c r="D176" s="125" t="str">
        <f t="shared" si="21"/>
        <v>LIC960</v>
      </c>
      <c r="E176" s="125" t="str">
        <f t="shared" si="22"/>
        <v>LIC960</v>
      </c>
      <c r="F176" s="211" t="s">
        <v>20</v>
      </c>
      <c r="G176" s="127" t="s">
        <v>453</v>
      </c>
      <c r="L176" s="212" t="s">
        <v>1734</v>
      </c>
      <c r="N176" s="212" t="s">
        <v>1639</v>
      </c>
      <c r="Z176" s="213">
        <v>0</v>
      </c>
      <c r="AA176" s="213">
        <v>8783.19</v>
      </c>
      <c r="AB176" s="152">
        <f t="shared" si="16"/>
        <v>-8.7831900000000002E-4</v>
      </c>
      <c r="AC176" s="122" t="s">
        <v>1837</v>
      </c>
    </row>
    <row r="177" spans="1:29" ht="12.75" hidden="1" customHeight="1">
      <c r="A177" s="125" t="str">
        <f t="shared" si="20"/>
        <v>LIC96PAYABLE - INVESTOR EDUCATION FUND</v>
      </c>
      <c r="B177" s="125">
        <f>+IFERROR(VLOOKUP(L177,'DB Mapping'!A:D,4,0),0)</f>
        <v>0</v>
      </c>
      <c r="C177" s="125">
        <f>+IFERROR(VLOOKUP(L177,'DB Mapping'!A:C,3,0),0)</f>
        <v>0</v>
      </c>
      <c r="D177" s="125" t="str">
        <f t="shared" si="21"/>
        <v>LIC960</v>
      </c>
      <c r="E177" s="125" t="str">
        <f t="shared" si="22"/>
        <v>LIC960</v>
      </c>
      <c r="F177" s="211" t="s">
        <v>20</v>
      </c>
      <c r="G177" s="127" t="s">
        <v>453</v>
      </c>
      <c r="L177" s="212" t="s">
        <v>1735</v>
      </c>
      <c r="N177" s="212" t="s">
        <v>1640</v>
      </c>
      <c r="Z177" s="213">
        <v>0</v>
      </c>
      <c r="AA177" s="213">
        <v>661.86</v>
      </c>
      <c r="AB177" s="152">
        <f t="shared" si="16"/>
        <v>-6.6186000000000006E-5</v>
      </c>
      <c r="AC177" s="122" t="s">
        <v>1837</v>
      </c>
    </row>
    <row r="178" spans="1:29" ht="12.75" hidden="1" customHeight="1">
      <c r="A178" s="125" t="str">
        <f t="shared" si="20"/>
        <v>LIC96PAYABLE - SWITCH OUT</v>
      </c>
      <c r="B178" s="125">
        <f>+IFERROR(VLOOKUP(L178,'DB Mapping'!A:D,4,0),0)</f>
        <v>0</v>
      </c>
      <c r="C178" s="125">
        <f>+IFERROR(VLOOKUP(L178,'DB Mapping'!A:C,3,0),0)</f>
        <v>0</v>
      </c>
      <c r="D178" s="125" t="str">
        <f t="shared" si="21"/>
        <v>LIC960</v>
      </c>
      <c r="E178" s="125" t="str">
        <f t="shared" si="22"/>
        <v>LIC960</v>
      </c>
      <c r="F178" s="211" t="s">
        <v>20</v>
      </c>
      <c r="G178" s="127" t="s">
        <v>453</v>
      </c>
      <c r="L178" s="212" t="s">
        <v>1736</v>
      </c>
      <c r="N178" s="212" t="s">
        <v>1785</v>
      </c>
      <c r="Z178" s="213">
        <v>0</v>
      </c>
      <c r="AA178" s="213">
        <v>0</v>
      </c>
      <c r="AB178" s="152">
        <f t="shared" si="16"/>
        <v>0</v>
      </c>
      <c r="AC178" s="122" t="s">
        <v>1837</v>
      </c>
    </row>
    <row r="179" spans="1:29" ht="12.75" hidden="1" customHeight="1">
      <c r="A179" s="125" t="str">
        <f t="shared" si="20"/>
        <v>LIC96PAYABLE - INVESTOR EDUCATION FUND - AMFI</v>
      </c>
      <c r="B179" s="125">
        <f>+IFERROR(VLOOKUP(L179,'DB Mapping'!A:D,4,0),0)</f>
        <v>0</v>
      </c>
      <c r="C179" s="125">
        <f>+IFERROR(VLOOKUP(L179,'DB Mapping'!A:C,3,0),0)</f>
        <v>0</v>
      </c>
      <c r="D179" s="125" t="str">
        <f t="shared" si="21"/>
        <v>LIC960</v>
      </c>
      <c r="E179" s="125" t="str">
        <f t="shared" si="22"/>
        <v>LIC960</v>
      </c>
      <c r="F179" s="211" t="s">
        <v>20</v>
      </c>
      <c r="G179" s="127" t="s">
        <v>453</v>
      </c>
      <c r="L179" s="212" t="s">
        <v>1737</v>
      </c>
      <c r="N179" s="212" t="s">
        <v>1641</v>
      </c>
      <c r="Z179" s="213">
        <v>0</v>
      </c>
      <c r="AA179" s="213">
        <v>661.86</v>
      </c>
      <c r="AB179" s="152">
        <f t="shared" si="16"/>
        <v>-6.6186000000000006E-5</v>
      </c>
      <c r="AC179" s="122" t="s">
        <v>1837</v>
      </c>
    </row>
    <row r="180" spans="1:29" ht="12.75" hidden="1" customHeight="1">
      <c r="A180" s="125" t="str">
        <f t="shared" si="20"/>
        <v>LIC96DIVIDEND DISTRIBUTION PAYABLE</v>
      </c>
      <c r="B180" s="125">
        <f>+IFERROR(VLOOKUP(L180,'DB Mapping'!A:D,4,0),0)</f>
        <v>0</v>
      </c>
      <c r="C180" s="125">
        <f>+IFERROR(VLOOKUP(L180,'DB Mapping'!A:C,3,0),0)</f>
        <v>0</v>
      </c>
      <c r="D180" s="125" t="str">
        <f t="shared" si="21"/>
        <v>LIC960</v>
      </c>
      <c r="E180" s="125" t="str">
        <f t="shared" si="22"/>
        <v>LIC960</v>
      </c>
      <c r="F180" s="211" t="s">
        <v>20</v>
      </c>
      <c r="G180" s="127" t="s">
        <v>453</v>
      </c>
      <c r="L180" s="212" t="s">
        <v>1741</v>
      </c>
      <c r="N180" s="212" t="s">
        <v>1645</v>
      </c>
      <c r="Z180" s="213">
        <v>0</v>
      </c>
      <c r="AA180" s="213">
        <v>0</v>
      </c>
      <c r="AB180" s="152">
        <f t="shared" si="16"/>
        <v>0</v>
      </c>
      <c r="AC180" s="122" t="s">
        <v>1837</v>
      </c>
    </row>
    <row r="181" spans="1:29" ht="12.75" hidden="1" customHeight="1">
      <c r="A181" s="125" t="str">
        <f t="shared" si="20"/>
        <v>LIC96UNIT CAPITAL - REGULAR DIV</v>
      </c>
      <c r="B181" s="125">
        <f>+IFERROR(VLOOKUP(L181,'DB Mapping'!A:D,4,0),0)</f>
        <v>0</v>
      </c>
      <c r="C181" s="125" t="str">
        <f>+IFERROR(VLOOKUP(L181,'DB Mapping'!A:C,3,0),0)</f>
        <v>Unit Capital</v>
      </c>
      <c r="D181" s="125" t="str">
        <f t="shared" si="21"/>
        <v>LIC960</v>
      </c>
      <c r="E181" s="125" t="str">
        <f t="shared" si="22"/>
        <v>LIC96Unit Capital</v>
      </c>
      <c r="F181" s="211" t="s">
        <v>20</v>
      </c>
      <c r="G181" s="127" t="s">
        <v>453</v>
      </c>
      <c r="L181" s="212" t="s">
        <v>1746</v>
      </c>
      <c r="N181" s="212" t="s">
        <v>1651</v>
      </c>
      <c r="Z181" s="213">
        <v>0</v>
      </c>
      <c r="AA181" s="213">
        <v>7818290.8200000003</v>
      </c>
      <c r="AB181" s="152">
        <f t="shared" si="16"/>
        <v>-0.78182908200000001</v>
      </c>
      <c r="AC181" s="122" t="s">
        <v>1837</v>
      </c>
    </row>
    <row r="182" spans="1:29" ht="12.75" hidden="1" customHeight="1">
      <c r="A182" s="125" t="str">
        <f t="shared" si="20"/>
        <v>LIC96UNIT CAPITAL - REGULAR GROWTH</v>
      </c>
      <c r="B182" s="125">
        <f>+IFERROR(VLOOKUP(L182,'DB Mapping'!A:D,4,0),0)</f>
        <v>0</v>
      </c>
      <c r="C182" s="125" t="str">
        <f>+IFERROR(VLOOKUP(L182,'DB Mapping'!A:C,3,0),0)</f>
        <v>Unit Capital</v>
      </c>
      <c r="D182" s="125" t="str">
        <f t="shared" si="21"/>
        <v>LIC960</v>
      </c>
      <c r="E182" s="125" t="str">
        <f t="shared" si="22"/>
        <v>LIC96Unit Capital</v>
      </c>
      <c r="F182" s="211" t="s">
        <v>20</v>
      </c>
      <c r="G182" s="127" t="s">
        <v>453</v>
      </c>
      <c r="L182" s="212" t="s">
        <v>1747</v>
      </c>
      <c r="N182" s="212" t="s">
        <v>1652</v>
      </c>
      <c r="Z182" s="213">
        <v>0</v>
      </c>
      <c r="AA182" s="213">
        <v>15525878.68</v>
      </c>
      <c r="AB182" s="152">
        <f t="shared" si="16"/>
        <v>-1.552587868</v>
      </c>
      <c r="AC182" s="122" t="s">
        <v>1837</v>
      </c>
    </row>
    <row r="183" spans="1:29" ht="12.75" hidden="1" customHeight="1">
      <c r="A183" s="125" t="str">
        <f t="shared" si="20"/>
        <v>LIC96UNIT CAPITAL - DIRECT GROWTH</v>
      </c>
      <c r="B183" s="125">
        <f>+IFERROR(VLOOKUP(L183,'DB Mapping'!A:D,4,0),0)</f>
        <v>0</v>
      </c>
      <c r="C183" s="125" t="str">
        <f>+IFERROR(VLOOKUP(L183,'DB Mapping'!A:C,3,0),0)</f>
        <v>Unit Capital</v>
      </c>
      <c r="D183" s="125" t="str">
        <f t="shared" si="21"/>
        <v>LIC960</v>
      </c>
      <c r="E183" s="125" t="str">
        <f t="shared" si="22"/>
        <v>LIC96Unit Capital</v>
      </c>
      <c r="F183" s="211" t="s">
        <v>20</v>
      </c>
      <c r="G183" s="127" t="s">
        <v>453</v>
      </c>
      <c r="L183" s="212" t="s">
        <v>1749</v>
      </c>
      <c r="N183" s="212" t="s">
        <v>1654</v>
      </c>
      <c r="Z183" s="213">
        <v>0</v>
      </c>
      <c r="AA183" s="213">
        <v>19916277.609999999</v>
      </c>
      <c r="AB183" s="152">
        <f t="shared" si="16"/>
        <v>-1.9916277609999999</v>
      </c>
      <c r="AC183" s="122" t="s">
        <v>1837</v>
      </c>
    </row>
    <row r="184" spans="1:29" ht="12.75" hidden="1" customHeight="1">
      <c r="A184" s="125" t="str">
        <f t="shared" si="20"/>
        <v>LIC96UPR - REGULAR DIV</v>
      </c>
      <c r="B184" s="125">
        <f>+IFERROR(VLOOKUP(L184,'DB Mapping'!A:D,4,0),0)</f>
        <v>0</v>
      </c>
      <c r="C184" s="125">
        <f>+IFERROR(VLOOKUP(L184,'DB Mapping'!A:C,3,0),0)</f>
        <v>0</v>
      </c>
      <c r="D184" s="125" t="str">
        <f t="shared" si="21"/>
        <v>LIC960</v>
      </c>
      <c r="E184" s="125" t="str">
        <f t="shared" si="22"/>
        <v>LIC960</v>
      </c>
      <c r="F184" s="211" t="s">
        <v>20</v>
      </c>
      <c r="G184" s="127" t="s">
        <v>453</v>
      </c>
      <c r="L184" s="212" t="s">
        <v>1799</v>
      </c>
      <c r="N184" s="212" t="s">
        <v>1800</v>
      </c>
      <c r="Z184" s="213">
        <v>0</v>
      </c>
      <c r="AA184" s="213">
        <v>4341.1000000000004</v>
      </c>
      <c r="AB184" s="152">
        <f t="shared" si="16"/>
        <v>-4.3411000000000003E-4</v>
      </c>
      <c r="AC184" s="122" t="s">
        <v>1837</v>
      </c>
    </row>
    <row r="185" spans="1:29" ht="12.75" hidden="1" customHeight="1">
      <c r="A185" s="125" t="str">
        <f t="shared" si="20"/>
        <v>LIC96UPR - REGULAR GROWTH</v>
      </c>
      <c r="B185" s="125">
        <f>+IFERROR(VLOOKUP(L185,'DB Mapping'!A:D,4,0),0)</f>
        <v>0</v>
      </c>
      <c r="C185" s="125">
        <f>+IFERROR(VLOOKUP(L185,'DB Mapping'!A:C,3,0),0)</f>
        <v>0</v>
      </c>
      <c r="D185" s="125" t="str">
        <f t="shared" si="21"/>
        <v>LIC960</v>
      </c>
      <c r="E185" s="125" t="str">
        <f t="shared" si="22"/>
        <v>LIC960</v>
      </c>
      <c r="F185" s="211" t="s">
        <v>20</v>
      </c>
      <c r="G185" s="127" t="s">
        <v>453</v>
      </c>
      <c r="L185" s="212" t="s">
        <v>1750</v>
      </c>
      <c r="N185" s="212" t="s">
        <v>1655</v>
      </c>
      <c r="Z185" s="213">
        <v>4711913.59</v>
      </c>
      <c r="AA185" s="213">
        <v>0</v>
      </c>
      <c r="AB185" s="152">
        <f t="shared" si="16"/>
        <v>0.47119135899999998</v>
      </c>
      <c r="AC185" s="122" t="s">
        <v>1837</v>
      </c>
    </row>
    <row r="186" spans="1:29" ht="12.75" hidden="1" customHeight="1">
      <c r="A186" s="125" t="str">
        <f t="shared" si="20"/>
        <v>LIC96UPR - DIRECT DIVIDEND</v>
      </c>
      <c r="B186" s="125">
        <f>+IFERROR(VLOOKUP(L186,'DB Mapping'!A:D,4,0),0)</f>
        <v>0</v>
      </c>
      <c r="C186" s="125">
        <f>+IFERROR(VLOOKUP(L186,'DB Mapping'!A:C,3,0),0)</f>
        <v>0</v>
      </c>
      <c r="D186" s="125" t="str">
        <f t="shared" si="21"/>
        <v>LIC960</v>
      </c>
      <c r="E186" s="125" t="str">
        <f t="shared" si="22"/>
        <v>LIC960</v>
      </c>
      <c r="F186" s="211" t="s">
        <v>20</v>
      </c>
      <c r="G186" s="127" t="s">
        <v>453</v>
      </c>
      <c r="L186" s="212" t="s">
        <v>1801</v>
      </c>
      <c r="N186" s="212" t="s">
        <v>1802</v>
      </c>
      <c r="Z186" s="213">
        <v>0.48</v>
      </c>
      <c r="AA186" s="213">
        <v>0</v>
      </c>
      <c r="AB186" s="152">
        <f t="shared" si="16"/>
        <v>4.8E-8</v>
      </c>
      <c r="AC186" s="122" t="s">
        <v>1837</v>
      </c>
    </row>
    <row r="187" spans="1:29" ht="12.75" hidden="1" customHeight="1">
      <c r="A187" s="125" t="str">
        <f t="shared" si="20"/>
        <v>LIC96UPR - DIRECT GROWTH</v>
      </c>
      <c r="B187" s="125">
        <f>+IFERROR(VLOOKUP(L187,'DB Mapping'!A:D,4,0),0)</f>
        <v>0</v>
      </c>
      <c r="C187" s="125">
        <f>+IFERROR(VLOOKUP(L187,'DB Mapping'!A:C,3,0),0)</f>
        <v>0</v>
      </c>
      <c r="D187" s="125" t="str">
        <f t="shared" si="21"/>
        <v>LIC960</v>
      </c>
      <c r="E187" s="125" t="str">
        <f t="shared" si="22"/>
        <v>LIC960</v>
      </c>
      <c r="F187" s="211" t="s">
        <v>20</v>
      </c>
      <c r="G187" s="127" t="s">
        <v>453</v>
      </c>
      <c r="L187" s="212" t="s">
        <v>1751</v>
      </c>
      <c r="N187" s="212" t="s">
        <v>1786</v>
      </c>
      <c r="Z187" s="213">
        <v>5827520.2199999997</v>
      </c>
      <c r="AA187" s="213">
        <v>0</v>
      </c>
      <c r="AB187" s="152">
        <f t="shared" si="16"/>
        <v>0.58275202199999998</v>
      </c>
      <c r="AC187" s="122" t="s">
        <v>1837</v>
      </c>
    </row>
    <row r="188" spans="1:29" ht="12.75" hidden="1" customHeight="1">
      <c r="A188" s="125" t="str">
        <f t="shared" si="20"/>
        <v>LIC96RESERVES &amp; SURPLUS</v>
      </c>
      <c r="B188" s="125">
        <f>+IFERROR(VLOOKUP(L188,'DB Mapping'!A:D,4,0),0)</f>
        <v>0</v>
      </c>
      <c r="C188" s="125">
        <f>+IFERROR(VLOOKUP(L188,'DB Mapping'!A:C,3,0),0)</f>
        <v>0</v>
      </c>
      <c r="D188" s="125" t="str">
        <f t="shared" si="21"/>
        <v>LIC960</v>
      </c>
      <c r="E188" s="125" t="str">
        <f t="shared" si="22"/>
        <v>LIC960</v>
      </c>
      <c r="F188" s="211" t="s">
        <v>20</v>
      </c>
      <c r="G188" s="127" t="s">
        <v>453</v>
      </c>
      <c r="L188" s="212" t="s">
        <v>1752</v>
      </c>
      <c r="N188" s="212" t="s">
        <v>1656</v>
      </c>
      <c r="Z188" s="213">
        <v>0</v>
      </c>
      <c r="AA188" s="213">
        <v>45211263.030000001</v>
      </c>
      <c r="AB188" s="152">
        <f t="shared" si="16"/>
        <v>-4.521126303</v>
      </c>
      <c r="AC188" s="122" t="s">
        <v>1837</v>
      </c>
    </row>
    <row r="189" spans="1:29" ht="12.75" hidden="1" customHeight="1">
      <c r="A189" s="125" t="str">
        <f t="shared" si="20"/>
        <v>LIC96DIV DISTRIBUTION - REGULAR DIV</v>
      </c>
      <c r="B189" s="125">
        <f>+IFERROR(VLOOKUP(L189,'DB Mapping'!A:D,4,0),0)</f>
        <v>0</v>
      </c>
      <c r="C189" s="125">
        <f>+IFERROR(VLOOKUP(L189,'DB Mapping'!A:C,3,0),0)</f>
        <v>0</v>
      </c>
      <c r="D189" s="125" t="str">
        <f t="shared" si="21"/>
        <v>LIC960</v>
      </c>
      <c r="E189" s="125" t="str">
        <f t="shared" si="22"/>
        <v>LIC960</v>
      </c>
      <c r="F189" s="211" t="s">
        <v>20</v>
      </c>
      <c r="G189" s="127" t="s">
        <v>453</v>
      </c>
      <c r="L189" s="212" t="s">
        <v>1753</v>
      </c>
      <c r="N189" s="212" t="s">
        <v>1657</v>
      </c>
      <c r="Z189" s="213">
        <v>263890.53000000003</v>
      </c>
      <c r="AA189" s="213">
        <v>0</v>
      </c>
      <c r="AB189" s="152">
        <f t="shared" si="16"/>
        <v>2.6389053000000003E-2</v>
      </c>
      <c r="AC189" s="122" t="s">
        <v>1837</v>
      </c>
    </row>
    <row r="190" spans="1:29" ht="12.75" hidden="1" customHeight="1">
      <c r="A190" s="125" t="str">
        <f t="shared" si="20"/>
        <v>LIC96DIV DISTRIBUTION - DIRECT DIVIDEND</v>
      </c>
      <c r="B190" s="125">
        <f>+IFERROR(VLOOKUP(L190,'DB Mapping'!A:D,4,0),0)</f>
        <v>0</v>
      </c>
      <c r="C190" s="125">
        <f>+IFERROR(VLOOKUP(L190,'DB Mapping'!A:C,3,0),0)</f>
        <v>0</v>
      </c>
      <c r="D190" s="125" t="str">
        <f t="shared" si="21"/>
        <v>LIC960</v>
      </c>
      <c r="E190" s="125" t="str">
        <f t="shared" si="22"/>
        <v>LIC960</v>
      </c>
      <c r="F190" s="211" t="s">
        <v>20</v>
      </c>
      <c r="G190" s="127" t="s">
        <v>453</v>
      </c>
      <c r="L190" s="212" t="s">
        <v>1754</v>
      </c>
      <c r="N190" s="212" t="s">
        <v>1658</v>
      </c>
      <c r="Z190" s="213">
        <v>1060.67</v>
      </c>
      <c r="AA190" s="213">
        <v>0</v>
      </c>
      <c r="AB190" s="152">
        <f t="shared" si="16"/>
        <v>1.0606700000000001E-4</v>
      </c>
      <c r="AC190" s="122" t="s">
        <v>1837</v>
      </c>
    </row>
    <row r="191" spans="1:29" ht="12.75" hidden="1" customHeight="1">
      <c r="A191" s="125" t="str">
        <f t="shared" si="20"/>
        <v>LIC96DDT - REGULAR DIV</v>
      </c>
      <c r="B191" s="125">
        <f>+IFERROR(VLOOKUP(L191,'DB Mapping'!A:D,4,0),0)</f>
        <v>0</v>
      </c>
      <c r="C191" s="125">
        <f>+IFERROR(VLOOKUP(L191,'DB Mapping'!A:C,3,0),0)</f>
        <v>0</v>
      </c>
      <c r="D191" s="125" t="str">
        <f t="shared" si="21"/>
        <v>LIC960</v>
      </c>
      <c r="E191" s="125" t="str">
        <f t="shared" si="22"/>
        <v>LIC960</v>
      </c>
      <c r="F191" s="211" t="s">
        <v>20</v>
      </c>
      <c r="G191" s="127" t="s">
        <v>453</v>
      </c>
      <c r="L191" s="212" t="s">
        <v>1755</v>
      </c>
      <c r="N191" s="212" t="s">
        <v>1659</v>
      </c>
      <c r="Z191" s="213">
        <v>101474</v>
      </c>
      <c r="AA191" s="213">
        <v>0</v>
      </c>
      <c r="AB191" s="152">
        <f t="shared" si="16"/>
        <v>1.0147400000000001E-2</v>
      </c>
      <c r="AC191" s="122" t="s">
        <v>1837</v>
      </c>
    </row>
    <row r="192" spans="1:29" ht="12.75" hidden="1" customHeight="1">
      <c r="A192" s="125" t="str">
        <f t="shared" si="20"/>
        <v>LIC96DDT - DIRECT DIVIDEND</v>
      </c>
      <c r="B192" s="125">
        <f>+IFERROR(VLOOKUP(L192,'DB Mapping'!A:D,4,0),0)</f>
        <v>0</v>
      </c>
      <c r="C192" s="125">
        <f>+IFERROR(VLOOKUP(L192,'DB Mapping'!A:C,3,0),0)</f>
        <v>0</v>
      </c>
      <c r="D192" s="125" t="str">
        <f t="shared" si="21"/>
        <v>LIC960</v>
      </c>
      <c r="E192" s="125" t="str">
        <f t="shared" si="22"/>
        <v>LIC960</v>
      </c>
      <c r="F192" s="211" t="s">
        <v>20</v>
      </c>
      <c r="G192" s="127" t="s">
        <v>453</v>
      </c>
      <c r="L192" s="212" t="s">
        <v>1756</v>
      </c>
      <c r="N192" s="212" t="s">
        <v>1660</v>
      </c>
      <c r="Z192" s="213">
        <v>408</v>
      </c>
      <c r="AA192" s="213">
        <v>0</v>
      </c>
      <c r="AB192" s="152">
        <f t="shared" si="16"/>
        <v>4.0800000000000002E-5</v>
      </c>
      <c r="AC192" s="122" t="s">
        <v>1837</v>
      </c>
    </row>
    <row r="193" spans="1:29" ht="12.75" hidden="1" customHeight="1">
      <c r="A193" s="125" t="str">
        <f t="shared" si="20"/>
        <v>LIC96AMORTISATION INCOME - CBLO</v>
      </c>
      <c r="B193" s="125">
        <f>+IFERROR(VLOOKUP(L193,'DB Mapping'!A:D,4,0),0)</f>
        <v>0</v>
      </c>
      <c r="C193" s="125">
        <f>+IFERROR(VLOOKUP(L193,'DB Mapping'!A:C,3,0),0)</f>
        <v>5.2</v>
      </c>
      <c r="D193" s="125" t="str">
        <f t="shared" si="21"/>
        <v>LIC960</v>
      </c>
      <c r="E193" s="125" t="str">
        <f t="shared" si="22"/>
        <v>LIC965.2</v>
      </c>
      <c r="F193" s="211" t="s">
        <v>20</v>
      </c>
      <c r="G193" s="127" t="s">
        <v>453</v>
      </c>
      <c r="L193" s="212" t="s">
        <v>1757</v>
      </c>
      <c r="N193" s="212" t="s">
        <v>1667</v>
      </c>
      <c r="Z193" s="213">
        <v>0</v>
      </c>
      <c r="AA193" s="213">
        <v>3003256.02</v>
      </c>
      <c r="AB193" s="152">
        <f t="shared" si="16"/>
        <v>-0.30032560200000002</v>
      </c>
      <c r="AC193" s="122" t="s">
        <v>1837</v>
      </c>
    </row>
    <row r="194" spans="1:29" ht="12.75" hidden="1" customHeight="1">
      <c r="A194" s="125" t="str">
        <f t="shared" si="20"/>
        <v>LIC96AMORTISATION INCOME - TREASURY BILL</v>
      </c>
      <c r="B194" s="125">
        <f>+IFERROR(VLOOKUP(L194,'DB Mapping'!A:D,4,0),0)</f>
        <v>0</v>
      </c>
      <c r="C194" s="125">
        <f>+IFERROR(VLOOKUP(L194,'DB Mapping'!A:C,3,0),0)</f>
        <v>5.2</v>
      </c>
      <c r="D194" s="125" t="str">
        <f t="shared" si="21"/>
        <v>LIC960</v>
      </c>
      <c r="E194" s="125" t="str">
        <f t="shared" si="22"/>
        <v>LIC965.2</v>
      </c>
      <c r="F194" s="211" t="s">
        <v>20</v>
      </c>
      <c r="G194" s="127" t="s">
        <v>453</v>
      </c>
      <c r="L194" s="212" t="s">
        <v>1758</v>
      </c>
      <c r="N194" s="212" t="s">
        <v>1787</v>
      </c>
      <c r="Z194" s="213">
        <v>0</v>
      </c>
      <c r="AA194" s="213">
        <v>347282.6</v>
      </c>
      <c r="AB194" s="152">
        <f t="shared" si="16"/>
        <v>-3.4728259999999997E-2</v>
      </c>
      <c r="AC194" s="122" t="s">
        <v>1837</v>
      </c>
    </row>
    <row r="195" spans="1:29" ht="12.75" hidden="1" customHeight="1">
      <c r="A195" s="125" t="str">
        <f t="shared" si="20"/>
        <v>LIC96MISCELLEANOUS INCOME</v>
      </c>
      <c r="B195" s="125">
        <f>+IFERROR(VLOOKUP(L195,'DB Mapping'!A:D,4,0),0)</f>
        <v>0</v>
      </c>
      <c r="C195" s="125">
        <f>+IFERROR(VLOOKUP(L195,'DB Mapping'!A:C,3,0),0)</f>
        <v>5.5</v>
      </c>
      <c r="D195" s="125" t="str">
        <f t="shared" si="21"/>
        <v>LIC960</v>
      </c>
      <c r="E195" s="125" t="str">
        <f t="shared" si="22"/>
        <v>LIC965.5</v>
      </c>
      <c r="F195" s="211" t="s">
        <v>20</v>
      </c>
      <c r="G195" s="127" t="s">
        <v>453</v>
      </c>
      <c r="L195" s="212" t="s">
        <v>1759</v>
      </c>
      <c r="N195" s="212" t="s">
        <v>1668</v>
      </c>
      <c r="Z195" s="213">
        <v>0</v>
      </c>
      <c r="AA195" s="213">
        <v>0.75</v>
      </c>
      <c r="AB195" s="152">
        <f t="shared" si="16"/>
        <v>-7.4999999999999997E-8</v>
      </c>
      <c r="AC195" s="122" t="s">
        <v>1837</v>
      </c>
    </row>
    <row r="196" spans="1:29" ht="12.75" customHeight="1">
      <c r="A196" s="125" t="str">
        <f t="shared" si="20"/>
        <v>LIC96MANAGEMENT FEES</v>
      </c>
      <c r="B196" s="125">
        <f>+IFERROR(VLOOKUP(L196,'DB Mapping'!A:D,4,0),0)</f>
        <v>6.1</v>
      </c>
      <c r="C196" s="125">
        <f>+IFERROR(VLOOKUP(L196,'DB Mapping'!A:C,3,0),0)</f>
        <v>6.3</v>
      </c>
      <c r="D196" s="125" t="str">
        <f t="shared" si="21"/>
        <v>LIC966.1</v>
      </c>
      <c r="E196" s="125" t="str">
        <f t="shared" si="22"/>
        <v>LIC966.3</v>
      </c>
      <c r="F196" s="211" t="s">
        <v>20</v>
      </c>
      <c r="G196" s="127" t="s">
        <v>453</v>
      </c>
      <c r="L196" s="212" t="s">
        <v>1760</v>
      </c>
      <c r="N196" s="212" t="s">
        <v>1702</v>
      </c>
      <c r="Z196" s="213">
        <v>97193.44</v>
      </c>
      <c r="AA196" s="213">
        <v>0</v>
      </c>
      <c r="AB196" s="152">
        <f t="shared" si="16"/>
        <v>9.7193439999999996E-3</v>
      </c>
      <c r="AC196" s="122" t="s">
        <v>1837</v>
      </c>
    </row>
    <row r="197" spans="1:29" ht="12.75" customHeight="1">
      <c r="A197" s="125" t="str">
        <f t="shared" si="20"/>
        <v>LIC96MANAGEMENT FEES - REGULAR DIV</v>
      </c>
      <c r="B197" s="125">
        <f>+IFERROR(VLOOKUP(L197,'DB Mapping'!A:D,4,0),0)</f>
        <v>6.1</v>
      </c>
      <c r="C197" s="125">
        <f>+IFERROR(VLOOKUP(L197,'DB Mapping'!A:C,3,0),0)</f>
        <v>6.3</v>
      </c>
      <c r="D197" s="125" t="str">
        <f t="shared" si="21"/>
        <v>LIC966.1</v>
      </c>
      <c r="E197" s="125" t="str">
        <f t="shared" si="22"/>
        <v>LIC966.3</v>
      </c>
      <c r="F197" s="211" t="s">
        <v>20</v>
      </c>
      <c r="G197" s="127" t="s">
        <v>453</v>
      </c>
      <c r="L197" s="212" t="s">
        <v>1805</v>
      </c>
      <c r="N197" s="212" t="s">
        <v>1672</v>
      </c>
      <c r="Z197" s="213">
        <v>3241.66</v>
      </c>
      <c r="AA197" s="213">
        <v>0</v>
      </c>
      <c r="AB197" s="152">
        <f t="shared" si="16"/>
        <v>3.2416599999999997E-4</v>
      </c>
      <c r="AC197" s="122" t="s">
        <v>1837</v>
      </c>
    </row>
    <row r="198" spans="1:29" ht="12.75" customHeight="1">
      <c r="A198" s="125" t="str">
        <f t="shared" si="20"/>
        <v>LIC96MANAGEMENT FEES - REGULAR GROWTH</v>
      </c>
      <c r="B198" s="125">
        <f>+IFERROR(VLOOKUP(L198,'DB Mapping'!A:D,4,0),0)</f>
        <v>6.1</v>
      </c>
      <c r="C198" s="125">
        <f>+IFERROR(VLOOKUP(L198,'DB Mapping'!A:C,3,0),0)</f>
        <v>6.3</v>
      </c>
      <c r="D198" s="125" t="str">
        <f t="shared" si="21"/>
        <v>LIC966.1</v>
      </c>
      <c r="E198" s="125" t="str">
        <f t="shared" si="22"/>
        <v>LIC966.3</v>
      </c>
      <c r="F198" s="211" t="s">
        <v>20</v>
      </c>
      <c r="G198" s="127" t="s">
        <v>453</v>
      </c>
      <c r="L198" s="212" t="s">
        <v>1806</v>
      </c>
      <c r="N198" s="212" t="s">
        <v>1673</v>
      </c>
      <c r="Z198" s="213">
        <v>13307.35</v>
      </c>
      <c r="AA198" s="213">
        <v>0</v>
      </c>
      <c r="AB198" s="152">
        <f t="shared" si="16"/>
        <v>1.330735E-3</v>
      </c>
      <c r="AC198" s="122" t="s">
        <v>1837</v>
      </c>
    </row>
    <row r="199" spans="1:29" ht="12.75" customHeight="1">
      <c r="A199" s="125" t="str">
        <f t="shared" si="20"/>
        <v>LIC96MANAGEMENT FEES - DIRECT DIVIDEND</v>
      </c>
      <c r="B199" s="125">
        <f>+IFERROR(VLOOKUP(L199,'DB Mapping'!A:D,4,0),0)</f>
        <v>6.1</v>
      </c>
      <c r="C199" s="125">
        <f>+IFERROR(VLOOKUP(L199,'DB Mapping'!A:C,3,0),0)</f>
        <v>6.3</v>
      </c>
      <c r="D199" s="125" t="str">
        <f t="shared" si="21"/>
        <v>LIC966.1</v>
      </c>
      <c r="E199" s="125" t="str">
        <f t="shared" si="22"/>
        <v>LIC966.3</v>
      </c>
      <c r="F199" s="211" t="s">
        <v>20</v>
      </c>
      <c r="G199" s="127" t="s">
        <v>453</v>
      </c>
      <c r="L199" s="212" t="s">
        <v>1807</v>
      </c>
      <c r="N199" s="212" t="s">
        <v>1674</v>
      </c>
      <c r="Z199" s="213">
        <v>2.16</v>
      </c>
      <c r="AA199" s="213">
        <v>0</v>
      </c>
      <c r="AB199" s="152">
        <f t="shared" si="16"/>
        <v>2.16E-7</v>
      </c>
      <c r="AC199" s="122" t="s">
        <v>1837</v>
      </c>
    </row>
    <row r="200" spans="1:29" ht="12.75" customHeight="1">
      <c r="A200" s="125" t="str">
        <f t="shared" si="20"/>
        <v>LIC96MANAGEMENT FEES - DIRECT GROWTH</v>
      </c>
      <c r="B200" s="125">
        <f>+IFERROR(VLOOKUP(L200,'DB Mapping'!A:D,4,0),0)</f>
        <v>6.1</v>
      </c>
      <c r="C200" s="125">
        <f>+IFERROR(VLOOKUP(L200,'DB Mapping'!A:C,3,0),0)</f>
        <v>6.3</v>
      </c>
      <c r="D200" s="125" t="str">
        <f t="shared" si="21"/>
        <v>LIC966.1</v>
      </c>
      <c r="E200" s="125" t="str">
        <f t="shared" si="22"/>
        <v>LIC966.3</v>
      </c>
      <c r="F200" s="211" t="s">
        <v>20</v>
      </c>
      <c r="G200" s="127" t="s">
        <v>453</v>
      </c>
      <c r="L200" s="212" t="s">
        <v>1808</v>
      </c>
      <c r="N200" s="212" t="s">
        <v>1675</v>
      </c>
      <c r="Z200" s="213">
        <v>17153.09</v>
      </c>
      <c r="AA200" s="213">
        <v>0</v>
      </c>
      <c r="AB200" s="152">
        <f t="shared" si="16"/>
        <v>1.7153089999999999E-3</v>
      </c>
      <c r="AC200" s="122" t="s">
        <v>1837</v>
      </c>
    </row>
    <row r="201" spans="1:29" ht="12.75" hidden="1" customHeight="1">
      <c r="A201" s="125" t="str">
        <f t="shared" si="20"/>
        <v>LIC96OTHER FEES</v>
      </c>
      <c r="B201" s="125">
        <f>+IFERROR(VLOOKUP(L201,'DB Mapping'!A:D,4,0),0)</f>
        <v>0</v>
      </c>
      <c r="C201" s="125">
        <f>+IFERROR(VLOOKUP(L201,'DB Mapping'!A:C,3,0),0)</f>
        <v>6.3</v>
      </c>
      <c r="D201" s="125" t="str">
        <f t="shared" si="21"/>
        <v>LIC960</v>
      </c>
      <c r="E201" s="125" t="str">
        <f t="shared" si="22"/>
        <v>LIC966.3</v>
      </c>
      <c r="F201" s="211" t="s">
        <v>20</v>
      </c>
      <c r="G201" s="127" t="s">
        <v>453</v>
      </c>
      <c r="L201" s="212" t="s">
        <v>1761</v>
      </c>
      <c r="N201" s="212" t="s">
        <v>1788</v>
      </c>
      <c r="Z201" s="213">
        <v>0</v>
      </c>
      <c r="AA201" s="213">
        <v>87106.47</v>
      </c>
      <c r="AB201" s="152">
        <f t="shared" si="16"/>
        <v>-8.7106470000000002E-3</v>
      </c>
      <c r="AC201" s="122" t="s">
        <v>1837</v>
      </c>
    </row>
    <row r="202" spans="1:29" ht="12.75" hidden="1" customHeight="1">
      <c r="A202" s="125" t="str">
        <f t="shared" si="20"/>
        <v>LIC96OTHER FEES - REGULAR DIV</v>
      </c>
      <c r="B202" s="125">
        <f>+IFERROR(VLOOKUP(L202,'DB Mapping'!A:D,4,0),0)</f>
        <v>0</v>
      </c>
      <c r="C202" s="125">
        <f>+IFERROR(VLOOKUP(L202,'DB Mapping'!A:C,3,0),0)</f>
        <v>6.3</v>
      </c>
      <c r="D202" s="125" t="str">
        <f t="shared" si="21"/>
        <v>LIC960</v>
      </c>
      <c r="E202" s="125" t="str">
        <f t="shared" si="22"/>
        <v>LIC966.3</v>
      </c>
      <c r="F202" s="211" t="s">
        <v>20</v>
      </c>
      <c r="G202" s="127" t="s">
        <v>453</v>
      </c>
      <c r="L202" s="212" t="s">
        <v>1762</v>
      </c>
      <c r="N202" s="212" t="s">
        <v>1676</v>
      </c>
      <c r="Z202" s="213">
        <v>11345.75</v>
      </c>
      <c r="AA202" s="213">
        <v>0</v>
      </c>
      <c r="AB202" s="152">
        <f t="shared" ref="AB202:AB265" si="23">+(Z202-AA202)/10000000</f>
        <v>1.1345750000000001E-3</v>
      </c>
      <c r="AC202" s="122" t="s">
        <v>1837</v>
      </c>
    </row>
    <row r="203" spans="1:29" ht="12.75" hidden="1" customHeight="1">
      <c r="A203" s="125" t="str">
        <f t="shared" si="20"/>
        <v>LIC96OTHER FEES - REGULAR GROWTH</v>
      </c>
      <c r="B203" s="125">
        <f>+IFERROR(VLOOKUP(L203,'DB Mapping'!A:D,4,0),0)</f>
        <v>0</v>
      </c>
      <c r="C203" s="125">
        <f>+IFERROR(VLOOKUP(L203,'DB Mapping'!A:C,3,0),0)</f>
        <v>6.3</v>
      </c>
      <c r="D203" s="125" t="str">
        <f t="shared" si="21"/>
        <v>LIC960</v>
      </c>
      <c r="E203" s="125" t="str">
        <f t="shared" si="22"/>
        <v>LIC966.3</v>
      </c>
      <c r="F203" s="211" t="s">
        <v>20</v>
      </c>
      <c r="G203" s="127" t="s">
        <v>453</v>
      </c>
      <c r="L203" s="212" t="s">
        <v>1763</v>
      </c>
      <c r="N203" s="212" t="s">
        <v>1677</v>
      </c>
      <c r="Z203" s="213">
        <v>46575.71</v>
      </c>
      <c r="AA203" s="213">
        <v>0</v>
      </c>
      <c r="AB203" s="152">
        <f t="shared" si="23"/>
        <v>4.6575710000000001E-3</v>
      </c>
      <c r="AC203" s="122" t="s">
        <v>1837</v>
      </c>
    </row>
    <row r="204" spans="1:29" ht="12.75" hidden="1" customHeight="1">
      <c r="A204" s="125" t="str">
        <f t="shared" si="20"/>
        <v>LIC96OTHER FEES - DIRECT DIVIDEND</v>
      </c>
      <c r="B204" s="125">
        <f>+IFERROR(VLOOKUP(L204,'DB Mapping'!A:D,4,0),0)</f>
        <v>0</v>
      </c>
      <c r="C204" s="125">
        <f>+IFERROR(VLOOKUP(L204,'DB Mapping'!A:C,3,0),0)</f>
        <v>6.3</v>
      </c>
      <c r="D204" s="125" t="str">
        <f t="shared" si="21"/>
        <v>LIC960</v>
      </c>
      <c r="E204" s="125" t="str">
        <f t="shared" si="22"/>
        <v>LIC966.3</v>
      </c>
      <c r="F204" s="211" t="s">
        <v>20</v>
      </c>
      <c r="G204" s="127" t="s">
        <v>453</v>
      </c>
      <c r="L204" s="212" t="s">
        <v>1764</v>
      </c>
      <c r="N204" s="212" t="s">
        <v>1678</v>
      </c>
      <c r="Z204" s="213">
        <v>8.0299999999999994</v>
      </c>
      <c r="AA204" s="213">
        <v>0</v>
      </c>
      <c r="AB204" s="152">
        <f t="shared" si="23"/>
        <v>8.0299999999999998E-7</v>
      </c>
      <c r="AC204" s="122" t="s">
        <v>1837</v>
      </c>
    </row>
    <row r="205" spans="1:29" ht="12.75" hidden="1" customHeight="1">
      <c r="A205" s="125" t="str">
        <f t="shared" si="20"/>
        <v>LIC96OTHER FEES - DIRECT GROWTH</v>
      </c>
      <c r="B205" s="125">
        <f>+IFERROR(VLOOKUP(L205,'DB Mapping'!A:D,4,0),0)</f>
        <v>0</v>
      </c>
      <c r="C205" s="125">
        <f>+IFERROR(VLOOKUP(L205,'DB Mapping'!A:C,3,0),0)</f>
        <v>6.3</v>
      </c>
      <c r="D205" s="125" t="str">
        <f t="shared" si="21"/>
        <v>LIC960</v>
      </c>
      <c r="E205" s="125" t="str">
        <f t="shared" si="22"/>
        <v>LIC966.3</v>
      </c>
      <c r="F205" s="211" t="s">
        <v>20</v>
      </c>
      <c r="G205" s="127" t="s">
        <v>453</v>
      </c>
      <c r="L205" s="212" t="s">
        <v>1765</v>
      </c>
      <c r="N205" s="212" t="s">
        <v>1679</v>
      </c>
      <c r="Z205" s="213">
        <v>60036.07</v>
      </c>
      <c r="AA205" s="213">
        <v>0</v>
      </c>
      <c r="AB205" s="152">
        <f t="shared" si="23"/>
        <v>6.0036070000000002E-3</v>
      </c>
      <c r="AC205" s="122" t="s">
        <v>1837</v>
      </c>
    </row>
    <row r="206" spans="1:29" ht="12.75" hidden="1" customHeight="1">
      <c r="A206" s="125" t="str">
        <f t="shared" si="20"/>
        <v>LIC96OTHER FEES (SELLING &amp; DISTRIBUTION)</v>
      </c>
      <c r="B206" s="125">
        <f>+IFERROR(VLOOKUP(L206,'DB Mapping'!A:D,4,0),0)</f>
        <v>0</v>
      </c>
      <c r="C206" s="125">
        <f>+IFERROR(VLOOKUP(L206,'DB Mapping'!A:C,3,0),0)</f>
        <v>6.3</v>
      </c>
      <c r="D206" s="125" t="str">
        <f t="shared" si="21"/>
        <v>LIC960</v>
      </c>
      <c r="E206" s="125" t="str">
        <f t="shared" si="22"/>
        <v>LIC966.3</v>
      </c>
      <c r="F206" s="211" t="s">
        <v>20</v>
      </c>
      <c r="G206" s="127" t="s">
        <v>453</v>
      </c>
      <c r="L206" s="212" t="s">
        <v>1766</v>
      </c>
      <c r="N206" s="212" t="s">
        <v>1680</v>
      </c>
      <c r="Z206" s="213">
        <v>0</v>
      </c>
      <c r="AA206" s="213">
        <v>0</v>
      </c>
      <c r="AB206" s="152">
        <f t="shared" si="23"/>
        <v>0</v>
      </c>
      <c r="AC206" s="122" t="s">
        <v>1837</v>
      </c>
    </row>
    <row r="207" spans="1:29" ht="12.75" customHeight="1">
      <c r="A207" s="125" t="str">
        <f t="shared" si="20"/>
        <v>LIC96SERVICE TAX - MANAGEMENT FEES</v>
      </c>
      <c r="B207" s="125">
        <f>+IFERROR(VLOOKUP(L207,'DB Mapping'!A:D,4,0),0)</f>
        <v>6.1</v>
      </c>
      <c r="C207" s="125">
        <f>+IFERROR(VLOOKUP(L207,'DB Mapping'!A:C,3,0),0)</f>
        <v>6.3</v>
      </c>
      <c r="D207" s="125" t="str">
        <f t="shared" si="21"/>
        <v>LIC966.1</v>
      </c>
      <c r="E207" s="125" t="str">
        <f t="shared" si="22"/>
        <v>LIC966.3</v>
      </c>
      <c r="F207" s="211" t="s">
        <v>20</v>
      </c>
      <c r="G207" s="127" t="s">
        <v>453</v>
      </c>
      <c r="L207" s="212" t="s">
        <v>1809</v>
      </c>
      <c r="N207" s="212" t="s">
        <v>1681</v>
      </c>
      <c r="Z207" s="213">
        <v>2045.28</v>
      </c>
      <c r="AA207" s="213">
        <v>0</v>
      </c>
      <c r="AB207" s="152">
        <f t="shared" si="23"/>
        <v>2.0452799999999999E-4</v>
      </c>
      <c r="AC207" s="122" t="s">
        <v>1837</v>
      </c>
    </row>
    <row r="208" spans="1:29" ht="12.75" customHeight="1">
      <c r="A208" s="125" t="str">
        <f t="shared" si="20"/>
        <v>LIC96CGST EXPENSE</v>
      </c>
      <c r="B208" s="125">
        <f>+IFERROR(VLOOKUP(L208,'DB Mapping'!A:D,4,0),0)</f>
        <v>6.1</v>
      </c>
      <c r="C208" s="125">
        <f>+IFERROR(VLOOKUP(L208,'DB Mapping'!A:C,3,0),0)</f>
        <v>6.3</v>
      </c>
      <c r="D208" s="125" t="str">
        <f t="shared" si="21"/>
        <v>LIC966.1</v>
      </c>
      <c r="E208" s="125" t="str">
        <f t="shared" si="22"/>
        <v>LIC966.3</v>
      </c>
      <c r="F208" s="211" t="s">
        <v>20</v>
      </c>
      <c r="G208" s="127" t="s">
        <v>453</v>
      </c>
      <c r="L208" s="212" t="s">
        <v>1767</v>
      </c>
      <c r="N208" s="212" t="s">
        <v>1682</v>
      </c>
      <c r="Z208" s="213">
        <v>10553.6</v>
      </c>
      <c r="AA208" s="213">
        <v>0</v>
      </c>
      <c r="AB208" s="152">
        <f t="shared" si="23"/>
        <v>1.05536E-3</v>
      </c>
      <c r="AC208" s="122" t="s">
        <v>1837</v>
      </c>
    </row>
    <row r="209" spans="1:29" ht="12.75" customHeight="1">
      <c r="A209" s="125" t="str">
        <f t="shared" si="20"/>
        <v>LIC96SGST EXPENSE</v>
      </c>
      <c r="B209" s="125">
        <f>+IFERROR(VLOOKUP(L209,'DB Mapping'!A:D,4,0),0)</f>
        <v>6.1</v>
      </c>
      <c r="C209" s="125">
        <f>+IFERROR(VLOOKUP(L209,'DB Mapping'!A:C,3,0),0)</f>
        <v>6.3</v>
      </c>
      <c r="D209" s="125" t="str">
        <f t="shared" si="21"/>
        <v>LIC966.1</v>
      </c>
      <c r="E209" s="125" t="str">
        <f t="shared" si="22"/>
        <v>LIC966.3</v>
      </c>
      <c r="F209" s="211" t="s">
        <v>20</v>
      </c>
      <c r="G209" s="127" t="s">
        <v>453</v>
      </c>
      <c r="L209" s="212" t="s">
        <v>1768</v>
      </c>
      <c r="N209" s="212" t="s">
        <v>1683</v>
      </c>
      <c r="Z209" s="213">
        <v>10553.6</v>
      </c>
      <c r="AA209" s="213">
        <v>0</v>
      </c>
      <c r="AB209" s="152">
        <f t="shared" si="23"/>
        <v>1.05536E-3</v>
      </c>
      <c r="AC209" s="122" t="s">
        <v>1837</v>
      </c>
    </row>
    <row r="210" spans="1:29" ht="12.75" hidden="1" customHeight="1">
      <c r="A210" s="125" t="str">
        <f t="shared" si="20"/>
        <v>LIC96EXPENSE ALLOCATION ACCOUNT</v>
      </c>
      <c r="B210" s="125">
        <f>+IFERROR(VLOOKUP(L210,'DB Mapping'!A:D,4,0),0)</f>
        <v>0</v>
      </c>
      <c r="C210" s="125">
        <f>+IFERROR(VLOOKUP(L210,'DB Mapping'!A:C,3,0),0)</f>
        <v>6.3</v>
      </c>
      <c r="D210" s="125" t="str">
        <f t="shared" si="21"/>
        <v>LIC960</v>
      </c>
      <c r="E210" s="125" t="str">
        <f t="shared" si="22"/>
        <v>LIC966.3</v>
      </c>
      <c r="F210" s="211" t="s">
        <v>20</v>
      </c>
      <c r="G210" s="127" t="s">
        <v>453</v>
      </c>
      <c r="L210" s="212" t="s">
        <v>1769</v>
      </c>
      <c r="N210" s="212" t="s">
        <v>1684</v>
      </c>
      <c r="Z210" s="213">
        <v>0</v>
      </c>
      <c r="AA210" s="213">
        <v>33011.089999999997</v>
      </c>
      <c r="AB210" s="152">
        <f t="shared" si="23"/>
        <v>-3.3011089999999996E-3</v>
      </c>
      <c r="AC210" s="122" t="s">
        <v>1837</v>
      </c>
    </row>
    <row r="211" spans="1:29" ht="12.75" hidden="1" customHeight="1">
      <c r="A211" s="125" t="str">
        <f t="shared" si="20"/>
        <v>LIC96R&amp;T - OTHER CHARGES</v>
      </c>
      <c r="B211" s="125">
        <f>+IFERROR(VLOOKUP(L211,'DB Mapping'!A:D,4,0),0)</f>
        <v>0</v>
      </c>
      <c r="C211" s="125">
        <f>+IFERROR(VLOOKUP(L211,'DB Mapping'!A:C,3,0),0)</f>
        <v>6.3</v>
      </c>
      <c r="D211" s="125" t="str">
        <f t="shared" si="21"/>
        <v>LIC960</v>
      </c>
      <c r="E211" s="125" t="str">
        <f t="shared" si="22"/>
        <v>LIC966.3</v>
      </c>
      <c r="F211" s="211" t="s">
        <v>20</v>
      </c>
      <c r="G211" s="127" t="s">
        <v>453</v>
      </c>
      <c r="L211" s="212" t="s">
        <v>1770</v>
      </c>
      <c r="N211" s="212" t="s">
        <v>1685</v>
      </c>
      <c r="Z211" s="213">
        <v>384.62</v>
      </c>
      <c r="AA211" s="213">
        <v>0</v>
      </c>
      <c r="AB211" s="152">
        <f t="shared" si="23"/>
        <v>3.8461999999999999E-5</v>
      </c>
      <c r="AC211" s="122" t="s">
        <v>1837</v>
      </c>
    </row>
    <row r="212" spans="1:29" ht="12.75" hidden="1" customHeight="1">
      <c r="A212" s="125" t="str">
        <f t="shared" si="20"/>
        <v>LIC96AUDIT FEES</v>
      </c>
      <c r="B212" s="125">
        <f>+IFERROR(VLOOKUP(L212,'DB Mapping'!A:D,4,0),0)</f>
        <v>0</v>
      </c>
      <c r="C212" s="125">
        <f>+IFERROR(VLOOKUP(L212,'DB Mapping'!A:C,3,0),0)</f>
        <v>6.3</v>
      </c>
      <c r="D212" s="125" t="str">
        <f t="shared" si="21"/>
        <v>LIC960</v>
      </c>
      <c r="E212" s="125" t="str">
        <f t="shared" si="22"/>
        <v>LIC966.3</v>
      </c>
      <c r="F212" s="211" t="s">
        <v>20</v>
      </c>
      <c r="G212" s="127" t="s">
        <v>453</v>
      </c>
      <c r="L212" s="212" t="s">
        <v>1771</v>
      </c>
      <c r="N212" s="212" t="s">
        <v>1686</v>
      </c>
      <c r="Z212" s="213">
        <v>410.1</v>
      </c>
      <c r="AA212" s="213">
        <v>0</v>
      </c>
      <c r="AB212" s="152">
        <f t="shared" si="23"/>
        <v>4.1010000000000002E-5</v>
      </c>
      <c r="AC212" s="122" t="s">
        <v>1837</v>
      </c>
    </row>
    <row r="213" spans="1:29" ht="12.75" hidden="1" customHeight="1">
      <c r="A213" s="125" t="str">
        <f t="shared" si="20"/>
        <v>LIC96CUSTODIAN FEE</v>
      </c>
      <c r="B213" s="125">
        <f>+IFERROR(VLOOKUP(L213,'DB Mapping'!A:D,4,0),0)</f>
        <v>0</v>
      </c>
      <c r="C213" s="125">
        <f>+IFERROR(VLOOKUP(L213,'DB Mapping'!A:C,3,0),0)</f>
        <v>6.3</v>
      </c>
      <c r="D213" s="125" t="str">
        <f t="shared" si="21"/>
        <v>LIC960</v>
      </c>
      <c r="E213" s="125" t="str">
        <f t="shared" si="22"/>
        <v>LIC966.3</v>
      </c>
      <c r="F213" s="211" t="s">
        <v>20</v>
      </c>
      <c r="G213" s="127" t="s">
        <v>453</v>
      </c>
      <c r="L213" s="212" t="s">
        <v>1772</v>
      </c>
      <c r="N213" s="212" t="s">
        <v>1687</v>
      </c>
      <c r="Z213" s="213">
        <v>85.5</v>
      </c>
      <c r="AA213" s="213">
        <v>0</v>
      </c>
      <c r="AB213" s="152">
        <f t="shared" si="23"/>
        <v>8.5499999999999995E-6</v>
      </c>
      <c r="AC213" s="122" t="s">
        <v>1837</v>
      </c>
    </row>
    <row r="214" spans="1:29" ht="12.75" hidden="1" customHeight="1">
      <c r="A214" s="125" t="str">
        <f t="shared" si="20"/>
        <v>LIC96TRUSTEE FEES</v>
      </c>
      <c r="B214" s="125">
        <f>+IFERROR(VLOOKUP(L214,'DB Mapping'!A:D,4,0),0)</f>
        <v>6.2</v>
      </c>
      <c r="C214" s="125">
        <f>+IFERROR(VLOOKUP(L214,'DB Mapping'!A:C,3,0),0)</f>
        <v>6.3</v>
      </c>
      <c r="D214" s="125" t="str">
        <f t="shared" si="21"/>
        <v>LIC966.2</v>
      </c>
      <c r="E214" s="125" t="str">
        <f t="shared" si="22"/>
        <v>LIC966.3</v>
      </c>
      <c r="F214" s="211" t="s">
        <v>20</v>
      </c>
      <c r="G214" s="127" t="s">
        <v>453</v>
      </c>
      <c r="L214" s="212" t="s">
        <v>1773</v>
      </c>
      <c r="N214" s="212" t="s">
        <v>1688</v>
      </c>
      <c r="Z214" s="213">
        <v>572.52</v>
      </c>
      <c r="AA214" s="213">
        <v>0</v>
      </c>
      <c r="AB214" s="152">
        <f t="shared" si="23"/>
        <v>5.7252E-5</v>
      </c>
      <c r="AC214" s="122" t="s">
        <v>1837</v>
      </c>
    </row>
    <row r="215" spans="1:29" ht="12.75" hidden="1" customHeight="1">
      <c r="A215" s="125" t="str">
        <f t="shared" si="20"/>
        <v>LIC96OTHER OPERATING EXPENSES</v>
      </c>
      <c r="B215" s="125">
        <f>+IFERROR(VLOOKUP(L215,'DB Mapping'!A:D,4,0),0)</f>
        <v>0</v>
      </c>
      <c r="C215" s="125">
        <f>+IFERROR(VLOOKUP(L215,'DB Mapping'!A:C,3,0),0)</f>
        <v>6.3</v>
      </c>
      <c r="D215" s="125" t="str">
        <f t="shared" si="21"/>
        <v>LIC960</v>
      </c>
      <c r="E215" s="125" t="str">
        <f t="shared" si="22"/>
        <v>LIC966.3</v>
      </c>
      <c r="F215" s="211" t="s">
        <v>20</v>
      </c>
      <c r="G215" s="127" t="s">
        <v>453</v>
      </c>
      <c r="L215" s="212" t="s">
        <v>1774</v>
      </c>
      <c r="N215" s="212" t="s">
        <v>1689</v>
      </c>
      <c r="Z215" s="213">
        <v>74.95</v>
      </c>
      <c r="AA215" s="213">
        <v>0</v>
      </c>
      <c r="AB215" s="152">
        <f t="shared" si="23"/>
        <v>7.4950000000000002E-6</v>
      </c>
      <c r="AC215" s="122" t="s">
        <v>1837</v>
      </c>
    </row>
    <row r="216" spans="1:29" ht="12.75" hidden="1" customHeight="1">
      <c r="A216" s="125" t="str">
        <f t="shared" si="20"/>
        <v>LIC96SEBI ANNUAL FEES EXPENSE</v>
      </c>
      <c r="B216" s="125">
        <f>+IFERROR(VLOOKUP(L216,'DB Mapping'!A:D,4,0),0)</f>
        <v>0</v>
      </c>
      <c r="C216" s="125">
        <f>+IFERROR(VLOOKUP(L216,'DB Mapping'!A:C,3,0),0)</f>
        <v>6.3</v>
      </c>
      <c r="D216" s="125" t="str">
        <f t="shared" si="21"/>
        <v>LIC960</v>
      </c>
      <c r="E216" s="125" t="str">
        <f t="shared" si="22"/>
        <v>LIC966.3</v>
      </c>
      <c r="F216" s="211" t="s">
        <v>20</v>
      </c>
      <c r="G216" s="127" t="s">
        <v>453</v>
      </c>
      <c r="L216" s="212" t="s">
        <v>1775</v>
      </c>
      <c r="N216" s="212" t="s">
        <v>1690</v>
      </c>
      <c r="Z216" s="213">
        <v>1376.34</v>
      </c>
      <c r="AA216" s="213">
        <v>0</v>
      </c>
      <c r="AB216" s="152">
        <f t="shared" si="23"/>
        <v>1.37634E-4</v>
      </c>
      <c r="AC216" s="122" t="s">
        <v>1837</v>
      </c>
    </row>
    <row r="217" spans="1:29" ht="12.75" hidden="1" customHeight="1">
      <c r="A217" s="125" t="str">
        <f t="shared" si="20"/>
        <v>LIC96BANK CHARGES</v>
      </c>
      <c r="B217" s="125">
        <f>+IFERROR(VLOOKUP(L217,'DB Mapping'!A:D,4,0),0)</f>
        <v>0</v>
      </c>
      <c r="C217" s="125">
        <f>+IFERROR(VLOOKUP(L217,'DB Mapping'!A:C,3,0),0)</f>
        <v>6.3</v>
      </c>
      <c r="D217" s="125" t="str">
        <f t="shared" si="21"/>
        <v>LIC960</v>
      </c>
      <c r="E217" s="125" t="str">
        <f t="shared" si="22"/>
        <v>LIC966.3</v>
      </c>
      <c r="F217" s="211" t="s">
        <v>20</v>
      </c>
      <c r="G217" s="127" t="s">
        <v>453</v>
      </c>
      <c r="L217" s="212" t="s">
        <v>1776</v>
      </c>
      <c r="N217" s="212" t="s">
        <v>1789</v>
      </c>
      <c r="Z217" s="213">
        <v>29.93</v>
      </c>
      <c r="AA217" s="213">
        <v>0</v>
      </c>
      <c r="AB217" s="152">
        <f t="shared" si="23"/>
        <v>2.993E-6</v>
      </c>
      <c r="AC217" s="122" t="s">
        <v>1837</v>
      </c>
    </row>
    <row r="218" spans="1:29" ht="12.75" hidden="1" customHeight="1">
      <c r="A218" s="125" t="str">
        <f t="shared" ref="A218:A221" si="24">+F218&amp;N218</f>
        <v>LIC96CCIL CHARGES</v>
      </c>
      <c r="B218" s="125">
        <f>+IFERROR(VLOOKUP(L218,'DB Mapping'!A:D,4,0),0)</f>
        <v>0</v>
      </c>
      <c r="C218" s="125">
        <f>+IFERROR(VLOOKUP(L218,'DB Mapping'!A:C,3,0),0)</f>
        <v>6.3</v>
      </c>
      <c r="D218" s="125" t="str">
        <f t="shared" ref="D218:D221" si="25">+F218&amp;B218</f>
        <v>LIC960</v>
      </c>
      <c r="E218" s="125" t="str">
        <f t="shared" ref="E218:E221" si="26">+F218&amp;C218</f>
        <v>LIC966.3</v>
      </c>
      <c r="F218" s="211" t="s">
        <v>20</v>
      </c>
      <c r="G218" s="127" t="s">
        <v>453</v>
      </c>
      <c r="L218" s="212" t="s">
        <v>1777</v>
      </c>
      <c r="N218" s="212" t="s">
        <v>1691</v>
      </c>
      <c r="Z218" s="213">
        <v>18483.189999999999</v>
      </c>
      <c r="AA218" s="213">
        <v>0</v>
      </c>
      <c r="AB218" s="152">
        <f t="shared" si="23"/>
        <v>1.848319E-3</v>
      </c>
      <c r="AC218" s="122" t="s">
        <v>1837</v>
      </c>
    </row>
    <row r="219" spans="1:29" ht="12.75" hidden="1" customHeight="1">
      <c r="A219" s="125" t="str">
        <f t="shared" si="24"/>
        <v>LIC96INTERNAL AUDIT FEES</v>
      </c>
      <c r="B219" s="125">
        <f>+IFERROR(VLOOKUP(L219,'DB Mapping'!A:D,4,0),0)</f>
        <v>0</v>
      </c>
      <c r="C219" s="125">
        <f>+IFERROR(VLOOKUP(L219,'DB Mapping'!A:C,3,0),0)</f>
        <v>6.3</v>
      </c>
      <c r="D219" s="125" t="str">
        <f t="shared" si="25"/>
        <v>LIC960</v>
      </c>
      <c r="E219" s="125" t="str">
        <f t="shared" si="26"/>
        <v>LIC966.3</v>
      </c>
      <c r="F219" s="211" t="s">
        <v>20</v>
      </c>
      <c r="G219" s="127" t="s">
        <v>453</v>
      </c>
      <c r="L219" s="212" t="s">
        <v>1778</v>
      </c>
      <c r="N219" s="212" t="s">
        <v>1692</v>
      </c>
      <c r="Z219" s="213">
        <v>359.04</v>
      </c>
      <c r="AA219" s="213">
        <v>0</v>
      </c>
      <c r="AB219" s="152">
        <f t="shared" si="23"/>
        <v>3.5904E-5</v>
      </c>
      <c r="AC219" s="122" t="s">
        <v>1837</v>
      </c>
    </row>
    <row r="220" spans="1:29" ht="12.75" hidden="1" customHeight="1">
      <c r="A220" s="125" t="str">
        <f t="shared" si="24"/>
        <v>LIC96INVESTOR EDUCATION FUND EXPENSE</v>
      </c>
      <c r="B220" s="125">
        <f>+IFERROR(VLOOKUP(L220,'DB Mapping'!A:D,4,0),0)</f>
        <v>0</v>
      </c>
      <c r="C220" s="125">
        <f>+IFERROR(VLOOKUP(L220,'DB Mapping'!A:C,3,0),0)</f>
        <v>6.3</v>
      </c>
      <c r="D220" s="125" t="str">
        <f t="shared" si="25"/>
        <v>LIC960</v>
      </c>
      <c r="E220" s="125" t="str">
        <f t="shared" si="26"/>
        <v>LIC966.3</v>
      </c>
      <c r="F220" s="211" t="s">
        <v>20</v>
      </c>
      <c r="G220" s="127" t="s">
        <v>453</v>
      </c>
      <c r="L220" s="212" t="s">
        <v>1780</v>
      </c>
      <c r="N220" s="212" t="s">
        <v>1694</v>
      </c>
      <c r="Z220" s="213">
        <v>5617.45</v>
      </c>
      <c r="AA220" s="213">
        <v>0</v>
      </c>
      <c r="AB220" s="152">
        <f t="shared" si="23"/>
        <v>5.61745E-4</v>
      </c>
      <c r="AC220" s="122" t="s">
        <v>1837</v>
      </c>
    </row>
    <row r="221" spans="1:29" ht="12.75" hidden="1" customHeight="1">
      <c r="A221" s="125" t="str">
        <f t="shared" si="24"/>
        <v>LIC96INVESTOR EDUCATION FUND EXPENSE - AMFI</v>
      </c>
      <c r="B221" s="125">
        <f>+IFERROR(VLOOKUP(L221,'DB Mapping'!A:D,4,0),0)</f>
        <v>0</v>
      </c>
      <c r="C221" s="125">
        <f>+IFERROR(VLOOKUP(L221,'DB Mapping'!A:C,3,0),0)</f>
        <v>6.3</v>
      </c>
      <c r="D221" s="125" t="str">
        <f t="shared" si="25"/>
        <v>LIC960</v>
      </c>
      <c r="E221" s="125" t="str">
        <f t="shared" si="26"/>
        <v>LIC966.3</v>
      </c>
      <c r="F221" s="211" t="s">
        <v>20</v>
      </c>
      <c r="G221" s="127" t="s">
        <v>453</v>
      </c>
      <c r="L221" s="212" t="s">
        <v>1781</v>
      </c>
      <c r="N221" s="212" t="s">
        <v>1695</v>
      </c>
      <c r="Z221" s="213">
        <v>5617.45</v>
      </c>
      <c r="AA221" s="213">
        <v>0</v>
      </c>
      <c r="AB221" s="152">
        <f t="shared" si="23"/>
        <v>5.61745E-4</v>
      </c>
      <c r="AC221" s="122" t="s">
        <v>1837</v>
      </c>
    </row>
    <row r="222" spans="1:29" ht="12.75" hidden="1" customHeight="1">
      <c r="A222" s="125" t="str">
        <f t="shared" ref="A222:A285" si="27">+F222&amp;N222</f>
        <v/>
      </c>
      <c r="B222" s="125">
        <f>+IFERROR(VLOOKUP(L222,'DB Mapping'!A:D,4,0),0)</f>
        <v>0</v>
      </c>
      <c r="C222" s="125">
        <f>+IFERROR(VLOOKUP(L222,'DB Mapping'!A:C,3,0),0)</f>
        <v>0</v>
      </c>
      <c r="D222" s="125" t="str">
        <f t="shared" ref="D222:D285" si="28">+F222&amp;B222</f>
        <v>0</v>
      </c>
      <c r="E222" s="125" t="str">
        <f t="shared" ref="E222:E285" si="29">+F222&amp;C222</f>
        <v>0</v>
      </c>
      <c r="F222" s="211"/>
      <c r="L222" s="215"/>
      <c r="N222" s="215"/>
      <c r="Z222" s="216"/>
      <c r="AA222" s="216"/>
      <c r="AB222" s="152"/>
      <c r="AC222" s="122" t="s">
        <v>1837</v>
      </c>
    </row>
    <row r="223" spans="1:29" ht="12.75" hidden="1" customHeight="1">
      <c r="A223" s="125" t="str">
        <f t="shared" si="27"/>
        <v>LIC103INVESTMENTS - CBLO</v>
      </c>
      <c r="B223" s="125">
        <f>+IFERROR(VLOOKUP(L223,'DB Mapping'!A:D,4,0),0)</f>
        <v>0</v>
      </c>
      <c r="C223" s="125">
        <f>+IFERROR(VLOOKUP(L223,'DB Mapping'!A:C,3,0),0)</f>
        <v>0</v>
      </c>
      <c r="D223" s="125" t="str">
        <f t="shared" si="28"/>
        <v>LIC1030</v>
      </c>
      <c r="E223" s="125" t="str">
        <f t="shared" si="29"/>
        <v>LIC1030</v>
      </c>
      <c r="F223" s="211" t="s">
        <v>21</v>
      </c>
      <c r="G223" s="127" t="s">
        <v>453</v>
      </c>
      <c r="L223" s="212" t="s">
        <v>1711</v>
      </c>
      <c r="N223" s="212" t="s">
        <v>1606</v>
      </c>
      <c r="Z223" s="213">
        <v>49593069.93</v>
      </c>
      <c r="AA223" s="213">
        <v>0</v>
      </c>
      <c r="AB223" s="152">
        <f t="shared" si="23"/>
        <v>4.9593069930000002</v>
      </c>
      <c r="AC223" s="122" t="s">
        <v>1837</v>
      </c>
    </row>
    <row r="224" spans="1:29" ht="12.75" hidden="1" customHeight="1">
      <c r="A224" s="125" t="str">
        <f t="shared" si="27"/>
        <v>LIC103HDFC BANK CURRENT ACCOUNT</v>
      </c>
      <c r="B224" s="125">
        <f>+IFERROR(VLOOKUP(L224,'DB Mapping'!A:D,4,0),0)</f>
        <v>0</v>
      </c>
      <c r="C224" s="125">
        <f>+IFERROR(VLOOKUP(L224,'DB Mapping'!A:C,3,0),0)</f>
        <v>0</v>
      </c>
      <c r="D224" s="125" t="str">
        <f t="shared" si="28"/>
        <v>LIC1030</v>
      </c>
      <c r="E224" s="125" t="str">
        <f t="shared" si="29"/>
        <v>LIC1030</v>
      </c>
      <c r="F224" s="211" t="s">
        <v>21</v>
      </c>
      <c r="G224" s="127" t="s">
        <v>453</v>
      </c>
      <c r="L224" s="212" t="s">
        <v>1712</v>
      </c>
      <c r="N224" s="212" t="s">
        <v>1612</v>
      </c>
      <c r="Z224" s="213">
        <v>0</v>
      </c>
      <c r="AA224" s="213">
        <v>0</v>
      </c>
      <c r="AB224" s="152">
        <f t="shared" si="23"/>
        <v>0</v>
      </c>
      <c r="AC224" s="122" t="s">
        <v>1837</v>
      </c>
    </row>
    <row r="225" spans="1:29" ht="12.75" hidden="1" customHeight="1">
      <c r="A225" s="125" t="str">
        <f t="shared" si="27"/>
        <v>LIC103HDFC BANK</v>
      </c>
      <c r="B225" s="125">
        <f>+IFERROR(VLOOKUP(L225,'DB Mapping'!A:D,4,0),0)</f>
        <v>0</v>
      </c>
      <c r="C225" s="125">
        <f>+IFERROR(VLOOKUP(L225,'DB Mapping'!A:C,3,0),0)</f>
        <v>0</v>
      </c>
      <c r="D225" s="125" t="str">
        <f t="shared" si="28"/>
        <v>LIC1030</v>
      </c>
      <c r="E225" s="125" t="str">
        <f t="shared" si="29"/>
        <v>LIC1030</v>
      </c>
      <c r="F225" s="211" t="s">
        <v>21</v>
      </c>
      <c r="G225" s="127" t="s">
        <v>453</v>
      </c>
      <c r="L225" s="212" t="s">
        <v>1793</v>
      </c>
      <c r="N225" s="212" t="s">
        <v>1613</v>
      </c>
      <c r="Z225" s="213">
        <v>0</v>
      </c>
      <c r="AA225" s="213">
        <v>0</v>
      </c>
      <c r="AB225" s="152">
        <f t="shared" si="23"/>
        <v>0</v>
      </c>
      <c r="AC225" s="122" t="s">
        <v>1837</v>
      </c>
    </row>
    <row r="226" spans="1:29" ht="12.75" hidden="1" customHeight="1">
      <c r="A226" s="125" t="str">
        <f t="shared" si="27"/>
        <v>LIC103REDEMPTION RECEIVABLE - CBLO</v>
      </c>
      <c r="B226" s="125">
        <f>+IFERROR(VLOOKUP(L226,'DB Mapping'!A:D,4,0),0)</f>
        <v>0</v>
      </c>
      <c r="C226" s="125">
        <f>+IFERROR(VLOOKUP(L226,'DB Mapping'!A:C,3,0),0)</f>
        <v>0</v>
      </c>
      <c r="D226" s="125" t="str">
        <f t="shared" si="28"/>
        <v>LIC1030</v>
      </c>
      <c r="E226" s="125" t="str">
        <f t="shared" si="29"/>
        <v>LIC1030</v>
      </c>
      <c r="F226" s="211" t="s">
        <v>21</v>
      </c>
      <c r="G226" s="127" t="s">
        <v>453</v>
      </c>
      <c r="L226" s="212" t="s">
        <v>1713</v>
      </c>
      <c r="N226" s="212" t="s">
        <v>1615</v>
      </c>
      <c r="Z226" s="213">
        <v>0</v>
      </c>
      <c r="AA226" s="213">
        <v>0</v>
      </c>
      <c r="AB226" s="152">
        <f t="shared" si="23"/>
        <v>0</v>
      </c>
      <c r="AC226" s="122" t="s">
        <v>1837</v>
      </c>
    </row>
    <row r="227" spans="1:29" ht="12.75" hidden="1" customHeight="1">
      <c r="A227" s="125" t="str">
        <f t="shared" si="27"/>
        <v>LIC103RECEIVABLE - UNITS SUBSCRIPTION</v>
      </c>
      <c r="B227" s="125">
        <f>+IFERROR(VLOOKUP(L227,'DB Mapping'!A:D,4,0),0)</f>
        <v>0</v>
      </c>
      <c r="C227" s="125">
        <f>+IFERROR(VLOOKUP(L227,'DB Mapping'!A:C,3,0),0)</f>
        <v>0</v>
      </c>
      <c r="D227" s="125" t="str">
        <f t="shared" si="28"/>
        <v>LIC1030</v>
      </c>
      <c r="E227" s="125" t="str">
        <f t="shared" si="29"/>
        <v>LIC1030</v>
      </c>
      <c r="F227" s="211" t="s">
        <v>21</v>
      </c>
      <c r="G227" s="127" t="s">
        <v>453</v>
      </c>
      <c r="L227" s="212" t="s">
        <v>1714</v>
      </c>
      <c r="N227" s="212" t="s">
        <v>1782</v>
      </c>
      <c r="Z227" s="213">
        <v>0</v>
      </c>
      <c r="AA227" s="213">
        <v>0</v>
      </c>
      <c r="AB227" s="152">
        <f t="shared" si="23"/>
        <v>0</v>
      </c>
      <c r="AC227" s="122" t="s">
        <v>1837</v>
      </c>
    </row>
    <row r="228" spans="1:29" ht="12.75" hidden="1" customHeight="1">
      <c r="A228" s="125" t="str">
        <f t="shared" si="27"/>
        <v>LIC103AMORTISATION RECEIVABLE - CBLO</v>
      </c>
      <c r="B228" s="125">
        <f>+IFERROR(VLOOKUP(L228,'DB Mapping'!A:D,4,0),0)</f>
        <v>0</v>
      </c>
      <c r="C228" s="125">
        <f>+IFERROR(VLOOKUP(L228,'DB Mapping'!A:C,3,0),0)</f>
        <v>0</v>
      </c>
      <c r="D228" s="125" t="str">
        <f t="shared" si="28"/>
        <v>LIC1030</v>
      </c>
      <c r="E228" s="125" t="str">
        <f t="shared" si="29"/>
        <v>LIC1030</v>
      </c>
      <c r="F228" s="211" t="s">
        <v>21</v>
      </c>
      <c r="G228" s="127" t="s">
        <v>453</v>
      </c>
      <c r="L228" s="212" t="s">
        <v>1715</v>
      </c>
      <c r="N228" s="212" t="s">
        <v>1621</v>
      </c>
      <c r="Z228" s="213">
        <v>8002.28</v>
      </c>
      <c r="AA228" s="213">
        <v>0</v>
      </c>
      <c r="AB228" s="152">
        <f t="shared" si="23"/>
        <v>8.0022799999999994E-4</v>
      </c>
      <c r="AC228" s="122" t="s">
        <v>1837</v>
      </c>
    </row>
    <row r="229" spans="1:29" ht="12.75" hidden="1" customHeight="1">
      <c r="A229" s="125" t="str">
        <f t="shared" si="27"/>
        <v>LIC103AMC RECEIVABLE / PAYABLE</v>
      </c>
      <c r="B229" s="125">
        <f>+IFERROR(VLOOKUP(L229,'DB Mapping'!A:D,4,0),0)</f>
        <v>0</v>
      </c>
      <c r="C229" s="125">
        <f>+IFERROR(VLOOKUP(L229,'DB Mapping'!A:C,3,0),0)</f>
        <v>0</v>
      </c>
      <c r="D229" s="125" t="str">
        <f t="shared" si="28"/>
        <v>LIC1030</v>
      </c>
      <c r="E229" s="125" t="str">
        <f t="shared" si="29"/>
        <v>LIC1030</v>
      </c>
      <c r="F229" s="211" t="s">
        <v>21</v>
      </c>
      <c r="G229" s="127" t="s">
        <v>453</v>
      </c>
      <c r="L229" s="212" t="s">
        <v>1716</v>
      </c>
      <c r="N229" s="212" t="s">
        <v>1704</v>
      </c>
      <c r="Z229" s="213">
        <v>32328</v>
      </c>
      <c r="AA229" s="213">
        <v>0</v>
      </c>
      <c r="AB229" s="152">
        <f t="shared" si="23"/>
        <v>3.2328000000000001E-3</v>
      </c>
      <c r="AC229" s="122" t="s">
        <v>1837</v>
      </c>
    </row>
    <row r="230" spans="1:29" ht="12.75" hidden="1" customHeight="1">
      <c r="A230" s="125" t="str">
        <f t="shared" si="27"/>
        <v>LIC103CCIL SETTLEMENT A/C</v>
      </c>
      <c r="B230" s="125">
        <f>+IFERROR(VLOOKUP(L230,'DB Mapping'!A:D,4,0),0)</f>
        <v>0</v>
      </c>
      <c r="C230" s="125">
        <f>+IFERROR(VLOOKUP(L230,'DB Mapping'!A:C,3,0),0)</f>
        <v>0</v>
      </c>
      <c r="D230" s="125" t="str">
        <f t="shared" si="28"/>
        <v>LIC1030</v>
      </c>
      <c r="E230" s="125" t="str">
        <f t="shared" si="29"/>
        <v>LIC1030</v>
      </c>
      <c r="F230" s="211" t="s">
        <v>21</v>
      </c>
      <c r="G230" s="127" t="s">
        <v>453</v>
      </c>
      <c r="L230" s="212" t="s">
        <v>1717</v>
      </c>
      <c r="N230" s="212" t="s">
        <v>1624</v>
      </c>
      <c r="Z230" s="213">
        <v>8002.01</v>
      </c>
      <c r="AA230" s="213">
        <v>0</v>
      </c>
      <c r="AB230" s="152">
        <f t="shared" si="23"/>
        <v>8.0020100000000006E-4</v>
      </c>
      <c r="AC230" s="122" t="s">
        <v>1837</v>
      </c>
    </row>
    <row r="231" spans="1:29" ht="12.75" hidden="1" customHeight="1">
      <c r="A231" s="125" t="str">
        <f t="shared" si="27"/>
        <v>LIC103SETTLEMENT PAYABLE</v>
      </c>
      <c r="B231" s="125">
        <f>+IFERROR(VLOOKUP(L231,'DB Mapping'!A:D,4,0),0)</f>
        <v>0</v>
      </c>
      <c r="C231" s="125">
        <f>+IFERROR(VLOOKUP(L231,'DB Mapping'!A:C,3,0),0)</f>
        <v>0</v>
      </c>
      <c r="D231" s="125" t="str">
        <f t="shared" si="28"/>
        <v>LIC1030</v>
      </c>
      <c r="E231" s="125" t="str">
        <f t="shared" si="29"/>
        <v>LIC1030</v>
      </c>
      <c r="F231" s="211" t="s">
        <v>21</v>
      </c>
      <c r="G231" s="127" t="s">
        <v>453</v>
      </c>
      <c r="L231" s="212" t="s">
        <v>1718</v>
      </c>
      <c r="N231" s="212" t="s">
        <v>1625</v>
      </c>
      <c r="Z231" s="213">
        <v>0</v>
      </c>
      <c r="AA231" s="213">
        <v>0</v>
      </c>
      <c r="AB231" s="152">
        <f t="shared" si="23"/>
        <v>0</v>
      </c>
      <c r="AC231" s="122" t="s">
        <v>1837</v>
      </c>
    </row>
    <row r="232" spans="1:29" ht="12.75" hidden="1" customHeight="1">
      <c r="A232" s="125" t="str">
        <f t="shared" si="27"/>
        <v>LIC103PAYABLE - UNITS REDEMPTION</v>
      </c>
      <c r="B232" s="125">
        <f>+IFERROR(VLOOKUP(L232,'DB Mapping'!A:D,4,0),0)</f>
        <v>0</v>
      </c>
      <c r="C232" s="125">
        <f>+IFERROR(VLOOKUP(L232,'DB Mapping'!A:C,3,0),0)</f>
        <v>0</v>
      </c>
      <c r="D232" s="125" t="str">
        <f t="shared" si="28"/>
        <v>LIC1030</v>
      </c>
      <c r="E232" s="125" t="str">
        <f t="shared" si="29"/>
        <v>LIC1030</v>
      </c>
      <c r="F232" s="211" t="s">
        <v>21</v>
      </c>
      <c r="G232" s="127" t="s">
        <v>453</v>
      </c>
      <c r="L232" s="212" t="s">
        <v>1719</v>
      </c>
      <c r="N232" s="212" t="s">
        <v>1783</v>
      </c>
      <c r="Z232" s="213">
        <v>0.01</v>
      </c>
      <c r="AA232" s="213">
        <v>0</v>
      </c>
      <c r="AB232" s="152">
        <f t="shared" si="23"/>
        <v>1.0000000000000001E-9</v>
      </c>
      <c r="AC232" s="122" t="s">
        <v>1837</v>
      </c>
    </row>
    <row r="233" spans="1:29" ht="12.75" hidden="1" customHeight="1">
      <c r="A233" s="125" t="str">
        <f t="shared" si="27"/>
        <v>LIC103EXPENSE ALLOCATION - LIABILITY ACCOUNT</v>
      </c>
      <c r="B233" s="125">
        <f>+IFERROR(VLOOKUP(L233,'DB Mapping'!A:D,4,0),0)</f>
        <v>0</v>
      </c>
      <c r="C233" s="125">
        <f>+IFERROR(VLOOKUP(L233,'DB Mapping'!A:C,3,0),0)</f>
        <v>0</v>
      </c>
      <c r="D233" s="125" t="str">
        <f t="shared" si="28"/>
        <v>LIC1030</v>
      </c>
      <c r="E233" s="125" t="str">
        <f t="shared" si="29"/>
        <v>LIC1030</v>
      </c>
      <c r="F233" s="211" t="s">
        <v>21</v>
      </c>
      <c r="G233" s="127" t="s">
        <v>453</v>
      </c>
      <c r="L233" s="212" t="s">
        <v>1720</v>
      </c>
      <c r="N233" s="212" t="s">
        <v>1626</v>
      </c>
      <c r="Z233" s="213">
        <v>32662.26</v>
      </c>
      <c r="AA233" s="213">
        <v>0</v>
      </c>
      <c r="AB233" s="152">
        <f t="shared" si="23"/>
        <v>3.2662259999999997E-3</v>
      </c>
      <c r="AC233" s="122" t="s">
        <v>1837</v>
      </c>
    </row>
    <row r="234" spans="1:29" ht="12.75" hidden="1" customHeight="1">
      <c r="A234" s="125" t="str">
        <f t="shared" si="27"/>
        <v>LIC103PAYABLE - UNITS DIVIDEND TAX</v>
      </c>
      <c r="B234" s="125">
        <f>+IFERROR(VLOOKUP(L234,'DB Mapping'!A:D,4,0),0)</f>
        <v>0</v>
      </c>
      <c r="C234" s="125">
        <f>+IFERROR(VLOOKUP(L234,'DB Mapping'!A:C,3,0),0)</f>
        <v>0</v>
      </c>
      <c r="D234" s="125" t="str">
        <f t="shared" si="28"/>
        <v>LIC1030</v>
      </c>
      <c r="E234" s="125" t="str">
        <f t="shared" si="29"/>
        <v>LIC1030</v>
      </c>
      <c r="F234" s="211" t="s">
        <v>21</v>
      </c>
      <c r="G234" s="127" t="s">
        <v>453</v>
      </c>
      <c r="L234" s="212" t="s">
        <v>1721</v>
      </c>
      <c r="N234" s="212" t="s">
        <v>1627</v>
      </c>
      <c r="Z234" s="213">
        <v>0</v>
      </c>
      <c r="AA234" s="213">
        <v>0</v>
      </c>
      <c r="AB234" s="152">
        <f t="shared" si="23"/>
        <v>0</v>
      </c>
      <c r="AC234" s="122" t="s">
        <v>1837</v>
      </c>
    </row>
    <row r="235" spans="1:29" ht="12.75" hidden="1" customHeight="1">
      <c r="A235" s="125" t="str">
        <f t="shared" si="27"/>
        <v>LIC103PAYABLE - AUDIT FEES</v>
      </c>
      <c r="B235" s="125">
        <f>+IFERROR(VLOOKUP(L235,'DB Mapping'!A:D,4,0),0)</f>
        <v>0</v>
      </c>
      <c r="C235" s="125">
        <f>+IFERROR(VLOOKUP(L235,'DB Mapping'!A:C,3,0),0)</f>
        <v>0</v>
      </c>
      <c r="D235" s="125" t="str">
        <f t="shared" si="28"/>
        <v>LIC1030</v>
      </c>
      <c r="E235" s="125" t="str">
        <f t="shared" si="29"/>
        <v>LIC1030</v>
      </c>
      <c r="F235" s="211" t="s">
        <v>21</v>
      </c>
      <c r="G235" s="127" t="s">
        <v>453</v>
      </c>
      <c r="L235" s="212" t="s">
        <v>1722</v>
      </c>
      <c r="N235" s="212" t="s">
        <v>1628</v>
      </c>
      <c r="Z235" s="213">
        <v>0</v>
      </c>
      <c r="AA235" s="213">
        <v>37735.26</v>
      </c>
      <c r="AB235" s="152">
        <f t="shared" si="23"/>
        <v>-3.7735260000000001E-3</v>
      </c>
      <c r="AC235" s="122" t="s">
        <v>1837</v>
      </c>
    </row>
    <row r="236" spans="1:29" ht="12.75" hidden="1" customHeight="1">
      <c r="A236" s="125" t="str">
        <f t="shared" si="27"/>
        <v>LIC103PAYABLE - CUSTODIAN FEE - CUSTODY</v>
      </c>
      <c r="B236" s="125">
        <f>+IFERROR(VLOOKUP(L236,'DB Mapping'!A:D,4,0),0)</f>
        <v>0</v>
      </c>
      <c r="C236" s="125">
        <f>+IFERROR(VLOOKUP(L236,'DB Mapping'!A:C,3,0),0)</f>
        <v>0</v>
      </c>
      <c r="D236" s="125" t="str">
        <f t="shared" si="28"/>
        <v>LIC1030</v>
      </c>
      <c r="E236" s="125" t="str">
        <f t="shared" si="29"/>
        <v>LIC1030</v>
      </c>
      <c r="F236" s="211" t="s">
        <v>21</v>
      </c>
      <c r="G236" s="127" t="s">
        <v>453</v>
      </c>
      <c r="L236" s="212" t="s">
        <v>1723</v>
      </c>
      <c r="N236" s="212" t="s">
        <v>1705</v>
      </c>
      <c r="Z236" s="213">
        <v>0</v>
      </c>
      <c r="AA236" s="213">
        <v>1652</v>
      </c>
      <c r="AB236" s="152">
        <f t="shared" si="23"/>
        <v>-1.652E-4</v>
      </c>
      <c r="AC236" s="122" t="s">
        <v>1837</v>
      </c>
    </row>
    <row r="237" spans="1:29" ht="12.75" hidden="1" customHeight="1">
      <c r="A237" s="125" t="str">
        <f t="shared" si="27"/>
        <v>LIC103PAYABLE - TDS ON EXPENSES</v>
      </c>
      <c r="B237" s="125">
        <f>+IFERROR(VLOOKUP(L237,'DB Mapping'!A:D,4,0),0)</f>
        <v>0</v>
      </c>
      <c r="C237" s="125">
        <f>+IFERROR(VLOOKUP(L237,'DB Mapping'!A:C,3,0),0)</f>
        <v>0</v>
      </c>
      <c r="D237" s="125" t="str">
        <f t="shared" si="28"/>
        <v>LIC1030</v>
      </c>
      <c r="E237" s="125" t="str">
        <f t="shared" si="29"/>
        <v>LIC1030</v>
      </c>
      <c r="F237" s="211" t="s">
        <v>21</v>
      </c>
      <c r="G237" s="127" t="s">
        <v>453</v>
      </c>
      <c r="L237" s="212" t="s">
        <v>1724</v>
      </c>
      <c r="N237" s="212" t="s">
        <v>1629</v>
      </c>
      <c r="Z237" s="213">
        <v>0</v>
      </c>
      <c r="AA237" s="213">
        <v>4372.46</v>
      </c>
      <c r="AB237" s="152">
        <f t="shared" si="23"/>
        <v>-4.3724600000000002E-4</v>
      </c>
      <c r="AC237" s="122" t="s">
        <v>1837</v>
      </c>
    </row>
    <row r="238" spans="1:29" ht="12.75" hidden="1" customHeight="1">
      <c r="A238" s="125" t="str">
        <f t="shared" si="27"/>
        <v>LIC103PAYABLE - TRUSTEE FEES</v>
      </c>
      <c r="B238" s="125">
        <f>+IFERROR(VLOOKUP(L238,'DB Mapping'!A:D,4,0),0)</f>
        <v>0</v>
      </c>
      <c r="C238" s="125">
        <f>+IFERROR(VLOOKUP(L238,'DB Mapping'!A:C,3,0),0)</f>
        <v>0</v>
      </c>
      <c r="D238" s="125" t="str">
        <f t="shared" si="28"/>
        <v>LIC1030</v>
      </c>
      <c r="E238" s="125" t="str">
        <f t="shared" si="29"/>
        <v>LIC1030</v>
      </c>
      <c r="F238" s="211" t="s">
        <v>21</v>
      </c>
      <c r="G238" s="127" t="s">
        <v>453</v>
      </c>
      <c r="L238" s="212" t="s">
        <v>1725</v>
      </c>
      <c r="N238" s="212" t="s">
        <v>1784</v>
      </c>
      <c r="Z238" s="213">
        <v>0</v>
      </c>
      <c r="AA238" s="213">
        <v>112.74</v>
      </c>
      <c r="AB238" s="152">
        <f t="shared" si="23"/>
        <v>-1.1273999999999999E-5</v>
      </c>
      <c r="AC238" s="122" t="s">
        <v>1837</v>
      </c>
    </row>
    <row r="239" spans="1:29" ht="12.75" hidden="1" customHeight="1">
      <c r="A239" s="125" t="str">
        <f t="shared" si="27"/>
        <v>LIC103TRANSACTION CHARGES PAYABLE - UNIT CAPITAL</v>
      </c>
      <c r="B239" s="125">
        <f>+IFERROR(VLOOKUP(L239,'DB Mapping'!A:D,4,0),0)</f>
        <v>0</v>
      </c>
      <c r="C239" s="125">
        <f>+IFERROR(VLOOKUP(L239,'DB Mapping'!A:C,3,0),0)</f>
        <v>0</v>
      </c>
      <c r="D239" s="125" t="str">
        <f t="shared" si="28"/>
        <v>LIC1030</v>
      </c>
      <c r="E239" s="125" t="str">
        <f t="shared" si="29"/>
        <v>LIC1030</v>
      </c>
      <c r="F239" s="211" t="s">
        <v>21</v>
      </c>
      <c r="G239" s="127" t="s">
        <v>453</v>
      </c>
      <c r="L239" s="212" t="s">
        <v>1726</v>
      </c>
      <c r="N239" s="212" t="s">
        <v>1630</v>
      </c>
      <c r="Z239" s="213">
        <v>0</v>
      </c>
      <c r="AA239" s="213">
        <v>300</v>
      </c>
      <c r="AB239" s="152">
        <f t="shared" si="23"/>
        <v>-3.0000000000000001E-5</v>
      </c>
      <c r="AC239" s="122" t="s">
        <v>1837</v>
      </c>
    </row>
    <row r="240" spans="1:29" ht="12.75" hidden="1" customHeight="1">
      <c r="A240" s="125" t="str">
        <f t="shared" si="27"/>
        <v>LIC103PAYABLE - MANAGEMENT FEES</v>
      </c>
      <c r="B240" s="125">
        <f>+IFERROR(VLOOKUP(L240,'DB Mapping'!A:D,4,0),0)</f>
        <v>0</v>
      </c>
      <c r="C240" s="125">
        <f>+IFERROR(VLOOKUP(L240,'DB Mapping'!A:C,3,0),0)</f>
        <v>0</v>
      </c>
      <c r="D240" s="125" t="str">
        <f t="shared" si="28"/>
        <v>LIC1030</v>
      </c>
      <c r="E240" s="125" t="str">
        <f t="shared" si="29"/>
        <v>LIC1030</v>
      </c>
      <c r="F240" s="211" t="s">
        <v>21</v>
      </c>
      <c r="G240" s="127" t="s">
        <v>453</v>
      </c>
      <c r="L240" s="212" t="s">
        <v>1727</v>
      </c>
      <c r="N240" s="212" t="s">
        <v>1632</v>
      </c>
      <c r="Z240" s="213">
        <v>0</v>
      </c>
      <c r="AA240" s="213">
        <v>90519.33</v>
      </c>
      <c r="AB240" s="152">
        <f t="shared" si="23"/>
        <v>-9.0519329999999999E-3</v>
      </c>
      <c r="AC240" s="122" t="s">
        <v>1837</v>
      </c>
    </row>
    <row r="241" spans="1:29" ht="12.75" hidden="1" customHeight="1">
      <c r="A241" s="125" t="str">
        <f t="shared" si="27"/>
        <v>LIC103PAYABLE - OTHER FEES</v>
      </c>
      <c r="B241" s="125">
        <f>+IFERROR(VLOOKUP(L241,'DB Mapping'!A:D,4,0),0)</f>
        <v>0</v>
      </c>
      <c r="C241" s="125">
        <f>+IFERROR(VLOOKUP(L241,'DB Mapping'!A:C,3,0),0)</f>
        <v>0</v>
      </c>
      <c r="D241" s="125" t="str">
        <f t="shared" si="28"/>
        <v>LIC1030</v>
      </c>
      <c r="E241" s="125" t="str">
        <f t="shared" si="29"/>
        <v>LIC1030</v>
      </c>
      <c r="F241" s="211" t="s">
        <v>21</v>
      </c>
      <c r="G241" s="127" t="s">
        <v>453</v>
      </c>
      <c r="L241" s="212" t="s">
        <v>1728</v>
      </c>
      <c r="N241" s="212" t="s">
        <v>1633</v>
      </c>
      <c r="Z241" s="213">
        <v>0</v>
      </c>
      <c r="AA241" s="213">
        <v>32662.23</v>
      </c>
      <c r="AB241" s="152">
        <f t="shared" si="23"/>
        <v>-3.266223E-3</v>
      </c>
      <c r="AC241" s="122" t="s">
        <v>1837</v>
      </c>
    </row>
    <row r="242" spans="1:29" ht="12.75" hidden="1" customHeight="1">
      <c r="A242" s="125" t="str">
        <f t="shared" si="27"/>
        <v>LIC103PAYABLE - OTHER FEES (SELLING &amp; DISTRIBUTION)</v>
      </c>
      <c r="B242" s="125">
        <f>+IFERROR(VLOOKUP(L242,'DB Mapping'!A:D,4,0),0)</f>
        <v>0</v>
      </c>
      <c r="C242" s="125">
        <f>+IFERROR(VLOOKUP(L242,'DB Mapping'!A:C,3,0),0)</f>
        <v>0</v>
      </c>
      <c r="D242" s="125" t="str">
        <f t="shared" si="28"/>
        <v>LIC1030</v>
      </c>
      <c r="E242" s="125" t="str">
        <f t="shared" si="29"/>
        <v>LIC1030</v>
      </c>
      <c r="F242" s="211" t="s">
        <v>21</v>
      </c>
      <c r="G242" s="127" t="s">
        <v>453</v>
      </c>
      <c r="L242" s="212" t="s">
        <v>1729</v>
      </c>
      <c r="N242" s="212" t="s">
        <v>1634</v>
      </c>
      <c r="Z242" s="213">
        <v>0</v>
      </c>
      <c r="AA242" s="213">
        <v>0.01</v>
      </c>
      <c r="AB242" s="152">
        <f t="shared" si="23"/>
        <v>-1.0000000000000001E-9</v>
      </c>
      <c r="AC242" s="122" t="s">
        <v>1837</v>
      </c>
    </row>
    <row r="243" spans="1:29" ht="12.75" hidden="1" customHeight="1">
      <c r="A243" s="125" t="str">
        <f t="shared" si="27"/>
        <v>LIC103PAYABLE - SERVICE TAX</v>
      </c>
      <c r="B243" s="125">
        <f>+IFERROR(VLOOKUP(L243,'DB Mapping'!A:D,4,0),0)</f>
        <v>0</v>
      </c>
      <c r="C243" s="125">
        <f>+IFERROR(VLOOKUP(L243,'DB Mapping'!A:C,3,0),0)</f>
        <v>0</v>
      </c>
      <c r="D243" s="125" t="str">
        <f t="shared" si="28"/>
        <v>LIC1030</v>
      </c>
      <c r="E243" s="125" t="str">
        <f t="shared" si="29"/>
        <v>LIC1030</v>
      </c>
      <c r="F243" s="211" t="s">
        <v>21</v>
      </c>
      <c r="G243" s="127" t="s">
        <v>453</v>
      </c>
      <c r="L243" s="212" t="s">
        <v>1730</v>
      </c>
      <c r="N243" s="212" t="s">
        <v>1635</v>
      </c>
      <c r="Z243" s="213">
        <v>0</v>
      </c>
      <c r="AA243" s="213">
        <v>0</v>
      </c>
      <c r="AB243" s="152">
        <f t="shared" si="23"/>
        <v>0</v>
      </c>
      <c r="AC243" s="122" t="s">
        <v>1837</v>
      </c>
    </row>
    <row r="244" spans="1:29" ht="12.75" hidden="1" customHeight="1">
      <c r="A244" s="125" t="str">
        <f t="shared" si="27"/>
        <v>LIC103PAYABLE - TRAIL BROKERAGE</v>
      </c>
      <c r="B244" s="125">
        <f>+IFERROR(VLOOKUP(L244,'DB Mapping'!A:D,4,0),0)</f>
        <v>0</v>
      </c>
      <c r="C244" s="125">
        <f>+IFERROR(VLOOKUP(L244,'DB Mapping'!A:C,3,0),0)</f>
        <v>0</v>
      </c>
      <c r="D244" s="125" t="str">
        <f t="shared" si="28"/>
        <v>LIC1030</v>
      </c>
      <c r="E244" s="125" t="str">
        <f t="shared" si="29"/>
        <v>LIC1030</v>
      </c>
      <c r="F244" s="211" t="s">
        <v>21</v>
      </c>
      <c r="G244" s="127" t="s">
        <v>453</v>
      </c>
      <c r="L244" s="212" t="s">
        <v>1731</v>
      </c>
      <c r="N244" s="212" t="s">
        <v>1636</v>
      </c>
      <c r="Z244" s="213">
        <v>0</v>
      </c>
      <c r="AA244" s="213">
        <v>0</v>
      </c>
      <c r="AB244" s="152">
        <f t="shared" si="23"/>
        <v>0</v>
      </c>
      <c r="AC244" s="122" t="s">
        <v>1837</v>
      </c>
    </row>
    <row r="245" spans="1:29" ht="12.75" hidden="1" customHeight="1">
      <c r="A245" s="125" t="str">
        <f t="shared" si="27"/>
        <v>LIC103PAYABLE - INTERNAL AUDIT FEES</v>
      </c>
      <c r="B245" s="125">
        <f>+IFERROR(VLOOKUP(L245,'DB Mapping'!A:D,4,0),0)</f>
        <v>0</v>
      </c>
      <c r="C245" s="125">
        <f>+IFERROR(VLOOKUP(L245,'DB Mapping'!A:C,3,0),0)</f>
        <v>0</v>
      </c>
      <c r="D245" s="125" t="str">
        <f t="shared" si="28"/>
        <v>LIC1030</v>
      </c>
      <c r="E245" s="125" t="str">
        <f t="shared" si="29"/>
        <v>LIC1030</v>
      </c>
      <c r="F245" s="211" t="s">
        <v>21</v>
      </c>
      <c r="G245" s="127" t="s">
        <v>453</v>
      </c>
      <c r="L245" s="212" t="s">
        <v>1732</v>
      </c>
      <c r="N245" s="212" t="s">
        <v>1637</v>
      </c>
      <c r="Z245" s="213">
        <v>0</v>
      </c>
      <c r="AA245" s="213">
        <v>157.13</v>
      </c>
      <c r="AB245" s="152">
        <f t="shared" si="23"/>
        <v>-1.5713E-5</v>
      </c>
      <c r="AC245" s="122" t="s">
        <v>1837</v>
      </c>
    </row>
    <row r="246" spans="1:29" ht="12.75" hidden="1" customHeight="1">
      <c r="A246" s="125" t="str">
        <f t="shared" si="27"/>
        <v>LIC103CGST EXPS PAYABLE ON MFEES</v>
      </c>
      <c r="B246" s="125">
        <f>+IFERROR(VLOOKUP(L246,'DB Mapping'!A:D,4,0),0)</f>
        <v>0</v>
      </c>
      <c r="C246" s="125">
        <f>+IFERROR(VLOOKUP(L246,'DB Mapping'!A:C,3,0),0)</f>
        <v>0</v>
      </c>
      <c r="D246" s="125" t="str">
        <f t="shared" si="28"/>
        <v>LIC1030</v>
      </c>
      <c r="E246" s="125" t="str">
        <f t="shared" si="29"/>
        <v>LIC1030</v>
      </c>
      <c r="F246" s="211" t="s">
        <v>21</v>
      </c>
      <c r="G246" s="127" t="s">
        <v>453</v>
      </c>
      <c r="L246" s="212" t="s">
        <v>1733</v>
      </c>
      <c r="N246" s="212" t="s">
        <v>1638</v>
      </c>
      <c r="Z246" s="213">
        <v>0</v>
      </c>
      <c r="AA246" s="213">
        <v>8312.99</v>
      </c>
      <c r="AB246" s="152">
        <f t="shared" si="23"/>
        <v>-8.3129899999999997E-4</v>
      </c>
      <c r="AC246" s="122" t="s">
        <v>1837</v>
      </c>
    </row>
    <row r="247" spans="1:29" ht="12.75" hidden="1" customHeight="1">
      <c r="A247" s="125" t="str">
        <f t="shared" si="27"/>
        <v>LIC103SGST EXPS PAYABLE ON MFEES</v>
      </c>
      <c r="B247" s="125">
        <f>+IFERROR(VLOOKUP(L247,'DB Mapping'!A:D,4,0),0)</f>
        <v>0</v>
      </c>
      <c r="C247" s="125">
        <f>+IFERROR(VLOOKUP(L247,'DB Mapping'!A:C,3,0),0)</f>
        <v>0</v>
      </c>
      <c r="D247" s="125" t="str">
        <f t="shared" si="28"/>
        <v>LIC1030</v>
      </c>
      <c r="E247" s="125" t="str">
        <f t="shared" si="29"/>
        <v>LIC1030</v>
      </c>
      <c r="F247" s="211" t="s">
        <v>21</v>
      </c>
      <c r="G247" s="127" t="s">
        <v>453</v>
      </c>
      <c r="L247" s="212" t="s">
        <v>1734</v>
      </c>
      <c r="N247" s="212" t="s">
        <v>1639</v>
      </c>
      <c r="Z247" s="213">
        <v>0</v>
      </c>
      <c r="AA247" s="213">
        <v>8312.99</v>
      </c>
      <c r="AB247" s="152">
        <f t="shared" si="23"/>
        <v>-8.3129899999999997E-4</v>
      </c>
      <c r="AC247" s="122" t="s">
        <v>1837</v>
      </c>
    </row>
    <row r="248" spans="1:29" ht="12.75" hidden="1" customHeight="1">
      <c r="A248" s="125" t="str">
        <f t="shared" si="27"/>
        <v>LIC103PAYABLE - INVESTOR EDUCATION FUND</v>
      </c>
      <c r="B248" s="125">
        <f>+IFERROR(VLOOKUP(L248,'DB Mapping'!A:D,4,0),0)</f>
        <v>0</v>
      </c>
      <c r="C248" s="125">
        <f>+IFERROR(VLOOKUP(L248,'DB Mapping'!A:C,3,0),0)</f>
        <v>0</v>
      </c>
      <c r="D248" s="125" t="str">
        <f t="shared" si="28"/>
        <v>LIC1030</v>
      </c>
      <c r="E248" s="125" t="str">
        <f t="shared" si="29"/>
        <v>LIC1030</v>
      </c>
      <c r="F248" s="211" t="s">
        <v>21</v>
      </c>
      <c r="G248" s="127" t="s">
        <v>453</v>
      </c>
      <c r="L248" s="212" t="s">
        <v>1735</v>
      </c>
      <c r="N248" s="212" t="s">
        <v>1640</v>
      </c>
      <c r="Z248" s="213">
        <v>0</v>
      </c>
      <c r="AA248" s="213">
        <v>729.8</v>
      </c>
      <c r="AB248" s="152">
        <f t="shared" si="23"/>
        <v>-7.2979999999999996E-5</v>
      </c>
      <c r="AC248" s="122" t="s">
        <v>1837</v>
      </c>
    </row>
    <row r="249" spans="1:29" ht="12.75" hidden="1" customHeight="1">
      <c r="A249" s="125" t="str">
        <f t="shared" si="27"/>
        <v>LIC103PAYABLE - SWITCH OUT</v>
      </c>
      <c r="B249" s="125">
        <f>+IFERROR(VLOOKUP(L249,'DB Mapping'!A:D,4,0),0)</f>
        <v>0</v>
      </c>
      <c r="C249" s="125">
        <f>+IFERROR(VLOOKUP(L249,'DB Mapping'!A:C,3,0),0)</f>
        <v>0</v>
      </c>
      <c r="D249" s="125" t="str">
        <f t="shared" si="28"/>
        <v>LIC1030</v>
      </c>
      <c r="E249" s="125" t="str">
        <f t="shared" si="29"/>
        <v>LIC1030</v>
      </c>
      <c r="F249" s="211" t="s">
        <v>21</v>
      </c>
      <c r="G249" s="127" t="s">
        <v>453</v>
      </c>
      <c r="L249" s="212" t="s">
        <v>1736</v>
      </c>
      <c r="N249" s="212" t="s">
        <v>1785</v>
      </c>
      <c r="Z249" s="213">
        <v>0</v>
      </c>
      <c r="AA249" s="213">
        <v>0</v>
      </c>
      <c r="AB249" s="152">
        <f t="shared" si="23"/>
        <v>0</v>
      </c>
      <c r="AC249" s="122" t="s">
        <v>1837</v>
      </c>
    </row>
    <row r="250" spans="1:29" ht="12.75" hidden="1" customHeight="1">
      <c r="A250" s="125" t="str">
        <f t="shared" si="27"/>
        <v>LIC103PAYABLE - INVESTOR EDUCATION FUND - AMFI</v>
      </c>
      <c r="B250" s="125">
        <f>+IFERROR(VLOOKUP(L250,'DB Mapping'!A:D,4,0),0)</f>
        <v>0</v>
      </c>
      <c r="C250" s="125">
        <f>+IFERROR(VLOOKUP(L250,'DB Mapping'!A:C,3,0),0)</f>
        <v>0</v>
      </c>
      <c r="D250" s="125" t="str">
        <f t="shared" si="28"/>
        <v>LIC1030</v>
      </c>
      <c r="E250" s="125" t="str">
        <f t="shared" si="29"/>
        <v>LIC1030</v>
      </c>
      <c r="F250" s="211" t="s">
        <v>21</v>
      </c>
      <c r="G250" s="127" t="s">
        <v>453</v>
      </c>
      <c r="L250" s="212" t="s">
        <v>1737</v>
      </c>
      <c r="N250" s="212" t="s">
        <v>1641</v>
      </c>
      <c r="Z250" s="213">
        <v>0</v>
      </c>
      <c r="AA250" s="213">
        <v>514.55999999999995</v>
      </c>
      <c r="AB250" s="152">
        <f t="shared" si="23"/>
        <v>-5.1455999999999997E-5</v>
      </c>
      <c r="AC250" s="122" t="s">
        <v>1837</v>
      </c>
    </row>
    <row r="251" spans="1:29" ht="12.75" hidden="1" customHeight="1">
      <c r="A251" s="125" t="str">
        <f t="shared" si="27"/>
        <v>LIC103Other Liability – CGST on Brokerage A/C</v>
      </c>
      <c r="B251" s="125">
        <f>+IFERROR(VLOOKUP(L251,'DB Mapping'!A:D,4,0),0)</f>
        <v>0</v>
      </c>
      <c r="C251" s="125">
        <f>+IFERROR(VLOOKUP(L251,'DB Mapping'!A:C,3,0),0)</f>
        <v>0</v>
      </c>
      <c r="D251" s="125" t="str">
        <f t="shared" si="28"/>
        <v>LIC1030</v>
      </c>
      <c r="E251" s="125" t="str">
        <f t="shared" si="29"/>
        <v>LIC1030</v>
      </c>
      <c r="F251" s="211" t="s">
        <v>21</v>
      </c>
      <c r="G251" s="127" t="s">
        <v>453</v>
      </c>
      <c r="L251" s="212" t="s">
        <v>1738</v>
      </c>
      <c r="N251" s="212" t="s">
        <v>1642</v>
      </c>
      <c r="Z251" s="213">
        <v>0</v>
      </c>
      <c r="AA251" s="213">
        <v>0</v>
      </c>
      <c r="AB251" s="152">
        <f t="shared" si="23"/>
        <v>0</v>
      </c>
      <c r="AC251" s="122" t="s">
        <v>1837</v>
      </c>
    </row>
    <row r="252" spans="1:29" ht="12.75" hidden="1" customHeight="1">
      <c r="A252" s="125" t="str">
        <f t="shared" si="27"/>
        <v>LIC103Other Liability – SGST on Brokerage A/C</v>
      </c>
      <c r="B252" s="125">
        <f>+IFERROR(VLOOKUP(L252,'DB Mapping'!A:D,4,0),0)</f>
        <v>0</v>
      </c>
      <c r="C252" s="125">
        <f>+IFERROR(VLOOKUP(L252,'DB Mapping'!A:C,3,0),0)</f>
        <v>0</v>
      </c>
      <c r="D252" s="125" t="str">
        <f t="shared" si="28"/>
        <v>LIC1030</v>
      </c>
      <c r="E252" s="125" t="str">
        <f t="shared" si="29"/>
        <v>LIC1030</v>
      </c>
      <c r="F252" s="211" t="s">
        <v>21</v>
      </c>
      <c r="G252" s="127" t="s">
        <v>453</v>
      </c>
      <c r="L252" s="212" t="s">
        <v>1739</v>
      </c>
      <c r="N252" s="212" t="s">
        <v>1643</v>
      </c>
      <c r="Z252" s="213">
        <v>0</v>
      </c>
      <c r="AA252" s="213">
        <v>0</v>
      </c>
      <c r="AB252" s="152">
        <f t="shared" si="23"/>
        <v>0</v>
      </c>
      <c r="AC252" s="122" t="s">
        <v>1837</v>
      </c>
    </row>
    <row r="253" spans="1:29" ht="12.75" hidden="1" customHeight="1">
      <c r="A253" s="125" t="str">
        <f t="shared" si="27"/>
        <v>LIC103Other Liability – IGST on Brokerage A/C</v>
      </c>
      <c r="B253" s="125">
        <f>+IFERROR(VLOOKUP(L253,'DB Mapping'!A:D,4,0),0)</f>
        <v>0</v>
      </c>
      <c r="C253" s="125">
        <f>+IFERROR(VLOOKUP(L253,'DB Mapping'!A:C,3,0),0)</f>
        <v>0</v>
      </c>
      <c r="D253" s="125" t="str">
        <f t="shared" si="28"/>
        <v>LIC1030</v>
      </c>
      <c r="E253" s="125" t="str">
        <f t="shared" si="29"/>
        <v>LIC1030</v>
      </c>
      <c r="F253" s="211" t="s">
        <v>21</v>
      </c>
      <c r="G253" s="127" t="s">
        <v>453</v>
      </c>
      <c r="L253" s="212" t="s">
        <v>1740</v>
      </c>
      <c r="N253" s="212" t="s">
        <v>1644</v>
      </c>
      <c r="Z253" s="213">
        <v>0</v>
      </c>
      <c r="AA253" s="213">
        <v>0</v>
      </c>
      <c r="AB253" s="152">
        <f t="shared" si="23"/>
        <v>0</v>
      </c>
      <c r="AC253" s="122" t="s">
        <v>1837</v>
      </c>
    </row>
    <row r="254" spans="1:29" ht="12.75" hidden="1" customHeight="1">
      <c r="A254" s="125" t="str">
        <f t="shared" si="27"/>
        <v>LIC103DIVIDEND DISTRIBUTION PAYABLE</v>
      </c>
      <c r="B254" s="125">
        <f>+IFERROR(VLOOKUP(L254,'DB Mapping'!A:D,4,0),0)</f>
        <v>0</v>
      </c>
      <c r="C254" s="125">
        <f>+IFERROR(VLOOKUP(L254,'DB Mapping'!A:C,3,0),0)</f>
        <v>0</v>
      </c>
      <c r="D254" s="125" t="str">
        <f t="shared" si="28"/>
        <v>LIC1030</v>
      </c>
      <c r="E254" s="125" t="str">
        <f t="shared" si="29"/>
        <v>LIC1030</v>
      </c>
      <c r="F254" s="211" t="s">
        <v>21</v>
      </c>
      <c r="G254" s="127" t="s">
        <v>453</v>
      </c>
      <c r="L254" s="212" t="s">
        <v>1741</v>
      </c>
      <c r="N254" s="212" t="s">
        <v>1645</v>
      </c>
      <c r="Z254" s="213">
        <v>0</v>
      </c>
      <c r="AA254" s="213">
        <v>0</v>
      </c>
      <c r="AB254" s="152">
        <f t="shared" si="23"/>
        <v>0</v>
      </c>
      <c r="AC254" s="122" t="s">
        <v>1837</v>
      </c>
    </row>
    <row r="255" spans="1:29" ht="12.75" hidden="1" customHeight="1">
      <c r="A255" s="125" t="str">
        <f t="shared" si="27"/>
        <v>LIC103CLIENT SERVICING FEES PAYABLE</v>
      </c>
      <c r="B255" s="125">
        <f>+IFERROR(VLOOKUP(L255,'DB Mapping'!A:D,4,0),0)</f>
        <v>0</v>
      </c>
      <c r="C255" s="125">
        <f>+IFERROR(VLOOKUP(L255,'DB Mapping'!A:C,3,0),0)</f>
        <v>0</v>
      </c>
      <c r="D255" s="125" t="str">
        <f t="shared" si="28"/>
        <v>LIC1030</v>
      </c>
      <c r="E255" s="125" t="str">
        <f t="shared" si="29"/>
        <v>LIC1030</v>
      </c>
      <c r="F255" s="211" t="s">
        <v>21</v>
      </c>
      <c r="G255" s="127" t="s">
        <v>453</v>
      </c>
      <c r="L255" s="212" t="s">
        <v>1742</v>
      </c>
      <c r="N255" s="212" t="s">
        <v>1646</v>
      </c>
      <c r="Z255" s="213">
        <v>0</v>
      </c>
      <c r="AA255" s="213">
        <v>15449.8</v>
      </c>
      <c r="AB255" s="152">
        <f t="shared" si="23"/>
        <v>-1.5449799999999998E-3</v>
      </c>
      <c r="AC255" s="122" t="s">
        <v>1837</v>
      </c>
    </row>
    <row r="256" spans="1:29" ht="12.75" hidden="1" customHeight="1">
      <c r="A256" s="125" t="str">
        <f t="shared" si="27"/>
        <v>LIC103PROVISION FOR WITHHOLDING BROKERAGE</v>
      </c>
      <c r="B256" s="125">
        <f>+IFERROR(VLOOKUP(L256,'DB Mapping'!A:D,4,0),0)</f>
        <v>0</v>
      </c>
      <c r="C256" s="125">
        <f>+IFERROR(VLOOKUP(L256,'DB Mapping'!A:C,3,0),0)</f>
        <v>0</v>
      </c>
      <c r="D256" s="125" t="str">
        <f t="shared" si="28"/>
        <v>LIC1030</v>
      </c>
      <c r="E256" s="125" t="str">
        <f t="shared" si="29"/>
        <v>LIC1030</v>
      </c>
      <c r="F256" s="211" t="s">
        <v>21</v>
      </c>
      <c r="G256" s="127" t="s">
        <v>453</v>
      </c>
      <c r="L256" s="212" t="s">
        <v>1743</v>
      </c>
      <c r="N256" s="212" t="s">
        <v>1648</v>
      </c>
      <c r="Z256" s="213">
        <v>0</v>
      </c>
      <c r="AA256" s="213">
        <v>31731.45</v>
      </c>
      <c r="AB256" s="152">
        <f t="shared" si="23"/>
        <v>-3.173145E-3</v>
      </c>
      <c r="AC256" s="122" t="s">
        <v>1837</v>
      </c>
    </row>
    <row r="257" spans="1:29" ht="12.75" hidden="1" customHeight="1">
      <c r="A257" s="125" t="str">
        <f t="shared" si="27"/>
        <v>LIC103PROV FOR WITHHOLDING BROKERAGE FY 2016-17</v>
      </c>
      <c r="B257" s="125">
        <f>+IFERROR(VLOOKUP(L257,'DB Mapping'!A:D,4,0),0)</f>
        <v>0</v>
      </c>
      <c r="C257" s="125">
        <f>+IFERROR(VLOOKUP(L257,'DB Mapping'!A:C,3,0),0)</f>
        <v>0</v>
      </c>
      <c r="D257" s="125" t="str">
        <f t="shared" si="28"/>
        <v>LIC1030</v>
      </c>
      <c r="E257" s="125" t="str">
        <f t="shared" si="29"/>
        <v>LIC1030</v>
      </c>
      <c r="F257" s="211" t="s">
        <v>21</v>
      </c>
      <c r="G257" s="127" t="s">
        <v>453</v>
      </c>
      <c r="L257" s="212" t="s">
        <v>1744</v>
      </c>
      <c r="N257" s="212" t="s">
        <v>1649</v>
      </c>
      <c r="Z257" s="213">
        <v>0</v>
      </c>
      <c r="AA257" s="213">
        <v>0</v>
      </c>
      <c r="AB257" s="152">
        <f t="shared" si="23"/>
        <v>0</v>
      </c>
      <c r="AC257" s="122" t="s">
        <v>1837</v>
      </c>
    </row>
    <row r="258" spans="1:29" ht="12.75" hidden="1" customHeight="1">
      <c r="A258" s="125" t="str">
        <f t="shared" si="27"/>
        <v>LIC103PAYABLE - WITHHOLD BROKERAGE</v>
      </c>
      <c r="B258" s="125">
        <f>+IFERROR(VLOOKUP(L258,'DB Mapping'!A:D,4,0),0)</f>
        <v>0</v>
      </c>
      <c r="C258" s="125">
        <f>+IFERROR(VLOOKUP(L258,'DB Mapping'!A:C,3,0),0)</f>
        <v>0</v>
      </c>
      <c r="D258" s="125" t="str">
        <f t="shared" si="28"/>
        <v>LIC1030</v>
      </c>
      <c r="E258" s="125" t="str">
        <f t="shared" si="29"/>
        <v>LIC1030</v>
      </c>
      <c r="F258" s="211" t="s">
        <v>21</v>
      </c>
      <c r="G258" s="127" t="s">
        <v>453</v>
      </c>
      <c r="L258" s="212" t="s">
        <v>1745</v>
      </c>
      <c r="N258" s="212" t="s">
        <v>1650</v>
      </c>
      <c r="Z258" s="213">
        <v>0</v>
      </c>
      <c r="AA258" s="213">
        <v>17469.259999999998</v>
      </c>
      <c r="AB258" s="152">
        <f t="shared" si="23"/>
        <v>-1.7469259999999998E-3</v>
      </c>
      <c r="AC258" s="122" t="s">
        <v>1837</v>
      </c>
    </row>
    <row r="259" spans="1:29" ht="12.75" hidden="1" customHeight="1">
      <c r="A259" s="125" t="str">
        <f t="shared" si="27"/>
        <v>LIC103UNIT CAPITAL - REGULAR DIV</v>
      </c>
      <c r="B259" s="125">
        <f>+IFERROR(VLOOKUP(L259,'DB Mapping'!A:D,4,0),0)</f>
        <v>0</v>
      </c>
      <c r="C259" s="125" t="str">
        <f>+IFERROR(VLOOKUP(L259,'DB Mapping'!A:C,3,0),0)</f>
        <v>Unit Capital</v>
      </c>
      <c r="D259" s="125" t="str">
        <f t="shared" si="28"/>
        <v>LIC1030</v>
      </c>
      <c r="E259" s="125" t="str">
        <f t="shared" si="29"/>
        <v>LIC103Unit Capital</v>
      </c>
      <c r="F259" s="211" t="s">
        <v>21</v>
      </c>
      <c r="G259" s="127" t="s">
        <v>453</v>
      </c>
      <c r="L259" s="212" t="s">
        <v>1746</v>
      </c>
      <c r="N259" s="212" t="s">
        <v>1651</v>
      </c>
      <c r="Z259" s="213">
        <v>0</v>
      </c>
      <c r="AA259" s="213">
        <v>10820709.92</v>
      </c>
      <c r="AB259" s="152">
        <f t="shared" si="23"/>
        <v>-1.082070992</v>
      </c>
      <c r="AC259" s="122" t="s">
        <v>1837</v>
      </c>
    </row>
    <row r="260" spans="1:29" ht="12.75" hidden="1" customHeight="1">
      <c r="A260" s="125" t="str">
        <f t="shared" si="27"/>
        <v>LIC103UNIT CAPITAL - REGULAR GROWTH</v>
      </c>
      <c r="B260" s="125">
        <f>+IFERROR(VLOOKUP(L260,'DB Mapping'!A:D,4,0),0)</f>
        <v>0</v>
      </c>
      <c r="C260" s="125" t="str">
        <f>+IFERROR(VLOOKUP(L260,'DB Mapping'!A:C,3,0),0)</f>
        <v>Unit Capital</v>
      </c>
      <c r="D260" s="125" t="str">
        <f t="shared" si="28"/>
        <v>LIC1030</v>
      </c>
      <c r="E260" s="125" t="str">
        <f t="shared" si="29"/>
        <v>LIC103Unit Capital</v>
      </c>
      <c r="F260" s="211" t="s">
        <v>21</v>
      </c>
      <c r="G260" s="127" t="s">
        <v>453</v>
      </c>
      <c r="L260" s="212" t="s">
        <v>1747</v>
      </c>
      <c r="N260" s="212" t="s">
        <v>1652</v>
      </c>
      <c r="Z260" s="213">
        <v>0</v>
      </c>
      <c r="AA260" s="213">
        <v>9740848.8699999992</v>
      </c>
      <c r="AB260" s="152">
        <f t="shared" si="23"/>
        <v>-0.97408488699999995</v>
      </c>
      <c r="AC260" s="122" t="s">
        <v>1837</v>
      </c>
    </row>
    <row r="261" spans="1:29" ht="12.75" hidden="1" customHeight="1">
      <c r="A261" s="125" t="str">
        <f t="shared" si="27"/>
        <v>LIC103UNIT CAPITAL - DIRECT DIVIDEND</v>
      </c>
      <c r="B261" s="125">
        <f>+IFERROR(VLOOKUP(L261,'DB Mapping'!A:D,4,0),0)</f>
        <v>0</v>
      </c>
      <c r="C261" s="125" t="str">
        <f>+IFERROR(VLOOKUP(L261,'DB Mapping'!A:C,3,0),0)</f>
        <v>Unit Capital</v>
      </c>
      <c r="D261" s="125" t="str">
        <f t="shared" si="28"/>
        <v>LIC1030</v>
      </c>
      <c r="E261" s="125" t="str">
        <f t="shared" si="29"/>
        <v>LIC103Unit Capital</v>
      </c>
      <c r="F261" s="211" t="s">
        <v>21</v>
      </c>
      <c r="G261" s="127" t="s">
        <v>453</v>
      </c>
      <c r="L261" s="212" t="s">
        <v>1748</v>
      </c>
      <c r="N261" s="212" t="s">
        <v>1653</v>
      </c>
      <c r="Z261" s="213">
        <v>0</v>
      </c>
      <c r="AA261" s="213">
        <v>434146.89</v>
      </c>
      <c r="AB261" s="152">
        <f t="shared" si="23"/>
        <v>-4.3414688999999999E-2</v>
      </c>
      <c r="AC261" s="122" t="s">
        <v>1837</v>
      </c>
    </row>
    <row r="262" spans="1:29" ht="12.75" hidden="1" customHeight="1">
      <c r="A262" s="125" t="str">
        <f t="shared" si="27"/>
        <v>LIC103UNIT CAPITAL - DIRECT GROWTH</v>
      </c>
      <c r="B262" s="125">
        <f>+IFERROR(VLOOKUP(L262,'DB Mapping'!A:D,4,0),0)</f>
        <v>0</v>
      </c>
      <c r="C262" s="125" t="str">
        <f>+IFERROR(VLOOKUP(L262,'DB Mapping'!A:C,3,0),0)</f>
        <v>Unit Capital</v>
      </c>
      <c r="D262" s="125" t="str">
        <f t="shared" si="28"/>
        <v>LIC1030</v>
      </c>
      <c r="E262" s="125" t="str">
        <f t="shared" si="29"/>
        <v>LIC103Unit Capital</v>
      </c>
      <c r="F262" s="211" t="s">
        <v>21</v>
      </c>
      <c r="G262" s="127" t="s">
        <v>453</v>
      </c>
      <c r="L262" s="212" t="s">
        <v>1749</v>
      </c>
      <c r="N262" s="212" t="s">
        <v>1654</v>
      </c>
      <c r="Z262" s="213">
        <v>0</v>
      </c>
      <c r="AA262" s="213">
        <v>8926612.5800000001</v>
      </c>
      <c r="AB262" s="152">
        <f t="shared" si="23"/>
        <v>-0.89266125799999996</v>
      </c>
      <c r="AC262" s="122" t="s">
        <v>1837</v>
      </c>
    </row>
    <row r="263" spans="1:29" ht="12.75" hidden="1" customHeight="1">
      <c r="A263" s="125" t="str">
        <f t="shared" si="27"/>
        <v>LIC103UPR - REGULAR DIV</v>
      </c>
      <c r="B263" s="125">
        <f>+IFERROR(VLOOKUP(L263,'DB Mapping'!A:D,4,0),0)</f>
        <v>0</v>
      </c>
      <c r="C263" s="125">
        <f>+IFERROR(VLOOKUP(L263,'DB Mapping'!A:C,3,0),0)</f>
        <v>0</v>
      </c>
      <c r="D263" s="125" t="str">
        <f t="shared" si="28"/>
        <v>LIC1030</v>
      </c>
      <c r="E263" s="125" t="str">
        <f t="shared" si="29"/>
        <v>LIC1030</v>
      </c>
      <c r="F263" s="211" t="s">
        <v>21</v>
      </c>
      <c r="G263" s="127" t="s">
        <v>453</v>
      </c>
      <c r="L263" s="212" t="s">
        <v>1799</v>
      </c>
      <c r="N263" s="212" t="s">
        <v>1800</v>
      </c>
      <c r="Z263" s="213">
        <v>388.42</v>
      </c>
      <c r="AA263" s="213">
        <v>0</v>
      </c>
      <c r="AB263" s="152">
        <f t="shared" si="23"/>
        <v>3.8841999999999998E-5</v>
      </c>
      <c r="AC263" s="122" t="s">
        <v>1837</v>
      </c>
    </row>
    <row r="264" spans="1:29" ht="12.75" hidden="1" customHeight="1">
      <c r="A264" s="125" t="str">
        <f t="shared" si="27"/>
        <v>LIC103UPR - REGULAR GROWTH</v>
      </c>
      <c r="B264" s="125">
        <f>+IFERROR(VLOOKUP(L264,'DB Mapping'!A:D,4,0),0)</f>
        <v>0</v>
      </c>
      <c r="C264" s="125">
        <f>+IFERROR(VLOOKUP(L264,'DB Mapping'!A:C,3,0),0)</f>
        <v>0</v>
      </c>
      <c r="D264" s="125" t="str">
        <f t="shared" si="28"/>
        <v>LIC1030</v>
      </c>
      <c r="E264" s="125" t="str">
        <f t="shared" si="29"/>
        <v>LIC1030</v>
      </c>
      <c r="F264" s="211" t="s">
        <v>21</v>
      </c>
      <c r="G264" s="127" t="s">
        <v>453</v>
      </c>
      <c r="L264" s="212" t="s">
        <v>1750</v>
      </c>
      <c r="N264" s="212" t="s">
        <v>1655</v>
      </c>
      <c r="Z264" s="213">
        <v>12051686.49</v>
      </c>
      <c r="AA264" s="213">
        <v>0</v>
      </c>
      <c r="AB264" s="152">
        <f t="shared" si="23"/>
        <v>1.205168649</v>
      </c>
      <c r="AC264" s="122" t="s">
        <v>1837</v>
      </c>
    </row>
    <row r="265" spans="1:29" ht="12.75" hidden="1" customHeight="1">
      <c r="A265" s="125" t="str">
        <f t="shared" si="27"/>
        <v>LIC103UPR - DIRECT GROWTH</v>
      </c>
      <c r="B265" s="125">
        <f>+IFERROR(VLOOKUP(L265,'DB Mapping'!A:D,4,0),0)</f>
        <v>0</v>
      </c>
      <c r="C265" s="125">
        <f>+IFERROR(VLOOKUP(L265,'DB Mapping'!A:C,3,0),0)</f>
        <v>0</v>
      </c>
      <c r="D265" s="125" t="str">
        <f t="shared" si="28"/>
        <v>LIC1030</v>
      </c>
      <c r="E265" s="125" t="str">
        <f t="shared" si="29"/>
        <v>LIC1030</v>
      </c>
      <c r="F265" s="211" t="s">
        <v>21</v>
      </c>
      <c r="G265" s="127" t="s">
        <v>453</v>
      </c>
      <c r="L265" s="212" t="s">
        <v>1751</v>
      </c>
      <c r="N265" s="212" t="s">
        <v>1786</v>
      </c>
      <c r="Z265" s="213">
        <v>5850227.7800000003</v>
      </c>
      <c r="AA265" s="213">
        <v>0</v>
      </c>
      <c r="AB265" s="152">
        <f t="shared" si="23"/>
        <v>0.58502277800000002</v>
      </c>
      <c r="AC265" s="122" t="s">
        <v>1837</v>
      </c>
    </row>
    <row r="266" spans="1:29" ht="12.75" hidden="1" customHeight="1">
      <c r="A266" s="125" t="str">
        <f t="shared" si="27"/>
        <v>LIC103RESERVES &amp; SURPLUS</v>
      </c>
      <c r="B266" s="125">
        <f>+IFERROR(VLOOKUP(L266,'DB Mapping'!A:D,4,0),0)</f>
        <v>0</v>
      </c>
      <c r="C266" s="125">
        <f>+IFERROR(VLOOKUP(L266,'DB Mapping'!A:C,3,0),0)</f>
        <v>0</v>
      </c>
      <c r="D266" s="125" t="str">
        <f t="shared" si="28"/>
        <v>LIC1030</v>
      </c>
      <c r="E266" s="125" t="str">
        <f t="shared" si="29"/>
        <v>LIC1030</v>
      </c>
      <c r="F266" s="211" t="s">
        <v>21</v>
      </c>
      <c r="G266" s="127" t="s">
        <v>453</v>
      </c>
      <c r="L266" s="212" t="s">
        <v>1752</v>
      </c>
      <c r="N266" s="212" t="s">
        <v>1656</v>
      </c>
      <c r="Z266" s="213">
        <v>0</v>
      </c>
      <c r="AA266" s="213">
        <v>35090144.240000002</v>
      </c>
      <c r="AB266" s="152">
        <f t="shared" ref="AB266:AB295" si="30">+(Z266-AA266)/10000000</f>
        <v>-3.5090144240000001</v>
      </c>
      <c r="AC266" s="122" t="s">
        <v>1837</v>
      </c>
    </row>
    <row r="267" spans="1:29" ht="12.75" hidden="1" customHeight="1">
      <c r="A267" s="125" t="str">
        <f t="shared" si="27"/>
        <v>LIC103DIV DISTRIBUTION - REGULAR DIV</v>
      </c>
      <c r="B267" s="125">
        <f>+IFERROR(VLOOKUP(L267,'DB Mapping'!A:D,4,0),0)</f>
        <v>0</v>
      </c>
      <c r="C267" s="125">
        <f>+IFERROR(VLOOKUP(L267,'DB Mapping'!A:C,3,0),0)</f>
        <v>0</v>
      </c>
      <c r="D267" s="125" t="str">
        <f t="shared" si="28"/>
        <v>LIC1030</v>
      </c>
      <c r="E267" s="125" t="str">
        <f t="shared" si="29"/>
        <v>LIC1030</v>
      </c>
      <c r="F267" s="211" t="s">
        <v>21</v>
      </c>
      <c r="G267" s="127" t="s">
        <v>453</v>
      </c>
      <c r="L267" s="212" t="s">
        <v>1753</v>
      </c>
      <c r="N267" s="212" t="s">
        <v>1657</v>
      </c>
      <c r="Z267" s="213">
        <v>461761.17</v>
      </c>
      <c r="AA267" s="213">
        <v>0</v>
      </c>
      <c r="AB267" s="152">
        <f t="shared" si="30"/>
        <v>4.6176116999999996E-2</v>
      </c>
      <c r="AC267" s="122" t="s">
        <v>1837</v>
      </c>
    </row>
    <row r="268" spans="1:29" ht="12.75" hidden="1" customHeight="1">
      <c r="A268" s="125" t="str">
        <f t="shared" si="27"/>
        <v>LIC103DIV DISTRIBUTION - DIRECT DIVIDEND</v>
      </c>
      <c r="B268" s="125">
        <f>+IFERROR(VLOOKUP(L268,'DB Mapping'!A:D,4,0),0)</f>
        <v>0</v>
      </c>
      <c r="C268" s="125">
        <f>+IFERROR(VLOOKUP(L268,'DB Mapping'!A:C,3,0),0)</f>
        <v>0</v>
      </c>
      <c r="D268" s="125" t="str">
        <f t="shared" si="28"/>
        <v>LIC1030</v>
      </c>
      <c r="E268" s="125" t="str">
        <f t="shared" si="29"/>
        <v>LIC1030</v>
      </c>
      <c r="F268" s="211" t="s">
        <v>21</v>
      </c>
      <c r="G268" s="127" t="s">
        <v>453</v>
      </c>
      <c r="L268" s="212" t="s">
        <v>1754</v>
      </c>
      <c r="N268" s="212" t="s">
        <v>1658</v>
      </c>
      <c r="Z268" s="213">
        <v>13400.8</v>
      </c>
      <c r="AA268" s="213">
        <v>0</v>
      </c>
      <c r="AB268" s="152">
        <f t="shared" si="30"/>
        <v>1.34008E-3</v>
      </c>
      <c r="AC268" s="122" t="s">
        <v>1837</v>
      </c>
    </row>
    <row r="269" spans="1:29" ht="12.75" hidden="1" customHeight="1">
      <c r="A269" s="125" t="str">
        <f t="shared" si="27"/>
        <v>LIC103DDT - REGULAR DIV</v>
      </c>
      <c r="B269" s="125">
        <f>+IFERROR(VLOOKUP(L269,'DB Mapping'!A:D,4,0),0)</f>
        <v>0</v>
      </c>
      <c r="C269" s="125">
        <f>+IFERROR(VLOOKUP(L269,'DB Mapping'!A:C,3,0),0)</f>
        <v>0</v>
      </c>
      <c r="D269" s="125" t="str">
        <f t="shared" si="28"/>
        <v>LIC1030</v>
      </c>
      <c r="E269" s="125" t="str">
        <f t="shared" si="29"/>
        <v>LIC1030</v>
      </c>
      <c r="F269" s="211" t="s">
        <v>21</v>
      </c>
      <c r="G269" s="127" t="s">
        <v>453</v>
      </c>
      <c r="L269" s="212" t="s">
        <v>1755</v>
      </c>
      <c r="N269" s="212" t="s">
        <v>1659</v>
      </c>
      <c r="Z269" s="213">
        <v>177562</v>
      </c>
      <c r="AA269" s="213">
        <v>0</v>
      </c>
      <c r="AB269" s="152">
        <f t="shared" si="30"/>
        <v>1.77562E-2</v>
      </c>
      <c r="AC269" s="122" t="s">
        <v>1837</v>
      </c>
    </row>
    <row r="270" spans="1:29" ht="12.75" hidden="1" customHeight="1">
      <c r="A270" s="125" t="str">
        <f t="shared" si="27"/>
        <v>LIC103DDT - DIRECT DIVIDEND</v>
      </c>
      <c r="B270" s="125">
        <f>+IFERROR(VLOOKUP(L270,'DB Mapping'!A:D,4,0),0)</f>
        <v>0</v>
      </c>
      <c r="C270" s="125">
        <f>+IFERROR(VLOOKUP(L270,'DB Mapping'!A:C,3,0),0)</f>
        <v>0</v>
      </c>
      <c r="D270" s="125" t="str">
        <f t="shared" si="28"/>
        <v>LIC1030</v>
      </c>
      <c r="E270" s="125" t="str">
        <f t="shared" si="29"/>
        <v>LIC1030</v>
      </c>
      <c r="F270" s="211" t="s">
        <v>21</v>
      </c>
      <c r="G270" s="127" t="s">
        <v>453</v>
      </c>
      <c r="L270" s="212" t="s">
        <v>1756</v>
      </c>
      <c r="N270" s="212" t="s">
        <v>1660</v>
      </c>
      <c r="Z270" s="213">
        <v>5152</v>
      </c>
      <c r="AA270" s="213">
        <v>0</v>
      </c>
      <c r="AB270" s="152">
        <f t="shared" si="30"/>
        <v>5.1519999999999995E-4</v>
      </c>
      <c r="AC270" s="122" t="s">
        <v>1837</v>
      </c>
    </row>
    <row r="271" spans="1:29" ht="12.75" hidden="1" customHeight="1">
      <c r="A271" s="125" t="str">
        <f t="shared" si="27"/>
        <v>LIC103AMORTISATION INCOME - CBLO</v>
      </c>
      <c r="B271" s="125">
        <f>+IFERROR(VLOOKUP(L271,'DB Mapping'!A:D,4,0),0)</f>
        <v>0</v>
      </c>
      <c r="C271" s="125">
        <f>+IFERROR(VLOOKUP(L271,'DB Mapping'!A:C,3,0),0)</f>
        <v>5.2</v>
      </c>
      <c r="D271" s="125" t="str">
        <f t="shared" si="28"/>
        <v>LIC1030</v>
      </c>
      <c r="E271" s="125" t="str">
        <f t="shared" si="29"/>
        <v>LIC1035.2</v>
      </c>
      <c r="F271" s="211" t="s">
        <v>21</v>
      </c>
      <c r="G271" s="127" t="s">
        <v>453</v>
      </c>
      <c r="L271" s="212" t="s">
        <v>1757</v>
      </c>
      <c r="N271" s="212" t="s">
        <v>1667</v>
      </c>
      <c r="Z271" s="213">
        <v>0</v>
      </c>
      <c r="AA271" s="213">
        <v>2850039.78</v>
      </c>
      <c r="AB271" s="152">
        <f t="shared" si="30"/>
        <v>-0.28500397799999999</v>
      </c>
      <c r="AC271" s="122" t="s">
        <v>1837</v>
      </c>
    </row>
    <row r="272" spans="1:29" ht="12.75" hidden="1" customHeight="1">
      <c r="A272" s="125" t="str">
        <f t="shared" si="27"/>
        <v>LIC103AMORTISATION INCOME - TREASURY BILL</v>
      </c>
      <c r="B272" s="125">
        <f>+IFERROR(VLOOKUP(L272,'DB Mapping'!A:D,4,0),0)</f>
        <v>0</v>
      </c>
      <c r="C272" s="125">
        <f>+IFERROR(VLOOKUP(L272,'DB Mapping'!A:C,3,0),0)</f>
        <v>5.2</v>
      </c>
      <c r="D272" s="125" t="str">
        <f t="shared" si="28"/>
        <v>LIC1030</v>
      </c>
      <c r="E272" s="125" t="str">
        <f t="shared" si="29"/>
        <v>LIC1035.2</v>
      </c>
      <c r="F272" s="211" t="s">
        <v>21</v>
      </c>
      <c r="G272" s="127" t="s">
        <v>453</v>
      </c>
      <c r="L272" s="212" t="s">
        <v>1758</v>
      </c>
      <c r="N272" s="212" t="s">
        <v>1787</v>
      </c>
      <c r="Z272" s="213">
        <v>0</v>
      </c>
      <c r="AA272" s="213">
        <v>333927.8</v>
      </c>
      <c r="AB272" s="152">
        <f t="shared" si="30"/>
        <v>-3.3392779999999997E-2</v>
      </c>
      <c r="AC272" s="122" t="s">
        <v>1837</v>
      </c>
    </row>
    <row r="273" spans="1:29" ht="12.75" hidden="1" customHeight="1">
      <c r="A273" s="125" t="str">
        <f t="shared" si="27"/>
        <v>LIC103MISCELLEANOUS INCOME</v>
      </c>
      <c r="B273" s="125">
        <f>+IFERROR(VLOOKUP(L273,'DB Mapping'!A:D,4,0),0)</f>
        <v>0</v>
      </c>
      <c r="C273" s="125">
        <f>+IFERROR(VLOOKUP(L273,'DB Mapping'!A:C,3,0),0)</f>
        <v>5.5</v>
      </c>
      <c r="D273" s="125" t="str">
        <f t="shared" si="28"/>
        <v>LIC1030</v>
      </c>
      <c r="E273" s="125" t="str">
        <f t="shared" si="29"/>
        <v>LIC1035.5</v>
      </c>
      <c r="F273" s="211" t="s">
        <v>21</v>
      </c>
      <c r="G273" s="127" t="s">
        <v>453</v>
      </c>
      <c r="L273" s="212" t="s">
        <v>1759</v>
      </c>
      <c r="N273" s="212" t="s">
        <v>1668</v>
      </c>
      <c r="Z273" s="213">
        <v>1.03</v>
      </c>
      <c r="AA273" s="213">
        <v>0</v>
      </c>
      <c r="AB273" s="152">
        <f t="shared" si="30"/>
        <v>1.0300000000000001E-7</v>
      </c>
      <c r="AC273" s="122" t="s">
        <v>1837</v>
      </c>
    </row>
    <row r="274" spans="1:29" ht="12.75" hidden="1" customHeight="1">
      <c r="A274" s="125" t="str">
        <f t="shared" si="27"/>
        <v>LIC103MANAGEMENT FEES</v>
      </c>
      <c r="B274" s="125">
        <f>+IFERROR(VLOOKUP(L274,'DB Mapping'!A:D,4,0),0)</f>
        <v>6.1</v>
      </c>
      <c r="C274" s="125">
        <f>+IFERROR(VLOOKUP(L274,'DB Mapping'!A:C,3,0),0)</f>
        <v>6.3</v>
      </c>
      <c r="D274" s="125" t="str">
        <f t="shared" si="28"/>
        <v>LIC1036.1</v>
      </c>
      <c r="E274" s="125" t="str">
        <f t="shared" si="29"/>
        <v>LIC1036.3</v>
      </c>
      <c r="F274" s="211" t="s">
        <v>21</v>
      </c>
      <c r="G274" s="127" t="s">
        <v>453</v>
      </c>
      <c r="L274" s="212" t="s">
        <v>1760</v>
      </c>
      <c r="N274" s="212" t="s">
        <v>1702</v>
      </c>
      <c r="Z274" s="213">
        <v>117790.66</v>
      </c>
      <c r="AA274" s="213">
        <v>0</v>
      </c>
      <c r="AB274" s="152">
        <f t="shared" si="30"/>
        <v>1.1779065999999999E-2</v>
      </c>
      <c r="AC274" s="122" t="s">
        <v>1837</v>
      </c>
    </row>
    <row r="275" spans="1:29" ht="12.75" hidden="1" customHeight="1">
      <c r="A275" s="125" t="str">
        <f t="shared" si="27"/>
        <v>LIC103OTHER FEES</v>
      </c>
      <c r="B275" s="125">
        <f>+IFERROR(VLOOKUP(L275,'DB Mapping'!A:D,4,0),0)</f>
        <v>0</v>
      </c>
      <c r="C275" s="125">
        <f>+IFERROR(VLOOKUP(L275,'DB Mapping'!A:C,3,0),0)</f>
        <v>6.3</v>
      </c>
      <c r="D275" s="125" t="str">
        <f t="shared" si="28"/>
        <v>LIC1030</v>
      </c>
      <c r="E275" s="125" t="str">
        <f t="shared" si="29"/>
        <v>LIC1036.3</v>
      </c>
      <c r="F275" s="211" t="s">
        <v>21</v>
      </c>
      <c r="G275" s="127" t="s">
        <v>453</v>
      </c>
      <c r="L275" s="212" t="s">
        <v>1761</v>
      </c>
      <c r="N275" s="212" t="s">
        <v>1788</v>
      </c>
      <c r="Z275" s="213">
        <v>0</v>
      </c>
      <c r="AA275" s="213">
        <v>88059.43</v>
      </c>
      <c r="AB275" s="152">
        <f t="shared" si="30"/>
        <v>-8.8059430000000001E-3</v>
      </c>
      <c r="AC275" s="122" t="s">
        <v>1837</v>
      </c>
    </row>
    <row r="276" spans="1:29" ht="12.75" hidden="1" customHeight="1">
      <c r="A276" s="125" t="str">
        <f t="shared" si="27"/>
        <v>LIC103OTHER FEES - REGULAR DIV</v>
      </c>
      <c r="B276" s="125">
        <f>+IFERROR(VLOOKUP(L276,'DB Mapping'!A:D,4,0),0)</f>
        <v>0</v>
      </c>
      <c r="C276" s="125">
        <f>+IFERROR(VLOOKUP(L276,'DB Mapping'!A:C,3,0),0)</f>
        <v>6.3</v>
      </c>
      <c r="D276" s="125" t="str">
        <f t="shared" si="28"/>
        <v>LIC1030</v>
      </c>
      <c r="E276" s="125" t="str">
        <f t="shared" si="29"/>
        <v>LIC1036.3</v>
      </c>
      <c r="F276" s="211" t="s">
        <v>21</v>
      </c>
      <c r="G276" s="127" t="s">
        <v>453</v>
      </c>
      <c r="L276" s="212" t="s">
        <v>1762</v>
      </c>
      <c r="N276" s="212" t="s">
        <v>1676</v>
      </c>
      <c r="Z276" s="213">
        <v>22551.84</v>
      </c>
      <c r="AA276" s="213">
        <v>0</v>
      </c>
      <c r="AB276" s="152">
        <f t="shared" si="30"/>
        <v>2.2551839999999999E-3</v>
      </c>
      <c r="AC276" s="122" t="s">
        <v>1837</v>
      </c>
    </row>
    <row r="277" spans="1:29" ht="12.75" hidden="1" customHeight="1">
      <c r="A277" s="125" t="str">
        <f t="shared" si="27"/>
        <v>LIC103OTHER FEES - REGULAR GROWTH</v>
      </c>
      <c r="B277" s="125">
        <f>+IFERROR(VLOOKUP(L277,'DB Mapping'!A:D,4,0),0)</f>
        <v>0</v>
      </c>
      <c r="C277" s="125">
        <f>+IFERROR(VLOOKUP(L277,'DB Mapping'!A:C,3,0),0)</f>
        <v>6.3</v>
      </c>
      <c r="D277" s="125" t="str">
        <f t="shared" si="28"/>
        <v>LIC1030</v>
      </c>
      <c r="E277" s="125" t="str">
        <f t="shared" si="29"/>
        <v>LIC1036.3</v>
      </c>
      <c r="F277" s="211" t="s">
        <v>21</v>
      </c>
      <c r="G277" s="127" t="s">
        <v>453</v>
      </c>
      <c r="L277" s="212" t="s">
        <v>1763</v>
      </c>
      <c r="N277" s="212" t="s">
        <v>1677</v>
      </c>
      <c r="Z277" s="213">
        <v>56265.88</v>
      </c>
      <c r="AA277" s="213">
        <v>0</v>
      </c>
      <c r="AB277" s="152">
        <f t="shared" si="30"/>
        <v>5.6265880000000001E-3</v>
      </c>
      <c r="AC277" s="122" t="s">
        <v>1837</v>
      </c>
    </row>
    <row r="278" spans="1:29" ht="12.75" hidden="1" customHeight="1">
      <c r="A278" s="125" t="str">
        <f t="shared" si="27"/>
        <v>LIC103OTHER FEES - DIRECT DIVIDEND</v>
      </c>
      <c r="B278" s="125">
        <f>+IFERROR(VLOOKUP(L278,'DB Mapping'!A:D,4,0),0)</f>
        <v>0</v>
      </c>
      <c r="C278" s="125">
        <f>+IFERROR(VLOOKUP(L278,'DB Mapping'!A:C,3,0),0)</f>
        <v>6.3</v>
      </c>
      <c r="D278" s="125" t="str">
        <f t="shared" si="28"/>
        <v>LIC1030</v>
      </c>
      <c r="E278" s="125" t="str">
        <f t="shared" si="29"/>
        <v>LIC1036.3</v>
      </c>
      <c r="F278" s="211" t="s">
        <v>21</v>
      </c>
      <c r="G278" s="127" t="s">
        <v>453</v>
      </c>
      <c r="L278" s="212" t="s">
        <v>1764</v>
      </c>
      <c r="N278" s="212" t="s">
        <v>1678</v>
      </c>
      <c r="Z278" s="213">
        <v>639.09</v>
      </c>
      <c r="AA278" s="213">
        <v>0</v>
      </c>
      <c r="AB278" s="152">
        <f t="shared" si="30"/>
        <v>6.3909000000000001E-5</v>
      </c>
      <c r="AC278" s="122" t="s">
        <v>1837</v>
      </c>
    </row>
    <row r="279" spans="1:29" ht="12.75" hidden="1" customHeight="1">
      <c r="A279" s="125" t="str">
        <f t="shared" si="27"/>
        <v>LIC103OTHER FEES - DIRECT GROWTH</v>
      </c>
      <c r="B279" s="125">
        <f>+IFERROR(VLOOKUP(L279,'DB Mapping'!A:D,4,0),0)</f>
        <v>0</v>
      </c>
      <c r="C279" s="125">
        <f>+IFERROR(VLOOKUP(L279,'DB Mapping'!A:C,3,0),0)</f>
        <v>6.3</v>
      </c>
      <c r="D279" s="125" t="str">
        <f t="shared" si="28"/>
        <v>LIC1030</v>
      </c>
      <c r="E279" s="125" t="str">
        <f t="shared" si="29"/>
        <v>LIC1036.3</v>
      </c>
      <c r="F279" s="211" t="s">
        <v>21</v>
      </c>
      <c r="G279" s="127" t="s">
        <v>453</v>
      </c>
      <c r="L279" s="212" t="s">
        <v>1765</v>
      </c>
      <c r="N279" s="212" t="s">
        <v>1679</v>
      </c>
      <c r="Z279" s="213">
        <v>39612.879999999997</v>
      </c>
      <c r="AA279" s="213">
        <v>0</v>
      </c>
      <c r="AB279" s="152">
        <f t="shared" si="30"/>
        <v>3.9612879999999994E-3</v>
      </c>
      <c r="AC279" s="122" t="s">
        <v>1837</v>
      </c>
    </row>
    <row r="280" spans="1:29" ht="12.75" hidden="1" customHeight="1">
      <c r="A280" s="125" t="str">
        <f t="shared" si="27"/>
        <v>LIC103OTHER FEES (SELLING &amp; DISTRIBUTION)</v>
      </c>
      <c r="B280" s="125">
        <f>+IFERROR(VLOOKUP(L280,'DB Mapping'!A:D,4,0),0)</f>
        <v>0</v>
      </c>
      <c r="C280" s="125">
        <f>+IFERROR(VLOOKUP(L280,'DB Mapping'!A:C,3,0),0)</f>
        <v>6.3</v>
      </c>
      <c r="D280" s="125" t="str">
        <f t="shared" si="28"/>
        <v>LIC1030</v>
      </c>
      <c r="E280" s="125" t="str">
        <f t="shared" si="29"/>
        <v>LIC1036.3</v>
      </c>
      <c r="F280" s="211" t="s">
        <v>21</v>
      </c>
      <c r="G280" s="127" t="s">
        <v>453</v>
      </c>
      <c r="L280" s="212" t="s">
        <v>1766</v>
      </c>
      <c r="N280" s="212" t="s">
        <v>1680</v>
      </c>
      <c r="Z280" s="213">
        <v>0</v>
      </c>
      <c r="AA280" s="213">
        <v>0</v>
      </c>
      <c r="AB280" s="152">
        <f t="shared" si="30"/>
        <v>0</v>
      </c>
      <c r="AC280" s="122" t="s">
        <v>1837</v>
      </c>
    </row>
    <row r="281" spans="1:29" ht="12.75" hidden="1" customHeight="1">
      <c r="A281" s="125" t="str">
        <f t="shared" si="27"/>
        <v>LIC103CGST EXPENSE</v>
      </c>
      <c r="B281" s="125">
        <f>+IFERROR(VLOOKUP(L281,'DB Mapping'!A:D,4,0),0)</f>
        <v>6.1</v>
      </c>
      <c r="C281" s="125">
        <f>+IFERROR(VLOOKUP(L281,'DB Mapping'!A:C,3,0),0)</f>
        <v>6.3</v>
      </c>
      <c r="D281" s="125" t="str">
        <f t="shared" si="28"/>
        <v>LIC1036.1</v>
      </c>
      <c r="E281" s="125" t="str">
        <f t="shared" si="29"/>
        <v>LIC1036.3</v>
      </c>
      <c r="F281" s="211" t="s">
        <v>21</v>
      </c>
      <c r="G281" s="127" t="s">
        <v>453</v>
      </c>
      <c r="L281" s="212" t="s">
        <v>1767</v>
      </c>
      <c r="N281" s="212" t="s">
        <v>1682</v>
      </c>
      <c r="Z281" s="213">
        <v>10600.99</v>
      </c>
      <c r="AA281" s="213">
        <v>0</v>
      </c>
      <c r="AB281" s="152">
        <f t="shared" si="30"/>
        <v>1.0600989999999999E-3</v>
      </c>
      <c r="AC281" s="122" t="s">
        <v>1837</v>
      </c>
    </row>
    <row r="282" spans="1:29" ht="12.75" hidden="1" customHeight="1">
      <c r="A282" s="125" t="str">
        <f t="shared" si="27"/>
        <v>LIC103SGST EXPENSE</v>
      </c>
      <c r="B282" s="125">
        <f>+IFERROR(VLOOKUP(L282,'DB Mapping'!A:D,4,0),0)</f>
        <v>6.1</v>
      </c>
      <c r="C282" s="125">
        <f>+IFERROR(VLOOKUP(L282,'DB Mapping'!A:C,3,0),0)</f>
        <v>6.3</v>
      </c>
      <c r="D282" s="125" t="str">
        <f t="shared" si="28"/>
        <v>LIC1036.1</v>
      </c>
      <c r="E282" s="125" t="str">
        <f t="shared" si="29"/>
        <v>LIC1036.3</v>
      </c>
      <c r="F282" s="211" t="s">
        <v>21</v>
      </c>
      <c r="G282" s="127" t="s">
        <v>453</v>
      </c>
      <c r="L282" s="212" t="s">
        <v>1768</v>
      </c>
      <c r="N282" s="212" t="s">
        <v>1683</v>
      </c>
      <c r="Z282" s="213">
        <v>10600.99</v>
      </c>
      <c r="AA282" s="213">
        <v>0</v>
      </c>
      <c r="AB282" s="152">
        <f t="shared" si="30"/>
        <v>1.0600989999999999E-3</v>
      </c>
      <c r="AC282" s="122" t="s">
        <v>1837</v>
      </c>
    </row>
    <row r="283" spans="1:29" ht="12.75" hidden="1" customHeight="1">
      <c r="A283" s="125" t="str">
        <f t="shared" si="27"/>
        <v>LIC103EXPENSE ALLOCATION ACCOUNT</v>
      </c>
      <c r="B283" s="125">
        <f>+IFERROR(VLOOKUP(L283,'DB Mapping'!A:D,4,0),0)</f>
        <v>0</v>
      </c>
      <c r="C283" s="125">
        <f>+IFERROR(VLOOKUP(L283,'DB Mapping'!A:C,3,0),0)</f>
        <v>6.3</v>
      </c>
      <c r="D283" s="125" t="str">
        <f t="shared" si="28"/>
        <v>LIC1030</v>
      </c>
      <c r="E283" s="125" t="str">
        <f t="shared" si="29"/>
        <v>LIC1036.3</v>
      </c>
      <c r="F283" s="211" t="s">
        <v>21</v>
      </c>
      <c r="G283" s="127" t="s">
        <v>453</v>
      </c>
      <c r="L283" s="212" t="s">
        <v>1769</v>
      </c>
      <c r="N283" s="212" t="s">
        <v>1684</v>
      </c>
      <c r="Z283" s="213">
        <v>0</v>
      </c>
      <c r="AA283" s="213">
        <v>32662.26</v>
      </c>
      <c r="AB283" s="152">
        <f t="shared" si="30"/>
        <v>-3.2662259999999997E-3</v>
      </c>
      <c r="AC283" s="122" t="s">
        <v>1837</v>
      </c>
    </row>
    <row r="284" spans="1:29" ht="12.75" hidden="1" customHeight="1">
      <c r="A284" s="125" t="str">
        <f t="shared" si="27"/>
        <v>LIC103R&amp;T - OTHER CHARGES</v>
      </c>
      <c r="B284" s="125">
        <f>+IFERROR(VLOOKUP(L284,'DB Mapping'!A:D,4,0),0)</f>
        <v>0</v>
      </c>
      <c r="C284" s="125">
        <f>+IFERROR(VLOOKUP(L284,'DB Mapping'!A:C,3,0),0)</f>
        <v>6.3</v>
      </c>
      <c r="D284" s="125" t="str">
        <f t="shared" si="28"/>
        <v>LIC1030</v>
      </c>
      <c r="E284" s="125" t="str">
        <f t="shared" si="29"/>
        <v>LIC1036.3</v>
      </c>
      <c r="F284" s="211" t="s">
        <v>21</v>
      </c>
      <c r="G284" s="127" t="s">
        <v>453</v>
      </c>
      <c r="L284" s="212" t="s">
        <v>1770</v>
      </c>
      <c r="N284" s="212" t="s">
        <v>1685</v>
      </c>
      <c r="Z284" s="213">
        <v>849.4</v>
      </c>
      <c r="AA284" s="213">
        <v>0</v>
      </c>
      <c r="AB284" s="152">
        <f t="shared" si="30"/>
        <v>8.4939999999999997E-5</v>
      </c>
      <c r="AC284" s="122" t="s">
        <v>1837</v>
      </c>
    </row>
    <row r="285" spans="1:29" ht="12.75" hidden="1" customHeight="1">
      <c r="A285" s="125" t="str">
        <f t="shared" si="27"/>
        <v>LIC103AUDIT FEES</v>
      </c>
      <c r="B285" s="125">
        <f>+IFERROR(VLOOKUP(L285,'DB Mapping'!A:D,4,0),0)</f>
        <v>0</v>
      </c>
      <c r="C285" s="125">
        <f>+IFERROR(VLOOKUP(L285,'DB Mapping'!A:C,3,0),0)</f>
        <v>6.3</v>
      </c>
      <c r="D285" s="125" t="str">
        <f t="shared" si="28"/>
        <v>LIC1030</v>
      </c>
      <c r="E285" s="125" t="str">
        <f t="shared" si="29"/>
        <v>LIC1036.3</v>
      </c>
      <c r="F285" s="211" t="s">
        <v>21</v>
      </c>
      <c r="G285" s="127" t="s">
        <v>453</v>
      </c>
      <c r="L285" s="212" t="s">
        <v>1771</v>
      </c>
      <c r="N285" s="212" t="s">
        <v>1686</v>
      </c>
      <c r="Z285" s="213">
        <v>410.17</v>
      </c>
      <c r="AA285" s="213">
        <v>0</v>
      </c>
      <c r="AB285" s="152">
        <f t="shared" si="30"/>
        <v>4.1017000000000004E-5</v>
      </c>
      <c r="AC285" s="122" t="s">
        <v>1837</v>
      </c>
    </row>
    <row r="286" spans="1:29" ht="12.75" hidden="1" customHeight="1">
      <c r="A286" s="125" t="str">
        <f t="shared" ref="A286:A295" si="31">+F286&amp;N286</f>
        <v>LIC103CUSTODIAN FEE</v>
      </c>
      <c r="B286" s="125">
        <f>+IFERROR(VLOOKUP(L286,'DB Mapping'!A:D,4,0),0)</f>
        <v>0</v>
      </c>
      <c r="C286" s="125">
        <f>+IFERROR(VLOOKUP(L286,'DB Mapping'!A:C,3,0),0)</f>
        <v>6.3</v>
      </c>
      <c r="D286" s="125" t="str">
        <f t="shared" ref="D286:D295" si="32">+F286&amp;B286</f>
        <v>LIC1030</v>
      </c>
      <c r="E286" s="125" t="str">
        <f t="shared" ref="E286:E295" si="33">+F286&amp;C286</f>
        <v>LIC1036.3</v>
      </c>
      <c r="F286" s="211" t="s">
        <v>21</v>
      </c>
      <c r="G286" s="127" t="s">
        <v>453</v>
      </c>
      <c r="L286" s="212" t="s">
        <v>1772</v>
      </c>
      <c r="N286" s="212" t="s">
        <v>1687</v>
      </c>
      <c r="Z286" s="213">
        <v>122.02</v>
      </c>
      <c r="AA286" s="213">
        <v>0</v>
      </c>
      <c r="AB286" s="152">
        <f t="shared" si="30"/>
        <v>1.2201999999999999E-5</v>
      </c>
      <c r="AC286" s="122" t="s">
        <v>1837</v>
      </c>
    </row>
    <row r="287" spans="1:29" ht="12.75" hidden="1" customHeight="1">
      <c r="A287" s="125" t="str">
        <f t="shared" si="31"/>
        <v>LIC103TRUSTEE FEES</v>
      </c>
      <c r="B287" s="125">
        <f>+IFERROR(VLOOKUP(L287,'DB Mapping'!A:D,4,0),0)</f>
        <v>6.2</v>
      </c>
      <c r="C287" s="125">
        <f>+IFERROR(VLOOKUP(L287,'DB Mapping'!A:C,3,0),0)</f>
        <v>6.3</v>
      </c>
      <c r="D287" s="125" t="str">
        <f t="shared" si="32"/>
        <v>LIC1036.2</v>
      </c>
      <c r="E287" s="125" t="str">
        <f t="shared" si="33"/>
        <v>LIC1036.3</v>
      </c>
      <c r="F287" s="211" t="s">
        <v>21</v>
      </c>
      <c r="G287" s="127" t="s">
        <v>453</v>
      </c>
      <c r="L287" s="212" t="s">
        <v>1773</v>
      </c>
      <c r="N287" s="212" t="s">
        <v>1688</v>
      </c>
      <c r="Z287" s="213">
        <v>552.41</v>
      </c>
      <c r="AA287" s="213">
        <v>0</v>
      </c>
      <c r="AB287" s="152">
        <f t="shared" si="30"/>
        <v>5.5240999999999995E-5</v>
      </c>
      <c r="AC287" s="122" t="s">
        <v>1837</v>
      </c>
    </row>
    <row r="288" spans="1:29" ht="12.75" hidden="1" customHeight="1">
      <c r="A288" s="125" t="str">
        <f t="shared" si="31"/>
        <v>LIC103OTHER OPERATING EXPENSES</v>
      </c>
      <c r="B288" s="125">
        <f>+IFERROR(VLOOKUP(L288,'DB Mapping'!A:D,4,0),0)</f>
        <v>0</v>
      </c>
      <c r="C288" s="125">
        <f>+IFERROR(VLOOKUP(L288,'DB Mapping'!A:C,3,0),0)</f>
        <v>6.3</v>
      </c>
      <c r="D288" s="125" t="str">
        <f t="shared" si="32"/>
        <v>LIC1030</v>
      </c>
      <c r="E288" s="125" t="str">
        <f t="shared" si="33"/>
        <v>LIC1036.3</v>
      </c>
      <c r="F288" s="211" t="s">
        <v>21</v>
      </c>
      <c r="G288" s="127" t="s">
        <v>453</v>
      </c>
      <c r="L288" s="212" t="s">
        <v>1774</v>
      </c>
      <c r="N288" s="212" t="s">
        <v>1689</v>
      </c>
      <c r="Z288" s="213">
        <v>202.81</v>
      </c>
      <c r="AA288" s="213">
        <v>0</v>
      </c>
      <c r="AB288" s="152">
        <f t="shared" si="30"/>
        <v>2.0281000000000001E-5</v>
      </c>
      <c r="AC288" s="122" t="s">
        <v>1837</v>
      </c>
    </row>
    <row r="289" spans="1:29" ht="12.75" hidden="1" customHeight="1">
      <c r="A289" s="125" t="str">
        <f t="shared" si="31"/>
        <v>LIC103SEBI ANNUAL FEES EXPENSE</v>
      </c>
      <c r="B289" s="125">
        <f>+IFERROR(VLOOKUP(L289,'DB Mapping'!A:D,4,0),0)</f>
        <v>0</v>
      </c>
      <c r="C289" s="125">
        <f>+IFERROR(VLOOKUP(L289,'DB Mapping'!A:C,3,0),0)</f>
        <v>6.3</v>
      </c>
      <c r="D289" s="125" t="str">
        <f t="shared" si="32"/>
        <v>LIC1030</v>
      </c>
      <c r="E289" s="125" t="str">
        <f t="shared" si="33"/>
        <v>LIC1036.3</v>
      </c>
      <c r="F289" s="211" t="s">
        <v>21</v>
      </c>
      <c r="G289" s="127" t="s">
        <v>453</v>
      </c>
      <c r="L289" s="212" t="s">
        <v>1775</v>
      </c>
      <c r="N289" s="212" t="s">
        <v>1690</v>
      </c>
      <c r="Z289" s="213">
        <v>1963.99</v>
      </c>
      <c r="AA289" s="213">
        <v>0</v>
      </c>
      <c r="AB289" s="152">
        <f t="shared" si="30"/>
        <v>1.9639899999999999E-4</v>
      </c>
      <c r="AC289" s="122" t="s">
        <v>1837</v>
      </c>
    </row>
    <row r="290" spans="1:29" ht="12.75" hidden="1" customHeight="1">
      <c r="A290" s="125" t="str">
        <f t="shared" si="31"/>
        <v>LIC103BANK CHARGES</v>
      </c>
      <c r="B290" s="125">
        <f>+IFERROR(VLOOKUP(L290,'DB Mapping'!A:D,4,0),0)</f>
        <v>0</v>
      </c>
      <c r="C290" s="125">
        <f>+IFERROR(VLOOKUP(L290,'DB Mapping'!A:C,3,0),0)</f>
        <v>6.3</v>
      </c>
      <c r="D290" s="125" t="str">
        <f t="shared" si="32"/>
        <v>LIC1030</v>
      </c>
      <c r="E290" s="125" t="str">
        <f t="shared" si="33"/>
        <v>LIC1036.3</v>
      </c>
      <c r="F290" s="211" t="s">
        <v>21</v>
      </c>
      <c r="G290" s="127" t="s">
        <v>453</v>
      </c>
      <c r="L290" s="212" t="s">
        <v>1776</v>
      </c>
      <c r="N290" s="212" t="s">
        <v>1789</v>
      </c>
      <c r="Z290" s="213">
        <v>80.7</v>
      </c>
      <c r="AA290" s="213">
        <v>0</v>
      </c>
      <c r="AB290" s="152">
        <f t="shared" si="30"/>
        <v>8.0700000000000007E-6</v>
      </c>
      <c r="AC290" s="122" t="s">
        <v>1837</v>
      </c>
    </row>
    <row r="291" spans="1:29" ht="12.75" hidden="1" customHeight="1">
      <c r="A291" s="125" t="str">
        <f t="shared" si="31"/>
        <v>LIC103CCIL CHARGES</v>
      </c>
      <c r="B291" s="125">
        <f>+IFERROR(VLOOKUP(L291,'DB Mapping'!A:D,4,0),0)</f>
        <v>0</v>
      </c>
      <c r="C291" s="125">
        <f>+IFERROR(VLOOKUP(L291,'DB Mapping'!A:C,3,0),0)</f>
        <v>6.3</v>
      </c>
      <c r="D291" s="125" t="str">
        <f t="shared" si="32"/>
        <v>LIC1030</v>
      </c>
      <c r="E291" s="125" t="str">
        <f t="shared" si="33"/>
        <v>LIC1036.3</v>
      </c>
      <c r="F291" s="211" t="s">
        <v>21</v>
      </c>
      <c r="G291" s="127" t="s">
        <v>453</v>
      </c>
      <c r="L291" s="212" t="s">
        <v>1777</v>
      </c>
      <c r="N291" s="212" t="s">
        <v>1691</v>
      </c>
      <c r="Z291" s="213">
        <v>17302.3</v>
      </c>
      <c r="AA291" s="213">
        <v>0</v>
      </c>
      <c r="AB291" s="152">
        <f t="shared" si="30"/>
        <v>1.7302299999999999E-3</v>
      </c>
      <c r="AC291" s="122" t="s">
        <v>1837</v>
      </c>
    </row>
    <row r="292" spans="1:29" ht="12.75" hidden="1" customHeight="1">
      <c r="A292" s="125" t="str">
        <f t="shared" si="31"/>
        <v>LIC103INTERNAL AUDIT FEES</v>
      </c>
      <c r="B292" s="125">
        <f>+IFERROR(VLOOKUP(L292,'DB Mapping'!A:D,4,0),0)</f>
        <v>0</v>
      </c>
      <c r="C292" s="125">
        <f>+IFERROR(VLOOKUP(L292,'DB Mapping'!A:C,3,0),0)</f>
        <v>6.3</v>
      </c>
      <c r="D292" s="125" t="str">
        <f t="shared" si="32"/>
        <v>LIC1030</v>
      </c>
      <c r="E292" s="125" t="str">
        <f t="shared" si="33"/>
        <v>LIC1036.3</v>
      </c>
      <c r="F292" s="211" t="s">
        <v>21</v>
      </c>
      <c r="G292" s="127" t="s">
        <v>453</v>
      </c>
      <c r="L292" s="212" t="s">
        <v>1778</v>
      </c>
      <c r="N292" s="212" t="s">
        <v>1692</v>
      </c>
      <c r="Z292" s="213">
        <v>353.86</v>
      </c>
      <c r="AA292" s="213">
        <v>0</v>
      </c>
      <c r="AB292" s="152">
        <f t="shared" si="30"/>
        <v>3.5386000000000003E-5</v>
      </c>
      <c r="AC292" s="122" t="s">
        <v>1837</v>
      </c>
    </row>
    <row r="293" spans="1:29" ht="12.75" hidden="1" customHeight="1">
      <c r="A293" s="125" t="str">
        <f t="shared" si="31"/>
        <v>LIC103CLIENT SERVICING EXPENES</v>
      </c>
      <c r="B293" s="125">
        <f>+IFERROR(VLOOKUP(L293,'DB Mapping'!A:D,4,0),0)</f>
        <v>0</v>
      </c>
      <c r="C293" s="125">
        <f>+IFERROR(VLOOKUP(L293,'DB Mapping'!A:C,3,0),0)</f>
        <v>6.3</v>
      </c>
      <c r="D293" s="125" t="str">
        <f t="shared" si="32"/>
        <v>LIC1030</v>
      </c>
      <c r="E293" s="125" t="str">
        <f t="shared" si="33"/>
        <v>LIC1036.3</v>
      </c>
      <c r="F293" s="211" t="s">
        <v>21</v>
      </c>
      <c r="G293" s="127" t="s">
        <v>453</v>
      </c>
      <c r="L293" s="212" t="s">
        <v>1779</v>
      </c>
      <c r="N293" s="212" t="s">
        <v>1693</v>
      </c>
      <c r="Z293" s="213">
        <v>42215.01</v>
      </c>
      <c r="AA293" s="213">
        <v>0</v>
      </c>
      <c r="AB293" s="152">
        <f t="shared" si="30"/>
        <v>4.2215009999999999E-3</v>
      </c>
      <c r="AC293" s="122" t="s">
        <v>1837</v>
      </c>
    </row>
    <row r="294" spans="1:29" ht="12.75" hidden="1" customHeight="1">
      <c r="A294" s="125" t="str">
        <f t="shared" si="31"/>
        <v>LIC103INVESTOR EDUCATION FUND EXPENSE</v>
      </c>
      <c r="B294" s="125">
        <f>+IFERROR(VLOOKUP(L294,'DB Mapping'!A:D,4,0),0)</f>
        <v>0</v>
      </c>
      <c r="C294" s="125">
        <f>+IFERROR(VLOOKUP(L294,'DB Mapping'!A:C,3,0),0)</f>
        <v>6.3</v>
      </c>
      <c r="D294" s="125" t="str">
        <f t="shared" si="32"/>
        <v>LIC1030</v>
      </c>
      <c r="E294" s="125" t="str">
        <f t="shared" si="33"/>
        <v>LIC1036.3</v>
      </c>
      <c r="F294" s="211" t="s">
        <v>21</v>
      </c>
      <c r="G294" s="127" t="s">
        <v>453</v>
      </c>
      <c r="L294" s="212" t="s">
        <v>1780</v>
      </c>
      <c r="N294" s="212" t="s">
        <v>1694</v>
      </c>
      <c r="Z294" s="213">
        <v>5412.3</v>
      </c>
      <c r="AA294" s="213">
        <v>0</v>
      </c>
      <c r="AB294" s="152">
        <f t="shared" si="30"/>
        <v>5.4122999999999997E-4</v>
      </c>
      <c r="AC294" s="122" t="s">
        <v>1837</v>
      </c>
    </row>
    <row r="295" spans="1:29" ht="12.75" hidden="1" customHeight="1">
      <c r="A295" s="125" t="str">
        <f t="shared" si="31"/>
        <v>LIC103INVESTOR EDUCATION FUND EXPENSE - AMFI</v>
      </c>
      <c r="B295" s="125">
        <f>+IFERROR(VLOOKUP(L295,'DB Mapping'!A:D,4,0),0)</f>
        <v>0</v>
      </c>
      <c r="C295" s="125">
        <f>+IFERROR(VLOOKUP(L295,'DB Mapping'!A:C,3,0),0)</f>
        <v>6.3</v>
      </c>
      <c r="D295" s="125" t="str">
        <f t="shared" si="32"/>
        <v>LIC1030</v>
      </c>
      <c r="E295" s="125" t="str">
        <f t="shared" si="33"/>
        <v>LIC1036.3</v>
      </c>
      <c r="F295" s="211" t="s">
        <v>21</v>
      </c>
      <c r="G295" s="127" t="s">
        <v>453</v>
      </c>
      <c r="L295" s="212" t="s">
        <v>1781</v>
      </c>
      <c r="N295" s="212" t="s">
        <v>1695</v>
      </c>
      <c r="Z295" s="213">
        <v>5412.3</v>
      </c>
      <c r="AA295" s="213">
        <v>0</v>
      </c>
      <c r="AB295" s="152">
        <f t="shared" si="30"/>
        <v>5.4122999999999997E-4</v>
      </c>
      <c r="AC295" s="122" t="s">
        <v>1837</v>
      </c>
    </row>
    <row r="296" spans="1:29" ht="12.75" hidden="1" customHeight="1">
      <c r="F296" s="211"/>
      <c r="AC296" s="122" t="s">
        <v>1837</v>
      </c>
    </row>
    <row r="297" spans="1:29" ht="12.75" hidden="1" customHeight="1">
      <c r="F297" s="211"/>
      <c r="AC297" s="122" t="s">
        <v>1837</v>
      </c>
    </row>
    <row r="298" spans="1:29" ht="12.75" hidden="1" customHeight="1">
      <c r="F298" s="211"/>
      <c r="AC298" s="122" t="s">
        <v>1837</v>
      </c>
    </row>
    <row r="299" spans="1:29" ht="12.75" hidden="1" customHeight="1">
      <c r="A299" s="125" t="str">
        <f t="shared" ref="A299:A362" si="34">+F299&amp;N299</f>
        <v>LIC163INVESTMENTS - CBLO</v>
      </c>
      <c r="B299" s="125">
        <f>+IFERROR(VLOOKUP(L299,'DB Mapping'!A:D,4,0),0)</f>
        <v>0</v>
      </c>
      <c r="C299" s="125">
        <f>+IFERROR(VLOOKUP(L299,'DB Mapping'!A:C,3,0),0)</f>
        <v>0</v>
      </c>
      <c r="D299" s="125" t="str">
        <f t="shared" ref="D299:D362" si="35">+F299&amp;B299</f>
        <v>LIC1630</v>
      </c>
      <c r="E299" s="125" t="str">
        <f t="shared" ref="E299:E362" si="36">+F299&amp;C299</f>
        <v>LIC1630</v>
      </c>
      <c r="F299" s="150" t="s">
        <v>35</v>
      </c>
      <c r="G299" s="127" t="s">
        <v>453</v>
      </c>
      <c r="L299" s="212" t="s">
        <v>1711</v>
      </c>
      <c r="N299" s="212" t="s">
        <v>1606</v>
      </c>
      <c r="Z299" s="213">
        <v>902581987.65999997</v>
      </c>
      <c r="AA299" s="213">
        <v>0</v>
      </c>
      <c r="AB299" s="152">
        <f>+(Z299-AA299)/10000000</f>
        <v>90.258198765999992</v>
      </c>
      <c r="AC299" s="122" t="s">
        <v>1837</v>
      </c>
    </row>
    <row r="300" spans="1:29" ht="12.75" hidden="1" customHeight="1">
      <c r="A300" s="125" t="str">
        <f t="shared" si="34"/>
        <v>LIC163INVESTMENTS - DEBENTURES</v>
      </c>
      <c r="B300" s="125">
        <f>+IFERROR(VLOOKUP(L300,'DB Mapping'!A:D,4,0),0)</f>
        <v>0</v>
      </c>
      <c r="C300" s="125">
        <f>+IFERROR(VLOOKUP(L300,'DB Mapping'!A:C,3,0),0)</f>
        <v>0</v>
      </c>
      <c r="D300" s="125" t="str">
        <f t="shared" si="35"/>
        <v>LIC1630</v>
      </c>
      <c r="E300" s="125" t="str">
        <f t="shared" si="36"/>
        <v>LIC1630</v>
      </c>
      <c r="F300" s="150" t="s">
        <v>35</v>
      </c>
      <c r="G300" s="127" t="s">
        <v>453</v>
      </c>
      <c r="L300" s="212" t="s">
        <v>1810</v>
      </c>
      <c r="N300" s="212" t="s">
        <v>1608</v>
      </c>
      <c r="Z300" s="213">
        <v>0</v>
      </c>
      <c r="AA300" s="213">
        <v>0</v>
      </c>
      <c r="AB300" s="152">
        <f t="shared" ref="AB300:AB363" si="37">+(Z300-AA300)/10000000</f>
        <v>0</v>
      </c>
      <c r="AC300" s="122" t="s">
        <v>1837</v>
      </c>
    </row>
    <row r="301" spans="1:29" ht="12.75" hidden="1" customHeight="1">
      <c r="A301" s="125" t="str">
        <f t="shared" si="34"/>
        <v>LIC163INVESTMENTS - ZERO COUPON BOND</v>
      </c>
      <c r="B301" s="125">
        <f>+IFERROR(VLOOKUP(L301,'DB Mapping'!A:D,4,0),0)</f>
        <v>0</v>
      </c>
      <c r="C301" s="125">
        <f>+IFERROR(VLOOKUP(L301,'DB Mapping'!A:C,3,0),0)</f>
        <v>0</v>
      </c>
      <c r="D301" s="125" t="str">
        <f t="shared" si="35"/>
        <v>LIC1630</v>
      </c>
      <c r="E301" s="125" t="str">
        <f t="shared" si="36"/>
        <v>LIC1630</v>
      </c>
      <c r="F301" s="150" t="s">
        <v>35</v>
      </c>
      <c r="G301" s="127" t="s">
        <v>453</v>
      </c>
      <c r="L301" s="212" t="s">
        <v>1811</v>
      </c>
      <c r="N301" s="212" t="s">
        <v>1696</v>
      </c>
      <c r="Z301" s="213">
        <v>0</v>
      </c>
      <c r="AA301" s="213">
        <v>0</v>
      </c>
      <c r="AB301" s="152">
        <f t="shared" si="37"/>
        <v>0</v>
      </c>
      <c r="AC301" s="122" t="s">
        <v>1837</v>
      </c>
    </row>
    <row r="302" spans="1:29" ht="12.75" hidden="1" customHeight="1">
      <c r="A302" s="125" t="str">
        <f t="shared" si="34"/>
        <v>LIC163UNREALISED APP/DEP - DEBENTURES</v>
      </c>
      <c r="B302" s="125">
        <f>+IFERROR(VLOOKUP(L302,'DB Mapping'!A:D,4,0),0)</f>
        <v>0</v>
      </c>
      <c r="C302" s="125">
        <f>+IFERROR(VLOOKUP(L302,'DB Mapping'!A:C,3,0),0)</f>
        <v>0</v>
      </c>
      <c r="D302" s="125" t="str">
        <f t="shared" si="35"/>
        <v>LIC1630</v>
      </c>
      <c r="E302" s="125" t="str">
        <f t="shared" si="36"/>
        <v>LIC1630</v>
      </c>
      <c r="F302" s="150" t="s">
        <v>35</v>
      </c>
      <c r="G302" s="127" t="s">
        <v>453</v>
      </c>
      <c r="L302" s="212" t="s">
        <v>1812</v>
      </c>
      <c r="N302" s="212" t="s">
        <v>1610</v>
      </c>
      <c r="Z302" s="213">
        <v>0</v>
      </c>
      <c r="AA302" s="213">
        <v>0</v>
      </c>
      <c r="AB302" s="152">
        <f t="shared" si="37"/>
        <v>0</v>
      </c>
      <c r="AC302" s="122" t="s">
        <v>1837</v>
      </c>
    </row>
    <row r="303" spans="1:29" ht="12.75" hidden="1" customHeight="1">
      <c r="A303" s="125" t="str">
        <f t="shared" si="34"/>
        <v>LIC163UNREALISED APP/DEP - ZERO COUPON BOND</v>
      </c>
      <c r="B303" s="125">
        <f>+IFERROR(VLOOKUP(L303,'DB Mapping'!A:D,4,0),0)</f>
        <v>0</v>
      </c>
      <c r="C303" s="125">
        <f>+IFERROR(VLOOKUP(L303,'DB Mapping'!A:C,3,0),0)</f>
        <v>0</v>
      </c>
      <c r="D303" s="125" t="str">
        <f t="shared" si="35"/>
        <v>LIC1630</v>
      </c>
      <c r="E303" s="125" t="str">
        <f t="shared" si="36"/>
        <v>LIC1630</v>
      </c>
      <c r="F303" s="150" t="s">
        <v>35</v>
      </c>
      <c r="G303" s="127" t="s">
        <v>453</v>
      </c>
      <c r="L303" s="212" t="s">
        <v>1813</v>
      </c>
      <c r="N303" s="212" t="s">
        <v>1697</v>
      </c>
      <c r="Z303" s="213">
        <v>0</v>
      </c>
      <c r="AA303" s="213">
        <v>0</v>
      </c>
      <c r="AB303" s="152">
        <f t="shared" si="37"/>
        <v>0</v>
      </c>
      <c r="AC303" s="122" t="s">
        <v>1837</v>
      </c>
    </row>
    <row r="304" spans="1:29" ht="12.75" hidden="1" customHeight="1">
      <c r="A304" s="125" t="str">
        <f t="shared" si="34"/>
        <v>LIC163INVESTMENTS - REPO TRANSACTIONS</v>
      </c>
      <c r="B304" s="125">
        <f>+IFERROR(VLOOKUP(L304,'DB Mapping'!A:D,4,0),0)</f>
        <v>0</v>
      </c>
      <c r="C304" s="125">
        <f>+IFERROR(VLOOKUP(L304,'DB Mapping'!A:C,3,0),0)</f>
        <v>0</v>
      </c>
      <c r="D304" s="125" t="str">
        <f t="shared" si="35"/>
        <v>LIC1630</v>
      </c>
      <c r="E304" s="125" t="str">
        <f t="shared" si="36"/>
        <v>LIC1630</v>
      </c>
      <c r="F304" s="150" t="s">
        <v>35</v>
      </c>
      <c r="G304" s="127" t="s">
        <v>453</v>
      </c>
      <c r="L304" s="212" t="s">
        <v>1790</v>
      </c>
      <c r="N304" s="212" t="s">
        <v>1611</v>
      </c>
      <c r="Z304" s="213">
        <v>0</v>
      </c>
      <c r="AA304" s="213">
        <v>0</v>
      </c>
      <c r="AB304" s="152">
        <f t="shared" si="37"/>
        <v>0</v>
      </c>
      <c r="AC304" s="122" t="s">
        <v>1837</v>
      </c>
    </row>
    <row r="305" spans="1:29" ht="12.75" hidden="1" customHeight="1">
      <c r="A305" s="125" t="str">
        <f t="shared" si="34"/>
        <v>LIC163HDFC BANK CURRENT ACCOUNT</v>
      </c>
      <c r="B305" s="125">
        <f>+IFERROR(VLOOKUP(L305,'DB Mapping'!A:D,4,0),0)</f>
        <v>0</v>
      </c>
      <c r="C305" s="125">
        <f>+IFERROR(VLOOKUP(L305,'DB Mapping'!A:C,3,0),0)</f>
        <v>0</v>
      </c>
      <c r="D305" s="125" t="str">
        <f t="shared" si="35"/>
        <v>LIC1630</v>
      </c>
      <c r="E305" s="125" t="str">
        <f t="shared" si="36"/>
        <v>LIC1630</v>
      </c>
      <c r="F305" s="150" t="s">
        <v>35</v>
      </c>
      <c r="G305" s="127" t="s">
        <v>453</v>
      </c>
      <c r="L305" s="212" t="s">
        <v>1712</v>
      </c>
      <c r="N305" s="212" t="s">
        <v>1612</v>
      </c>
      <c r="Z305" s="213">
        <v>0.56999999999999995</v>
      </c>
      <c r="AA305" s="213">
        <v>0</v>
      </c>
      <c r="AB305" s="152">
        <f t="shared" si="37"/>
        <v>5.6999999999999994E-8</v>
      </c>
      <c r="AC305" s="122" t="s">
        <v>1837</v>
      </c>
    </row>
    <row r="306" spans="1:29" ht="12.75" hidden="1" customHeight="1">
      <c r="A306" s="125" t="str">
        <f t="shared" si="34"/>
        <v>LIC163HDFC BANK</v>
      </c>
      <c r="B306" s="125">
        <f>+IFERROR(VLOOKUP(L306,'DB Mapping'!A:D,4,0),0)</f>
        <v>0</v>
      </c>
      <c r="C306" s="125">
        <f>+IFERROR(VLOOKUP(L306,'DB Mapping'!A:C,3,0),0)</f>
        <v>0</v>
      </c>
      <c r="D306" s="125" t="str">
        <f t="shared" si="35"/>
        <v>LIC1630</v>
      </c>
      <c r="E306" s="125" t="str">
        <f t="shared" si="36"/>
        <v>LIC1630</v>
      </c>
      <c r="F306" s="150" t="s">
        <v>35</v>
      </c>
      <c r="G306" s="127" t="s">
        <v>453</v>
      </c>
      <c r="L306" s="212" t="s">
        <v>1793</v>
      </c>
      <c r="N306" s="212" t="s">
        <v>1613</v>
      </c>
      <c r="Z306" s="213">
        <v>1.98</v>
      </c>
      <c r="AA306" s="213">
        <v>0</v>
      </c>
      <c r="AB306" s="152">
        <f t="shared" si="37"/>
        <v>1.98E-7</v>
      </c>
      <c r="AC306" s="122" t="s">
        <v>1837</v>
      </c>
    </row>
    <row r="307" spans="1:29" ht="12.75" hidden="1" customHeight="1">
      <c r="A307" s="125" t="str">
        <f t="shared" si="34"/>
        <v>LIC163REDEMPTION RECEIVABLE - CBLO</v>
      </c>
      <c r="B307" s="125">
        <f>+IFERROR(VLOOKUP(L307,'DB Mapping'!A:D,4,0),0)</f>
        <v>0</v>
      </c>
      <c r="C307" s="125">
        <f>+IFERROR(VLOOKUP(L307,'DB Mapping'!A:C,3,0),0)</f>
        <v>0</v>
      </c>
      <c r="D307" s="125" t="str">
        <f t="shared" si="35"/>
        <v>LIC1630</v>
      </c>
      <c r="E307" s="125" t="str">
        <f t="shared" si="36"/>
        <v>LIC1630</v>
      </c>
      <c r="F307" s="150" t="s">
        <v>35</v>
      </c>
      <c r="G307" s="127" t="s">
        <v>453</v>
      </c>
      <c r="L307" s="212" t="s">
        <v>1713</v>
      </c>
      <c r="N307" s="212" t="s">
        <v>1615</v>
      </c>
      <c r="Z307" s="213">
        <v>0</v>
      </c>
      <c r="AA307" s="213">
        <v>0</v>
      </c>
      <c r="AB307" s="152">
        <f t="shared" si="37"/>
        <v>0</v>
      </c>
      <c r="AC307" s="122" t="s">
        <v>1837</v>
      </c>
    </row>
    <row r="308" spans="1:29" ht="12.75" hidden="1" customHeight="1">
      <c r="A308" s="125" t="str">
        <f t="shared" si="34"/>
        <v>LIC163REDEMPTION RECEIVABLE - DEBENTURES</v>
      </c>
      <c r="B308" s="125">
        <f>+IFERROR(VLOOKUP(L308,'DB Mapping'!A:D,4,0),0)</f>
        <v>0</v>
      </c>
      <c r="C308" s="125">
        <f>+IFERROR(VLOOKUP(L308,'DB Mapping'!A:C,3,0),0)</f>
        <v>0</v>
      </c>
      <c r="D308" s="125" t="str">
        <f t="shared" si="35"/>
        <v>LIC1630</v>
      </c>
      <c r="E308" s="125" t="str">
        <f t="shared" si="36"/>
        <v>LIC1630</v>
      </c>
      <c r="F308" s="150" t="s">
        <v>35</v>
      </c>
      <c r="G308" s="127" t="s">
        <v>453</v>
      </c>
      <c r="L308" s="212" t="s">
        <v>1814</v>
      </c>
      <c r="N308" s="212" t="s">
        <v>1616</v>
      </c>
      <c r="Z308" s="213">
        <v>0</v>
      </c>
      <c r="AA308" s="213">
        <v>0</v>
      </c>
      <c r="AB308" s="152">
        <f t="shared" si="37"/>
        <v>0</v>
      </c>
      <c r="AC308" s="122" t="s">
        <v>1837</v>
      </c>
    </row>
    <row r="309" spans="1:29" ht="12.75" hidden="1" customHeight="1">
      <c r="A309" s="125" t="str">
        <f t="shared" si="34"/>
        <v>LIC163REDEMPTION RECEIVABLE - ZERO COUPON BOND</v>
      </c>
      <c r="B309" s="125">
        <f>+IFERROR(VLOOKUP(L309,'DB Mapping'!A:D,4,0),0)</f>
        <v>0</v>
      </c>
      <c r="C309" s="125">
        <f>+IFERROR(VLOOKUP(L309,'DB Mapping'!A:C,3,0),0)</f>
        <v>0</v>
      </c>
      <c r="D309" s="125" t="str">
        <f t="shared" si="35"/>
        <v>LIC1630</v>
      </c>
      <c r="E309" s="125" t="str">
        <f t="shared" si="36"/>
        <v>LIC1630</v>
      </c>
      <c r="F309" s="150" t="s">
        <v>35</v>
      </c>
      <c r="G309" s="127" t="s">
        <v>453</v>
      </c>
      <c r="L309" s="212" t="s">
        <v>1815</v>
      </c>
      <c r="N309" s="212" t="s">
        <v>1698</v>
      </c>
      <c r="Z309" s="213">
        <v>0</v>
      </c>
      <c r="AA309" s="213">
        <v>0</v>
      </c>
      <c r="AB309" s="152">
        <f t="shared" si="37"/>
        <v>0</v>
      </c>
      <c r="AC309" s="122" t="s">
        <v>1837</v>
      </c>
    </row>
    <row r="310" spans="1:29" ht="12.75" hidden="1" customHeight="1">
      <c r="A310" s="125" t="str">
        <f t="shared" si="34"/>
        <v>LIC163INTEREST ACCRUED/NOT DUE - DEBENTURES</v>
      </c>
      <c r="B310" s="125">
        <f>+IFERROR(VLOOKUP(L310,'DB Mapping'!A:D,4,0),0)</f>
        <v>0</v>
      </c>
      <c r="C310" s="125">
        <f>+IFERROR(VLOOKUP(L310,'DB Mapping'!A:C,3,0),0)</f>
        <v>0</v>
      </c>
      <c r="D310" s="125" t="str">
        <f t="shared" si="35"/>
        <v>LIC1630</v>
      </c>
      <c r="E310" s="125" t="str">
        <f t="shared" si="36"/>
        <v>LIC1630</v>
      </c>
      <c r="F310" s="150" t="s">
        <v>35</v>
      </c>
      <c r="G310" s="127" t="s">
        <v>453</v>
      </c>
      <c r="L310" s="212" t="s">
        <v>1816</v>
      </c>
      <c r="N310" s="212" t="s">
        <v>1618</v>
      </c>
      <c r="Z310" s="213">
        <v>0</v>
      </c>
      <c r="AA310" s="213">
        <v>0</v>
      </c>
      <c r="AB310" s="152">
        <f t="shared" si="37"/>
        <v>0</v>
      </c>
      <c r="AC310" s="122" t="s">
        <v>1837</v>
      </c>
    </row>
    <row r="311" spans="1:29" ht="12.75" hidden="1" customHeight="1">
      <c r="A311" s="125" t="str">
        <f t="shared" si="34"/>
        <v>LIC163INTEREST ACCRUED AND DUE - DEBENTURES</v>
      </c>
      <c r="B311" s="125">
        <f>+IFERROR(VLOOKUP(L311,'DB Mapping'!A:D,4,0),0)</f>
        <v>0</v>
      </c>
      <c r="C311" s="125">
        <f>+IFERROR(VLOOKUP(L311,'DB Mapping'!A:C,3,0),0)</f>
        <v>0</v>
      </c>
      <c r="D311" s="125" t="str">
        <f t="shared" si="35"/>
        <v>LIC1630</v>
      </c>
      <c r="E311" s="125" t="str">
        <f t="shared" si="36"/>
        <v>LIC1630</v>
      </c>
      <c r="F311" s="150" t="s">
        <v>35</v>
      </c>
      <c r="G311" s="127" t="s">
        <v>453</v>
      </c>
      <c r="L311" s="212" t="s">
        <v>1817</v>
      </c>
      <c r="N311" s="212" t="s">
        <v>1619</v>
      </c>
      <c r="Z311" s="213">
        <v>0</v>
      </c>
      <c r="AA311" s="213">
        <v>0</v>
      </c>
      <c r="AB311" s="152">
        <f t="shared" si="37"/>
        <v>0</v>
      </c>
      <c r="AC311" s="122" t="s">
        <v>1837</v>
      </c>
    </row>
    <row r="312" spans="1:29" ht="12.75" hidden="1" customHeight="1">
      <c r="A312" s="125" t="str">
        <f t="shared" si="34"/>
        <v>LIC163INTEREST RECEIVABLE - REPO TRANSACTIONS</v>
      </c>
      <c r="B312" s="125">
        <f>+IFERROR(VLOOKUP(L312,'DB Mapping'!A:D,4,0),0)</f>
        <v>0</v>
      </c>
      <c r="C312" s="125">
        <f>+IFERROR(VLOOKUP(L312,'DB Mapping'!A:C,3,0),0)</f>
        <v>0</v>
      </c>
      <c r="D312" s="125" t="str">
        <f t="shared" si="35"/>
        <v>LIC1630</v>
      </c>
      <c r="E312" s="125" t="str">
        <f t="shared" si="36"/>
        <v>LIC1630</v>
      </c>
      <c r="F312" s="150" t="s">
        <v>35</v>
      </c>
      <c r="G312" s="127" t="s">
        <v>453</v>
      </c>
      <c r="L312" s="212" t="s">
        <v>1794</v>
      </c>
      <c r="N312" s="212" t="s">
        <v>1620</v>
      </c>
      <c r="Z312" s="213">
        <v>0</v>
      </c>
      <c r="AA312" s="213">
        <v>0</v>
      </c>
      <c r="AB312" s="152">
        <f t="shared" si="37"/>
        <v>0</v>
      </c>
      <c r="AC312" s="122" t="s">
        <v>1837</v>
      </c>
    </row>
    <row r="313" spans="1:29" ht="12.75" hidden="1" customHeight="1">
      <c r="A313" s="125" t="str">
        <f t="shared" si="34"/>
        <v>LIC163AMORTISATION RECEIVABLE - CBLO</v>
      </c>
      <c r="B313" s="125">
        <f>+IFERROR(VLOOKUP(L313,'DB Mapping'!A:D,4,0),0)</f>
        <v>0</v>
      </c>
      <c r="C313" s="125">
        <f>+IFERROR(VLOOKUP(L313,'DB Mapping'!A:C,3,0),0)</f>
        <v>0</v>
      </c>
      <c r="D313" s="125" t="str">
        <f t="shared" si="35"/>
        <v>LIC1630</v>
      </c>
      <c r="E313" s="125" t="str">
        <f t="shared" si="36"/>
        <v>LIC1630</v>
      </c>
      <c r="F313" s="150" t="s">
        <v>35</v>
      </c>
      <c r="G313" s="127" t="s">
        <v>453</v>
      </c>
      <c r="L313" s="212" t="s">
        <v>1715</v>
      </c>
      <c r="N313" s="212" t="s">
        <v>1621</v>
      </c>
      <c r="Z313" s="213">
        <v>145315.72</v>
      </c>
      <c r="AA313" s="213">
        <v>0</v>
      </c>
      <c r="AB313" s="152">
        <f t="shared" si="37"/>
        <v>1.4531572E-2</v>
      </c>
      <c r="AC313" s="122" t="s">
        <v>1837</v>
      </c>
    </row>
    <row r="314" spans="1:29" ht="12.75" hidden="1" customHeight="1">
      <c r="A314" s="125" t="str">
        <f t="shared" si="34"/>
        <v>LIC163AMORTISATION RECEIVABLE - DEBENTURES</v>
      </c>
      <c r="B314" s="125">
        <f>+IFERROR(VLOOKUP(L314,'DB Mapping'!A:D,4,0),0)</f>
        <v>0</v>
      </c>
      <c r="C314" s="125">
        <f>+IFERROR(VLOOKUP(L314,'DB Mapping'!A:C,3,0),0)</f>
        <v>0</v>
      </c>
      <c r="D314" s="125" t="str">
        <f t="shared" si="35"/>
        <v>LIC1630</v>
      </c>
      <c r="E314" s="125" t="str">
        <f t="shared" si="36"/>
        <v>LIC1630</v>
      </c>
      <c r="F314" s="150" t="s">
        <v>35</v>
      </c>
      <c r="G314" s="127" t="s">
        <v>453</v>
      </c>
      <c r="L314" s="212" t="s">
        <v>1818</v>
      </c>
      <c r="N314" s="212" t="s">
        <v>1622</v>
      </c>
      <c r="Z314" s="213">
        <v>0</v>
      </c>
      <c r="AA314" s="213">
        <v>0</v>
      </c>
      <c r="AB314" s="152">
        <f t="shared" si="37"/>
        <v>0</v>
      </c>
      <c r="AC314" s="122" t="s">
        <v>1837</v>
      </c>
    </row>
    <row r="315" spans="1:29" ht="12.75" hidden="1" customHeight="1">
      <c r="A315" s="125" t="str">
        <f t="shared" si="34"/>
        <v>LIC163AMORTISATION RECEIVABLE - ZERO COUPON BOND</v>
      </c>
      <c r="B315" s="125">
        <f>+IFERROR(VLOOKUP(L315,'DB Mapping'!A:D,4,0),0)</f>
        <v>0</v>
      </c>
      <c r="C315" s="125">
        <f>+IFERROR(VLOOKUP(L315,'DB Mapping'!A:C,3,0),0)</f>
        <v>0</v>
      </c>
      <c r="D315" s="125" t="str">
        <f t="shared" si="35"/>
        <v>LIC1630</v>
      </c>
      <c r="E315" s="125" t="str">
        <f t="shared" si="36"/>
        <v>LIC1630</v>
      </c>
      <c r="F315" s="150" t="s">
        <v>35</v>
      </c>
      <c r="G315" s="127" t="s">
        <v>453</v>
      </c>
      <c r="L315" s="212" t="s">
        <v>1819</v>
      </c>
      <c r="N315" s="212" t="s">
        <v>1699</v>
      </c>
      <c r="Z315" s="213">
        <v>0</v>
      </c>
      <c r="AA315" s="213">
        <v>0</v>
      </c>
      <c r="AB315" s="152">
        <f t="shared" si="37"/>
        <v>0</v>
      </c>
      <c r="AC315" s="122" t="s">
        <v>1837</v>
      </c>
    </row>
    <row r="316" spans="1:29" ht="12.75" hidden="1" customHeight="1">
      <c r="A316" s="125" t="str">
        <f t="shared" si="34"/>
        <v>LIC163CCIL SETTLEMENT A/C</v>
      </c>
      <c r="B316" s="125">
        <f>+IFERROR(VLOOKUP(L316,'DB Mapping'!A:D,4,0),0)</f>
        <v>0</v>
      </c>
      <c r="C316" s="125">
        <f>+IFERROR(VLOOKUP(L316,'DB Mapping'!A:C,3,0),0)</f>
        <v>0</v>
      </c>
      <c r="D316" s="125" t="str">
        <f t="shared" si="35"/>
        <v>LIC1630</v>
      </c>
      <c r="E316" s="125" t="str">
        <f t="shared" si="36"/>
        <v>LIC1630</v>
      </c>
      <c r="F316" s="150" t="s">
        <v>35</v>
      </c>
      <c r="G316" s="127" t="s">
        <v>453</v>
      </c>
      <c r="L316" s="212" t="s">
        <v>1717</v>
      </c>
      <c r="N316" s="212" t="s">
        <v>1624</v>
      </c>
      <c r="Z316" s="213">
        <v>145315.71</v>
      </c>
      <c r="AA316" s="213">
        <v>0</v>
      </c>
      <c r="AB316" s="152">
        <f t="shared" si="37"/>
        <v>1.4531570999999998E-2</v>
      </c>
      <c r="AC316" s="122" t="s">
        <v>1837</v>
      </c>
    </row>
    <row r="317" spans="1:29" ht="12.75" hidden="1" customHeight="1">
      <c r="A317" s="125" t="str">
        <f t="shared" si="34"/>
        <v>LIC163SETTLEMENT PAYABLE</v>
      </c>
      <c r="B317" s="125">
        <f>+IFERROR(VLOOKUP(L317,'DB Mapping'!A:D,4,0),0)</f>
        <v>0</v>
      </c>
      <c r="C317" s="125">
        <f>+IFERROR(VLOOKUP(L317,'DB Mapping'!A:C,3,0),0)</f>
        <v>0</v>
      </c>
      <c r="D317" s="125" t="str">
        <f t="shared" si="35"/>
        <v>LIC1630</v>
      </c>
      <c r="E317" s="125" t="str">
        <f t="shared" si="36"/>
        <v>LIC1630</v>
      </c>
      <c r="F317" s="150" t="s">
        <v>35</v>
      </c>
      <c r="G317" s="127" t="s">
        <v>453</v>
      </c>
      <c r="L317" s="212" t="s">
        <v>1718</v>
      </c>
      <c r="N317" s="212" t="s">
        <v>1625</v>
      </c>
      <c r="Z317" s="213">
        <v>0</v>
      </c>
      <c r="AA317" s="213">
        <v>0</v>
      </c>
      <c r="AB317" s="152">
        <f t="shared" si="37"/>
        <v>0</v>
      </c>
      <c r="AC317" s="122" t="s">
        <v>1837</v>
      </c>
    </row>
    <row r="318" spans="1:29" ht="12.75" hidden="1" customHeight="1">
      <c r="A318" s="125" t="str">
        <f t="shared" si="34"/>
        <v>LIC163EXPENSE ALLOCATION - LIABILITY ACCOUNT</v>
      </c>
      <c r="B318" s="125">
        <f>+IFERROR(VLOOKUP(L318,'DB Mapping'!A:D,4,0),0)</f>
        <v>0</v>
      </c>
      <c r="C318" s="125">
        <f>+IFERROR(VLOOKUP(L318,'DB Mapping'!A:C,3,0),0)</f>
        <v>0</v>
      </c>
      <c r="D318" s="125" t="str">
        <f t="shared" si="35"/>
        <v>LIC1630</v>
      </c>
      <c r="E318" s="125" t="str">
        <f t="shared" si="36"/>
        <v>LIC1630</v>
      </c>
      <c r="F318" s="150" t="s">
        <v>35</v>
      </c>
      <c r="G318" s="127" t="s">
        <v>453</v>
      </c>
      <c r="L318" s="212" t="s">
        <v>1720</v>
      </c>
      <c r="N318" s="212" t="s">
        <v>1626</v>
      </c>
      <c r="Z318" s="213">
        <v>175901.98</v>
      </c>
      <c r="AA318" s="213">
        <v>0</v>
      </c>
      <c r="AB318" s="152">
        <f t="shared" si="37"/>
        <v>1.7590198000000001E-2</v>
      </c>
      <c r="AC318" s="122" t="s">
        <v>1837</v>
      </c>
    </row>
    <row r="319" spans="1:29" ht="12.75" hidden="1" customHeight="1">
      <c r="A319" s="125" t="str">
        <f t="shared" si="34"/>
        <v>LIC163PAYABLE - UNITS DIVIDEND TAX</v>
      </c>
      <c r="B319" s="125">
        <f>+IFERROR(VLOOKUP(L319,'DB Mapping'!A:D,4,0),0)</f>
        <v>0</v>
      </c>
      <c r="C319" s="125">
        <f>+IFERROR(VLOOKUP(L319,'DB Mapping'!A:C,3,0),0)</f>
        <v>0</v>
      </c>
      <c r="D319" s="125" t="str">
        <f t="shared" si="35"/>
        <v>LIC1630</v>
      </c>
      <c r="E319" s="125" t="str">
        <f t="shared" si="36"/>
        <v>LIC1630</v>
      </c>
      <c r="F319" s="150" t="s">
        <v>35</v>
      </c>
      <c r="G319" s="127" t="s">
        <v>453</v>
      </c>
      <c r="L319" s="212" t="s">
        <v>1721</v>
      </c>
      <c r="N319" s="212" t="s">
        <v>1627</v>
      </c>
      <c r="Z319" s="213">
        <v>0</v>
      </c>
      <c r="AA319" s="213">
        <v>6735</v>
      </c>
      <c r="AB319" s="152">
        <f t="shared" si="37"/>
        <v>-6.7350000000000005E-4</v>
      </c>
      <c r="AC319" s="122" t="s">
        <v>1837</v>
      </c>
    </row>
    <row r="320" spans="1:29" ht="12.75" hidden="1" customHeight="1">
      <c r="A320" s="125" t="str">
        <f t="shared" si="34"/>
        <v>LIC163PAYABLE - AUDIT FEES</v>
      </c>
      <c r="B320" s="125">
        <f>+IFERROR(VLOOKUP(L320,'DB Mapping'!A:D,4,0),0)</f>
        <v>0</v>
      </c>
      <c r="C320" s="125">
        <f>+IFERROR(VLOOKUP(L320,'DB Mapping'!A:C,3,0),0)</f>
        <v>0</v>
      </c>
      <c r="D320" s="125" t="str">
        <f t="shared" si="35"/>
        <v>LIC1630</v>
      </c>
      <c r="E320" s="125" t="str">
        <f t="shared" si="36"/>
        <v>LIC1630</v>
      </c>
      <c r="F320" s="150" t="s">
        <v>35</v>
      </c>
      <c r="G320" s="127" t="s">
        <v>453</v>
      </c>
      <c r="L320" s="212" t="s">
        <v>1722</v>
      </c>
      <c r="N320" s="212" t="s">
        <v>1628</v>
      </c>
      <c r="Z320" s="213">
        <v>237.3</v>
      </c>
      <c r="AA320" s="213">
        <v>0</v>
      </c>
      <c r="AB320" s="152">
        <f t="shared" si="37"/>
        <v>2.3730000000000001E-5</v>
      </c>
      <c r="AC320" s="122" t="s">
        <v>1837</v>
      </c>
    </row>
    <row r="321" spans="1:29" ht="12.75" hidden="1" customHeight="1">
      <c r="A321" s="125" t="str">
        <f t="shared" si="34"/>
        <v>LIC163PAYABLE - TDS ON EXPENSES</v>
      </c>
      <c r="B321" s="125">
        <f>+IFERROR(VLOOKUP(L321,'DB Mapping'!A:D,4,0),0)</f>
        <v>0</v>
      </c>
      <c r="C321" s="125">
        <f>+IFERROR(VLOOKUP(L321,'DB Mapping'!A:C,3,0),0)</f>
        <v>0</v>
      </c>
      <c r="D321" s="125" t="str">
        <f t="shared" si="35"/>
        <v>LIC1630</v>
      </c>
      <c r="E321" s="125" t="str">
        <f t="shared" si="36"/>
        <v>LIC1630</v>
      </c>
      <c r="F321" s="150" t="s">
        <v>35</v>
      </c>
      <c r="G321" s="127" t="s">
        <v>453</v>
      </c>
      <c r="L321" s="212" t="s">
        <v>1724</v>
      </c>
      <c r="N321" s="212" t="s">
        <v>1629</v>
      </c>
      <c r="Z321" s="213">
        <v>0</v>
      </c>
      <c r="AA321" s="213">
        <v>54.16</v>
      </c>
      <c r="AB321" s="152">
        <f t="shared" si="37"/>
        <v>-5.4159999999999995E-6</v>
      </c>
      <c r="AC321" s="122" t="s">
        <v>1837</v>
      </c>
    </row>
    <row r="322" spans="1:29" ht="12.75" hidden="1" customHeight="1">
      <c r="A322" s="125" t="str">
        <f t="shared" si="34"/>
        <v>LIC163PAYABLE - MANAGEMENT FEES</v>
      </c>
      <c r="B322" s="125">
        <f>+IFERROR(VLOOKUP(L322,'DB Mapping'!A:D,4,0),0)</f>
        <v>0</v>
      </c>
      <c r="C322" s="125">
        <f>+IFERROR(VLOOKUP(L322,'DB Mapping'!A:C,3,0),0)</f>
        <v>0</v>
      </c>
      <c r="D322" s="125" t="str">
        <f t="shared" si="35"/>
        <v>LIC1630</v>
      </c>
      <c r="E322" s="125" t="str">
        <f t="shared" si="36"/>
        <v>LIC1630</v>
      </c>
      <c r="F322" s="150" t="s">
        <v>35</v>
      </c>
      <c r="G322" s="127" t="s">
        <v>453</v>
      </c>
      <c r="L322" s="212" t="s">
        <v>1727</v>
      </c>
      <c r="N322" s="212" t="s">
        <v>1632</v>
      </c>
      <c r="Z322" s="213">
        <v>0</v>
      </c>
      <c r="AA322" s="213">
        <v>21751.38</v>
      </c>
      <c r="AB322" s="152">
        <f t="shared" si="37"/>
        <v>-2.1751380000000001E-3</v>
      </c>
      <c r="AC322" s="122" t="s">
        <v>1837</v>
      </c>
    </row>
    <row r="323" spans="1:29" ht="12.75" hidden="1" customHeight="1">
      <c r="A323" s="125" t="str">
        <f t="shared" si="34"/>
        <v>LIC163PAYABLE - OTHER FEES</v>
      </c>
      <c r="B323" s="125">
        <f>+IFERROR(VLOOKUP(L323,'DB Mapping'!A:D,4,0),0)</f>
        <v>0</v>
      </c>
      <c r="C323" s="125">
        <f>+IFERROR(VLOOKUP(L323,'DB Mapping'!A:C,3,0),0)</f>
        <v>0</v>
      </c>
      <c r="D323" s="125" t="str">
        <f t="shared" si="35"/>
        <v>LIC1630</v>
      </c>
      <c r="E323" s="125" t="str">
        <f t="shared" si="36"/>
        <v>LIC1630</v>
      </c>
      <c r="F323" s="150" t="s">
        <v>35</v>
      </c>
      <c r="G323" s="127" t="s">
        <v>453</v>
      </c>
      <c r="L323" s="212" t="s">
        <v>1728</v>
      </c>
      <c r="N323" s="212" t="s">
        <v>1633</v>
      </c>
      <c r="Z323" s="213">
        <v>0</v>
      </c>
      <c r="AA323" s="213">
        <v>300437.69</v>
      </c>
      <c r="AB323" s="152">
        <f t="shared" si="37"/>
        <v>-3.0043769000000001E-2</v>
      </c>
      <c r="AC323" s="122" t="s">
        <v>1837</v>
      </c>
    </row>
    <row r="324" spans="1:29" ht="12.75" hidden="1" customHeight="1">
      <c r="A324" s="125" t="str">
        <f t="shared" si="34"/>
        <v>LIC163PAYABLE - OTHER FEES (SELLING &amp; DISTRIBUTION)</v>
      </c>
      <c r="B324" s="125">
        <f>+IFERROR(VLOOKUP(L324,'DB Mapping'!A:D,4,0),0)</f>
        <v>0</v>
      </c>
      <c r="C324" s="125">
        <f>+IFERROR(VLOOKUP(L324,'DB Mapping'!A:C,3,0),0)</f>
        <v>0</v>
      </c>
      <c r="D324" s="125" t="str">
        <f t="shared" si="35"/>
        <v>LIC1630</v>
      </c>
      <c r="E324" s="125" t="str">
        <f t="shared" si="36"/>
        <v>LIC1630</v>
      </c>
      <c r="F324" s="150" t="s">
        <v>35</v>
      </c>
      <c r="G324" s="127" t="s">
        <v>453</v>
      </c>
      <c r="L324" s="212" t="s">
        <v>1729</v>
      </c>
      <c r="N324" s="212" t="s">
        <v>1634</v>
      </c>
      <c r="Z324" s="213">
        <v>0</v>
      </c>
      <c r="AA324" s="213">
        <v>92196.68</v>
      </c>
      <c r="AB324" s="152">
        <f t="shared" si="37"/>
        <v>-9.2196679999999986E-3</v>
      </c>
      <c r="AC324" s="122" t="s">
        <v>1837</v>
      </c>
    </row>
    <row r="325" spans="1:29" ht="12.75" hidden="1" customHeight="1">
      <c r="A325" s="125" t="str">
        <f t="shared" si="34"/>
        <v>LIC163PAYABLE - INTERNAL AUDIT FEES</v>
      </c>
      <c r="B325" s="125">
        <f>+IFERROR(VLOOKUP(L325,'DB Mapping'!A:D,4,0),0)</f>
        <v>0</v>
      </c>
      <c r="C325" s="125">
        <f>+IFERROR(VLOOKUP(L325,'DB Mapping'!A:C,3,0),0)</f>
        <v>0</v>
      </c>
      <c r="D325" s="125" t="str">
        <f t="shared" si="35"/>
        <v>LIC1630</v>
      </c>
      <c r="E325" s="125" t="str">
        <f t="shared" si="36"/>
        <v>LIC1630</v>
      </c>
      <c r="F325" s="150" t="s">
        <v>35</v>
      </c>
      <c r="G325" s="127" t="s">
        <v>453</v>
      </c>
      <c r="L325" s="212" t="s">
        <v>1732</v>
      </c>
      <c r="N325" s="212" t="s">
        <v>1637</v>
      </c>
      <c r="Z325" s="213">
        <v>0</v>
      </c>
      <c r="AA325" s="213">
        <v>2172.9499999999998</v>
      </c>
      <c r="AB325" s="152">
        <f t="shared" si="37"/>
        <v>-2.1729499999999997E-4</v>
      </c>
      <c r="AC325" s="122" t="s">
        <v>1837</v>
      </c>
    </row>
    <row r="326" spans="1:29" ht="12.75" hidden="1" customHeight="1">
      <c r="A326" s="125" t="str">
        <f t="shared" si="34"/>
        <v>LIC163CGST EXPS PAYABLE ON MFEES</v>
      </c>
      <c r="B326" s="125">
        <f>+IFERROR(VLOOKUP(L326,'DB Mapping'!A:D,4,0),0)</f>
        <v>0</v>
      </c>
      <c r="C326" s="125">
        <f>+IFERROR(VLOOKUP(L326,'DB Mapping'!A:C,3,0),0)</f>
        <v>0</v>
      </c>
      <c r="D326" s="125" t="str">
        <f t="shared" si="35"/>
        <v>LIC1630</v>
      </c>
      <c r="E326" s="125" t="str">
        <f t="shared" si="36"/>
        <v>LIC1630</v>
      </c>
      <c r="F326" s="150" t="s">
        <v>35</v>
      </c>
      <c r="G326" s="127" t="s">
        <v>453</v>
      </c>
      <c r="L326" s="212" t="s">
        <v>1733</v>
      </c>
      <c r="N326" s="212" t="s">
        <v>1638</v>
      </c>
      <c r="Z326" s="213">
        <v>0</v>
      </c>
      <c r="AA326" s="213">
        <v>1957.57</v>
      </c>
      <c r="AB326" s="152">
        <f t="shared" si="37"/>
        <v>-1.9575699999999999E-4</v>
      </c>
      <c r="AC326" s="122" t="s">
        <v>1837</v>
      </c>
    </row>
    <row r="327" spans="1:29" ht="12.75" hidden="1" customHeight="1">
      <c r="A327" s="125" t="str">
        <f t="shared" si="34"/>
        <v>LIC163SGST EXPS PAYABLE ON MFEES</v>
      </c>
      <c r="B327" s="125">
        <f>+IFERROR(VLOOKUP(L327,'DB Mapping'!A:D,4,0),0)</f>
        <v>0</v>
      </c>
      <c r="C327" s="125">
        <f>+IFERROR(VLOOKUP(L327,'DB Mapping'!A:C,3,0),0)</f>
        <v>0</v>
      </c>
      <c r="D327" s="125" t="str">
        <f t="shared" si="35"/>
        <v>LIC1630</v>
      </c>
      <c r="E327" s="125" t="str">
        <f t="shared" si="36"/>
        <v>LIC1630</v>
      </c>
      <c r="F327" s="150" t="s">
        <v>35</v>
      </c>
      <c r="G327" s="127" t="s">
        <v>453</v>
      </c>
      <c r="L327" s="212" t="s">
        <v>1734</v>
      </c>
      <c r="N327" s="212" t="s">
        <v>1639</v>
      </c>
      <c r="Z327" s="213">
        <v>0</v>
      </c>
      <c r="AA327" s="213">
        <v>1957.57</v>
      </c>
      <c r="AB327" s="152">
        <f t="shared" si="37"/>
        <v>-1.9575699999999999E-4</v>
      </c>
      <c r="AC327" s="122" t="s">
        <v>1837</v>
      </c>
    </row>
    <row r="328" spans="1:29" ht="12.75" hidden="1" customHeight="1">
      <c r="A328" s="125" t="str">
        <f t="shared" si="34"/>
        <v>LIC163PAYABLE - INVESTOR EDUCATION FUND</v>
      </c>
      <c r="B328" s="125">
        <f>+IFERROR(VLOOKUP(L328,'DB Mapping'!A:D,4,0),0)</f>
        <v>0</v>
      </c>
      <c r="C328" s="125">
        <f>+IFERROR(VLOOKUP(L328,'DB Mapping'!A:C,3,0),0)</f>
        <v>0</v>
      </c>
      <c r="D328" s="125" t="str">
        <f t="shared" si="35"/>
        <v>LIC1630</v>
      </c>
      <c r="E328" s="125" t="str">
        <f t="shared" si="36"/>
        <v>LIC1630</v>
      </c>
      <c r="F328" s="150" t="s">
        <v>35</v>
      </c>
      <c r="G328" s="127" t="s">
        <v>453</v>
      </c>
      <c r="L328" s="212" t="s">
        <v>1735</v>
      </c>
      <c r="N328" s="212" t="s">
        <v>1640</v>
      </c>
      <c r="Z328" s="213">
        <v>0</v>
      </c>
      <c r="AA328" s="213">
        <v>5678.38</v>
      </c>
      <c r="AB328" s="152">
        <f t="shared" si="37"/>
        <v>-5.6783799999999998E-4</v>
      </c>
      <c r="AC328" s="122" t="s">
        <v>1837</v>
      </c>
    </row>
    <row r="329" spans="1:29" ht="12.75" hidden="1" customHeight="1">
      <c r="A329" s="125" t="str">
        <f t="shared" si="34"/>
        <v>LIC163PAYABLE - INVESTOR EDUCATION FUND - AMFI</v>
      </c>
      <c r="B329" s="125">
        <f>+IFERROR(VLOOKUP(L329,'DB Mapping'!A:D,4,0),0)</f>
        <v>0</v>
      </c>
      <c r="C329" s="125">
        <f>+IFERROR(VLOOKUP(L329,'DB Mapping'!A:C,3,0),0)</f>
        <v>0</v>
      </c>
      <c r="D329" s="125" t="str">
        <f t="shared" si="35"/>
        <v>LIC1630</v>
      </c>
      <c r="E329" s="125" t="str">
        <f t="shared" si="36"/>
        <v>LIC1630</v>
      </c>
      <c r="F329" s="150" t="s">
        <v>35</v>
      </c>
      <c r="G329" s="127" t="s">
        <v>453</v>
      </c>
      <c r="L329" s="212" t="s">
        <v>1737</v>
      </c>
      <c r="N329" s="212" t="s">
        <v>1641</v>
      </c>
      <c r="Z329" s="213">
        <v>0</v>
      </c>
      <c r="AA329" s="213">
        <v>5678.38</v>
      </c>
      <c r="AB329" s="152">
        <f t="shared" si="37"/>
        <v>-5.6783799999999998E-4</v>
      </c>
      <c r="AC329" s="122" t="s">
        <v>1837</v>
      </c>
    </row>
    <row r="330" spans="1:29" ht="12.75" hidden="1" customHeight="1">
      <c r="A330" s="125" t="str">
        <f t="shared" si="34"/>
        <v>LIC163DIVIDEND DISTRIBUTION PAYABLE</v>
      </c>
      <c r="B330" s="125">
        <f>+IFERROR(VLOOKUP(L330,'DB Mapping'!A:D,4,0),0)</f>
        <v>0</v>
      </c>
      <c r="C330" s="125">
        <f>+IFERROR(VLOOKUP(L330,'DB Mapping'!A:C,3,0),0)</f>
        <v>0</v>
      </c>
      <c r="D330" s="125" t="str">
        <f t="shared" si="35"/>
        <v>LIC1630</v>
      </c>
      <c r="E330" s="125" t="str">
        <f t="shared" si="36"/>
        <v>LIC1630</v>
      </c>
      <c r="F330" s="150" t="s">
        <v>35</v>
      </c>
      <c r="G330" s="127" t="s">
        <v>453</v>
      </c>
      <c r="L330" s="212" t="s">
        <v>1741</v>
      </c>
      <c r="N330" s="212" t="s">
        <v>1645</v>
      </c>
      <c r="Z330" s="213">
        <v>0</v>
      </c>
      <c r="AA330" s="213">
        <v>17515.919999999998</v>
      </c>
      <c r="AB330" s="152">
        <f t="shared" si="37"/>
        <v>-1.7515919999999997E-3</v>
      </c>
      <c r="AC330" s="122" t="s">
        <v>1837</v>
      </c>
    </row>
    <row r="331" spans="1:29" ht="12.75" hidden="1" customHeight="1">
      <c r="A331" s="125" t="str">
        <f t="shared" si="34"/>
        <v>LIC163PROVISION FOR OPERATING EXPENSES</v>
      </c>
      <c r="B331" s="125">
        <f>+IFERROR(VLOOKUP(L331,'DB Mapping'!A:D,4,0),0)</f>
        <v>0</v>
      </c>
      <c r="C331" s="125">
        <f>+IFERROR(VLOOKUP(L331,'DB Mapping'!A:C,3,0),0)</f>
        <v>0</v>
      </c>
      <c r="D331" s="125" t="str">
        <f t="shared" si="35"/>
        <v>LIC1630</v>
      </c>
      <c r="E331" s="125" t="str">
        <f t="shared" si="36"/>
        <v>LIC1630</v>
      </c>
      <c r="F331" s="150" t="s">
        <v>35</v>
      </c>
      <c r="G331" s="127" t="s">
        <v>453</v>
      </c>
      <c r="L331" s="212" t="s">
        <v>1798</v>
      </c>
      <c r="N331" s="212" t="s">
        <v>1647</v>
      </c>
      <c r="Z331" s="213">
        <v>0</v>
      </c>
      <c r="AA331" s="213">
        <v>14067.73</v>
      </c>
      <c r="AB331" s="152">
        <f t="shared" si="37"/>
        <v>-1.4067730000000001E-3</v>
      </c>
      <c r="AC331" s="122" t="s">
        <v>1837</v>
      </c>
    </row>
    <row r="332" spans="1:29" ht="12.75" hidden="1" customHeight="1">
      <c r="A332" s="125" t="str">
        <f t="shared" si="34"/>
        <v>LIC163UNIT CAPITAL - REGULAR DIV</v>
      </c>
      <c r="B332" s="125">
        <f>+IFERROR(VLOOKUP(L332,'DB Mapping'!A:D,4,0),0)</f>
        <v>0</v>
      </c>
      <c r="C332" s="125" t="str">
        <f>+IFERROR(VLOOKUP(L332,'DB Mapping'!A:C,3,0),0)</f>
        <v>Unit Capital</v>
      </c>
      <c r="D332" s="125" t="str">
        <f t="shared" si="35"/>
        <v>LIC1630</v>
      </c>
      <c r="E332" s="125" t="str">
        <f t="shared" si="36"/>
        <v>LIC163Unit Capital</v>
      </c>
      <c r="F332" s="150" t="s">
        <v>35</v>
      </c>
      <c r="G332" s="127" t="s">
        <v>453</v>
      </c>
      <c r="L332" s="212" t="s">
        <v>1746</v>
      </c>
      <c r="N332" s="212" t="s">
        <v>1651</v>
      </c>
      <c r="Z332" s="213">
        <v>0</v>
      </c>
      <c r="AA332" s="213">
        <v>90000</v>
      </c>
      <c r="AB332" s="152">
        <f t="shared" si="37"/>
        <v>-8.9999999999999993E-3</v>
      </c>
      <c r="AC332" s="122" t="s">
        <v>1837</v>
      </c>
    </row>
    <row r="333" spans="1:29" ht="12.75" hidden="1" customHeight="1">
      <c r="A333" s="125" t="str">
        <f t="shared" si="34"/>
        <v>LIC163UNIT CAPITAL - REGULAR GROWTH</v>
      </c>
      <c r="B333" s="125">
        <f>+IFERROR(VLOOKUP(L333,'DB Mapping'!A:D,4,0),0)</f>
        <v>0</v>
      </c>
      <c r="C333" s="125" t="str">
        <f>+IFERROR(VLOOKUP(L333,'DB Mapping'!A:C,3,0),0)</f>
        <v>Unit Capital</v>
      </c>
      <c r="D333" s="125" t="str">
        <f t="shared" si="35"/>
        <v>LIC1630</v>
      </c>
      <c r="E333" s="125" t="str">
        <f t="shared" si="36"/>
        <v>LIC163Unit Capital</v>
      </c>
      <c r="F333" s="150" t="s">
        <v>35</v>
      </c>
      <c r="G333" s="127" t="s">
        <v>453</v>
      </c>
      <c r="L333" s="212" t="s">
        <v>1747</v>
      </c>
      <c r="N333" s="212" t="s">
        <v>1652</v>
      </c>
      <c r="Z333" s="213">
        <v>0</v>
      </c>
      <c r="AA333" s="213">
        <v>116670226.27</v>
      </c>
      <c r="AB333" s="152">
        <f t="shared" si="37"/>
        <v>-11.667022627</v>
      </c>
      <c r="AC333" s="122" t="s">
        <v>1837</v>
      </c>
    </row>
    <row r="334" spans="1:29" ht="12.75" hidden="1" customHeight="1">
      <c r="A334" s="125" t="str">
        <f t="shared" si="34"/>
        <v>LIC163UNIT CAPITAL - DIRECT GROWTH</v>
      </c>
      <c r="B334" s="125">
        <f>+IFERROR(VLOOKUP(L334,'DB Mapping'!A:D,4,0),0)</f>
        <v>0</v>
      </c>
      <c r="C334" s="125" t="str">
        <f>+IFERROR(VLOOKUP(L334,'DB Mapping'!A:C,3,0),0)</f>
        <v>Unit Capital</v>
      </c>
      <c r="D334" s="125" t="str">
        <f t="shared" si="35"/>
        <v>LIC1630</v>
      </c>
      <c r="E334" s="125" t="str">
        <f t="shared" si="36"/>
        <v>LIC163Unit Capital</v>
      </c>
      <c r="F334" s="150" t="s">
        <v>35</v>
      </c>
      <c r="G334" s="127" t="s">
        <v>453</v>
      </c>
      <c r="L334" s="212" t="s">
        <v>1749</v>
      </c>
      <c r="N334" s="212" t="s">
        <v>1654</v>
      </c>
      <c r="Z334" s="213">
        <v>0</v>
      </c>
      <c r="AA334" s="213">
        <v>586346015.23000002</v>
      </c>
      <c r="AB334" s="152">
        <f t="shared" si="37"/>
        <v>-58.634601523000001</v>
      </c>
      <c r="AC334" s="122" t="s">
        <v>1837</v>
      </c>
    </row>
    <row r="335" spans="1:29" ht="12.75" hidden="1" customHeight="1">
      <c r="A335" s="125" t="str">
        <f t="shared" si="34"/>
        <v>LIC163RESERVES &amp; SURPLUS</v>
      </c>
      <c r="B335" s="125">
        <f>+IFERROR(VLOOKUP(L335,'DB Mapping'!A:D,4,0),0)</f>
        <v>0</v>
      </c>
      <c r="C335" s="125">
        <f>+IFERROR(VLOOKUP(L335,'DB Mapping'!A:C,3,0),0)</f>
        <v>0</v>
      </c>
      <c r="D335" s="125" t="str">
        <f t="shared" si="35"/>
        <v>LIC1630</v>
      </c>
      <c r="E335" s="125" t="str">
        <f t="shared" si="36"/>
        <v>LIC1630</v>
      </c>
      <c r="F335" s="150" t="s">
        <v>35</v>
      </c>
      <c r="G335" s="127" t="s">
        <v>453</v>
      </c>
      <c r="L335" s="212" t="s">
        <v>1752</v>
      </c>
      <c r="N335" s="212" t="s">
        <v>1656</v>
      </c>
      <c r="Z335" s="213">
        <v>0</v>
      </c>
      <c r="AA335" s="213">
        <v>167485467.28</v>
      </c>
      <c r="AB335" s="152">
        <f t="shared" si="37"/>
        <v>-16.748546728000001</v>
      </c>
      <c r="AC335" s="122" t="s">
        <v>1837</v>
      </c>
    </row>
    <row r="336" spans="1:29" ht="12.75" hidden="1" customHeight="1">
      <c r="A336" s="125" t="str">
        <f t="shared" si="34"/>
        <v>LIC163DIV DISTRIBUTION - REGULAR DIV</v>
      </c>
      <c r="B336" s="125">
        <f>+IFERROR(VLOOKUP(L336,'DB Mapping'!A:D,4,0),0)</f>
        <v>0</v>
      </c>
      <c r="C336" s="125">
        <f>+IFERROR(VLOOKUP(L336,'DB Mapping'!A:C,3,0),0)</f>
        <v>0</v>
      </c>
      <c r="D336" s="125" t="str">
        <f t="shared" si="35"/>
        <v>LIC1630</v>
      </c>
      <c r="E336" s="125" t="str">
        <f t="shared" si="36"/>
        <v>LIC1630</v>
      </c>
      <c r="F336" s="150" t="s">
        <v>35</v>
      </c>
      <c r="G336" s="127" t="s">
        <v>453</v>
      </c>
      <c r="L336" s="212" t="s">
        <v>1753</v>
      </c>
      <c r="N336" s="212" t="s">
        <v>1657</v>
      </c>
      <c r="Z336" s="213">
        <v>17515.919999999998</v>
      </c>
      <c r="AA336" s="213">
        <v>0</v>
      </c>
      <c r="AB336" s="152">
        <f t="shared" si="37"/>
        <v>1.7515919999999997E-3</v>
      </c>
      <c r="AC336" s="122" t="s">
        <v>1837</v>
      </c>
    </row>
    <row r="337" spans="1:29" ht="12.75" hidden="1" customHeight="1">
      <c r="A337" s="125" t="str">
        <f t="shared" si="34"/>
        <v>LIC163DDT - REGULAR DIV</v>
      </c>
      <c r="B337" s="125">
        <f>+IFERROR(VLOOKUP(L337,'DB Mapping'!A:D,4,0),0)</f>
        <v>0</v>
      </c>
      <c r="C337" s="125">
        <f>+IFERROR(VLOOKUP(L337,'DB Mapping'!A:C,3,0),0)</f>
        <v>0</v>
      </c>
      <c r="D337" s="125" t="str">
        <f t="shared" si="35"/>
        <v>LIC1630</v>
      </c>
      <c r="E337" s="125" t="str">
        <f t="shared" si="36"/>
        <v>LIC1630</v>
      </c>
      <c r="F337" s="150" t="s">
        <v>35</v>
      </c>
      <c r="G337" s="127" t="s">
        <v>453</v>
      </c>
      <c r="L337" s="212" t="s">
        <v>1755</v>
      </c>
      <c r="N337" s="212" t="s">
        <v>1659</v>
      </c>
      <c r="Z337" s="213">
        <v>6735</v>
      </c>
      <c r="AA337" s="213">
        <v>0</v>
      </c>
      <c r="AB337" s="152">
        <f t="shared" si="37"/>
        <v>6.7350000000000005E-4</v>
      </c>
      <c r="AC337" s="122" t="s">
        <v>1837</v>
      </c>
    </row>
    <row r="338" spans="1:29" ht="12.75" hidden="1" customHeight="1">
      <c r="A338" s="125" t="str">
        <f t="shared" si="34"/>
        <v>LIC163UNREALISED GAIN/LOSS - DEBENTURES</v>
      </c>
      <c r="B338" s="125">
        <f>+IFERROR(VLOOKUP(L338,'DB Mapping'!A:D,4,0),0)</f>
        <v>0</v>
      </c>
      <c r="C338" s="125">
        <f>+IFERROR(VLOOKUP(L338,'DB Mapping'!A:C,3,0),0)</f>
        <v>0</v>
      </c>
      <c r="D338" s="125" t="str">
        <f t="shared" si="35"/>
        <v>LIC1630</v>
      </c>
      <c r="E338" s="125" t="str">
        <f t="shared" si="36"/>
        <v>LIC1630</v>
      </c>
      <c r="F338" s="150" t="s">
        <v>35</v>
      </c>
      <c r="G338" s="127" t="s">
        <v>453</v>
      </c>
      <c r="L338" s="212" t="s">
        <v>1820</v>
      </c>
      <c r="N338" s="212" t="s">
        <v>1662</v>
      </c>
      <c r="Z338" s="213">
        <v>0</v>
      </c>
      <c r="AA338" s="213">
        <v>0</v>
      </c>
      <c r="AB338" s="152">
        <f t="shared" si="37"/>
        <v>0</v>
      </c>
      <c r="AC338" s="122" t="s">
        <v>1837</v>
      </c>
    </row>
    <row r="339" spans="1:29" ht="12.75" hidden="1" customHeight="1">
      <c r="A339" s="125" t="str">
        <f t="shared" si="34"/>
        <v>LIC163UNREALISED GAIN/LOSS - ZERO COUPON BOND</v>
      </c>
      <c r="B339" s="125">
        <f>+IFERROR(VLOOKUP(L339,'DB Mapping'!A:D,4,0),0)</f>
        <v>0</v>
      </c>
      <c r="C339" s="125">
        <f>+IFERROR(VLOOKUP(L339,'DB Mapping'!A:C,3,0),0)</f>
        <v>0</v>
      </c>
      <c r="D339" s="125" t="str">
        <f t="shared" si="35"/>
        <v>LIC1630</v>
      </c>
      <c r="E339" s="125" t="str">
        <f t="shared" si="36"/>
        <v>LIC1630</v>
      </c>
      <c r="F339" s="150" t="s">
        <v>35</v>
      </c>
      <c r="G339" s="127" t="s">
        <v>453</v>
      </c>
      <c r="L339" s="212" t="s">
        <v>1821</v>
      </c>
      <c r="N339" s="212" t="s">
        <v>1700</v>
      </c>
      <c r="Z339" s="213">
        <v>0</v>
      </c>
      <c r="AA339" s="213">
        <v>0</v>
      </c>
      <c r="AB339" s="152">
        <f t="shared" si="37"/>
        <v>0</v>
      </c>
      <c r="AC339" s="122" t="s">
        <v>1837</v>
      </c>
    </row>
    <row r="340" spans="1:29" ht="12.75" hidden="1" customHeight="1">
      <c r="A340" s="125" t="str">
        <f t="shared" si="34"/>
        <v>LIC163INTEREST INCOME - DEBENTURES</v>
      </c>
      <c r="B340" s="125">
        <f>+IFERROR(VLOOKUP(L340,'DB Mapping'!A:D,4,0),0)</f>
        <v>0</v>
      </c>
      <c r="C340" s="125">
        <f>+IFERROR(VLOOKUP(L340,'DB Mapping'!A:C,3,0),0)</f>
        <v>5.2</v>
      </c>
      <c r="D340" s="125" t="str">
        <f t="shared" si="35"/>
        <v>LIC1630</v>
      </c>
      <c r="E340" s="125" t="str">
        <f t="shared" si="36"/>
        <v>LIC1635.2</v>
      </c>
      <c r="F340" s="150" t="s">
        <v>35</v>
      </c>
      <c r="G340" s="127" t="s">
        <v>453</v>
      </c>
      <c r="L340" s="212" t="s">
        <v>1822</v>
      </c>
      <c r="N340" s="212" t="s">
        <v>1664</v>
      </c>
      <c r="Z340" s="213">
        <v>0</v>
      </c>
      <c r="AA340" s="213">
        <v>20903566.84</v>
      </c>
      <c r="AB340" s="152">
        <f t="shared" si="37"/>
        <v>-2.0903566840000001</v>
      </c>
      <c r="AC340" s="122" t="s">
        <v>1837</v>
      </c>
    </row>
    <row r="341" spans="1:29" ht="12.75" hidden="1" customHeight="1">
      <c r="A341" s="125" t="str">
        <f t="shared" si="34"/>
        <v>LIC163INTEREST INCOME - REPO TRANSACTIONS</v>
      </c>
      <c r="B341" s="125">
        <f>+IFERROR(VLOOKUP(L341,'DB Mapping'!A:D,4,0),0)</f>
        <v>0</v>
      </c>
      <c r="C341" s="125">
        <f>+IFERROR(VLOOKUP(L341,'DB Mapping'!A:C,3,0),0)</f>
        <v>5.2</v>
      </c>
      <c r="D341" s="125" t="str">
        <f t="shared" si="35"/>
        <v>LIC1630</v>
      </c>
      <c r="E341" s="125" t="str">
        <f t="shared" si="36"/>
        <v>LIC1635.2</v>
      </c>
      <c r="F341" s="150" t="s">
        <v>35</v>
      </c>
      <c r="G341" s="127" t="s">
        <v>453</v>
      </c>
      <c r="L341" s="212" t="s">
        <v>1803</v>
      </c>
      <c r="N341" s="212" t="s">
        <v>1665</v>
      </c>
      <c r="Z341" s="213">
        <v>0</v>
      </c>
      <c r="AA341" s="213">
        <v>494955.68</v>
      </c>
      <c r="AB341" s="152">
        <f t="shared" si="37"/>
        <v>-4.9495567999999997E-2</v>
      </c>
      <c r="AC341" s="122" t="s">
        <v>1837</v>
      </c>
    </row>
    <row r="342" spans="1:29" ht="12.75" hidden="1" customHeight="1">
      <c r="A342" s="125" t="str">
        <f t="shared" si="34"/>
        <v>LIC163AMORTISATION INCOME - CBLO</v>
      </c>
      <c r="B342" s="125">
        <f>+IFERROR(VLOOKUP(L342,'DB Mapping'!A:D,4,0),0)</f>
        <v>0</v>
      </c>
      <c r="C342" s="125">
        <f>+IFERROR(VLOOKUP(L342,'DB Mapping'!A:C,3,0),0)</f>
        <v>5.2</v>
      </c>
      <c r="D342" s="125" t="str">
        <f t="shared" si="35"/>
        <v>LIC1630</v>
      </c>
      <c r="E342" s="125" t="str">
        <f t="shared" si="36"/>
        <v>LIC1635.2</v>
      </c>
      <c r="F342" s="150" t="s">
        <v>35</v>
      </c>
      <c r="G342" s="127" t="s">
        <v>453</v>
      </c>
      <c r="L342" s="212" t="s">
        <v>1757</v>
      </c>
      <c r="N342" s="212" t="s">
        <v>1667</v>
      </c>
      <c r="Z342" s="213">
        <v>0</v>
      </c>
      <c r="AA342" s="213">
        <v>6386690.8899999997</v>
      </c>
      <c r="AB342" s="152">
        <f t="shared" si="37"/>
        <v>-0.63866908899999997</v>
      </c>
      <c r="AC342" s="122" t="s">
        <v>1837</v>
      </c>
    </row>
    <row r="343" spans="1:29" ht="12.75" hidden="1" customHeight="1">
      <c r="A343" s="125" t="str">
        <f t="shared" si="34"/>
        <v>LIC163AMORTISATION INCOME - ZERO COUPON BOND</v>
      </c>
      <c r="B343" s="125">
        <f>+IFERROR(VLOOKUP(L343,'DB Mapping'!A:D,4,0),0)</f>
        <v>0</v>
      </c>
      <c r="C343" s="125">
        <f>+IFERROR(VLOOKUP(L343,'DB Mapping'!A:C,3,0),0)</f>
        <v>5.2</v>
      </c>
      <c r="D343" s="125" t="str">
        <f t="shared" si="35"/>
        <v>LIC1630</v>
      </c>
      <c r="E343" s="125" t="str">
        <f t="shared" si="36"/>
        <v>LIC1635.2</v>
      </c>
      <c r="F343" s="150" t="s">
        <v>35</v>
      </c>
      <c r="G343" s="127" t="s">
        <v>453</v>
      </c>
      <c r="L343" s="212" t="s">
        <v>1823</v>
      </c>
      <c r="N343" s="212" t="s">
        <v>1701</v>
      </c>
      <c r="Z343" s="213">
        <v>0</v>
      </c>
      <c r="AA343" s="213">
        <v>11466073.52</v>
      </c>
      <c r="AB343" s="152">
        <f t="shared" si="37"/>
        <v>-1.146607352</v>
      </c>
      <c r="AC343" s="122" t="s">
        <v>1837</v>
      </c>
    </row>
    <row r="344" spans="1:29" ht="12.75" hidden="1" customHeight="1">
      <c r="A344" s="125" t="str">
        <f t="shared" si="34"/>
        <v>LIC163MISCELLEANOUS INCOME</v>
      </c>
      <c r="B344" s="125">
        <f>+IFERROR(VLOOKUP(L344,'DB Mapping'!A:D,4,0),0)</f>
        <v>0</v>
      </c>
      <c r="C344" s="125">
        <f>+IFERROR(VLOOKUP(L344,'DB Mapping'!A:C,3,0),0)</f>
        <v>5.5</v>
      </c>
      <c r="D344" s="125" t="str">
        <f t="shared" si="35"/>
        <v>LIC1630</v>
      </c>
      <c r="E344" s="125" t="str">
        <f t="shared" si="36"/>
        <v>LIC1635.5</v>
      </c>
      <c r="F344" s="150" t="s">
        <v>35</v>
      </c>
      <c r="G344" s="127" t="s">
        <v>453</v>
      </c>
      <c r="L344" s="212" t="s">
        <v>1759</v>
      </c>
      <c r="N344" s="212" t="s">
        <v>1668</v>
      </c>
      <c r="Z344" s="213">
        <v>0</v>
      </c>
      <c r="AA344" s="213">
        <v>1.17</v>
      </c>
      <c r="AB344" s="152">
        <f t="shared" si="37"/>
        <v>-1.1699999999999999E-7</v>
      </c>
      <c r="AC344" s="122" t="s">
        <v>1837</v>
      </c>
    </row>
    <row r="345" spans="1:29" ht="12.75" hidden="1" customHeight="1">
      <c r="A345" s="125" t="str">
        <f t="shared" si="34"/>
        <v>LIC163LOSS ON SALE - DEBENTURES</v>
      </c>
      <c r="B345" s="125">
        <f>+IFERROR(VLOOKUP(L345,'DB Mapping'!A:D,4,0),0)</f>
        <v>0</v>
      </c>
      <c r="C345" s="125">
        <f>+IFERROR(VLOOKUP(L345,'DB Mapping'!A:C,3,0),0)</f>
        <v>5.3</v>
      </c>
      <c r="D345" s="125" t="str">
        <f t="shared" si="35"/>
        <v>LIC1630</v>
      </c>
      <c r="E345" s="125" t="str">
        <f t="shared" si="36"/>
        <v>LIC1635.3</v>
      </c>
      <c r="F345" s="150" t="s">
        <v>35</v>
      </c>
      <c r="G345" s="127" t="s">
        <v>453</v>
      </c>
      <c r="L345" s="212" t="s">
        <v>1824</v>
      </c>
      <c r="N345" s="212" t="s">
        <v>1670</v>
      </c>
      <c r="Z345" s="213">
        <v>86580</v>
      </c>
      <c r="AA345" s="213">
        <v>0</v>
      </c>
      <c r="AB345" s="152">
        <f t="shared" si="37"/>
        <v>8.6580000000000008E-3</v>
      </c>
      <c r="AC345" s="122" t="s">
        <v>1837</v>
      </c>
    </row>
    <row r="346" spans="1:29" ht="12.75" hidden="1" customHeight="1">
      <c r="A346" s="125" t="str">
        <f t="shared" si="34"/>
        <v>LIC163LOSS ON REDEMPTION - DEBENTURES</v>
      </c>
      <c r="B346" s="125">
        <f>+IFERROR(VLOOKUP(L346,'DB Mapping'!A:D,4,0),0)</f>
        <v>0</v>
      </c>
      <c r="C346" s="125">
        <f>+IFERROR(VLOOKUP(L346,'DB Mapping'!A:C,3,0),0)</f>
        <v>5.3</v>
      </c>
      <c r="D346" s="125" t="str">
        <f t="shared" si="35"/>
        <v>LIC1630</v>
      </c>
      <c r="E346" s="125" t="str">
        <f t="shared" si="36"/>
        <v>LIC1635.3</v>
      </c>
      <c r="F346" s="150" t="s">
        <v>35</v>
      </c>
      <c r="G346" s="127" t="s">
        <v>453</v>
      </c>
      <c r="L346" s="212" t="s">
        <v>1825</v>
      </c>
      <c r="N346" s="212" t="s">
        <v>1671</v>
      </c>
      <c r="Z346" s="213">
        <v>5856517</v>
      </c>
      <c r="AA346" s="213">
        <v>0</v>
      </c>
      <c r="AB346" s="152">
        <f t="shared" si="37"/>
        <v>0.5856517</v>
      </c>
      <c r="AC346" s="122" t="s">
        <v>1837</v>
      </c>
    </row>
    <row r="347" spans="1:29" ht="12.75" hidden="1" customHeight="1">
      <c r="A347" s="125" t="str">
        <f t="shared" si="34"/>
        <v>LIC163MANAGEMENT FEES</v>
      </c>
      <c r="B347" s="125">
        <f>+IFERROR(VLOOKUP(L347,'DB Mapping'!A:D,4,0),0)</f>
        <v>6.1</v>
      </c>
      <c r="C347" s="125">
        <f>+IFERROR(VLOOKUP(L347,'DB Mapping'!A:C,3,0),0)</f>
        <v>6.3</v>
      </c>
      <c r="D347" s="125" t="str">
        <f t="shared" si="35"/>
        <v>LIC1636.1</v>
      </c>
      <c r="E347" s="125" t="str">
        <f t="shared" si="36"/>
        <v>LIC1636.3</v>
      </c>
      <c r="F347" s="150" t="s">
        <v>35</v>
      </c>
      <c r="G347" s="127" t="s">
        <v>453</v>
      </c>
      <c r="L347" s="212" t="s">
        <v>1760</v>
      </c>
      <c r="N347" s="212" t="s">
        <v>1702</v>
      </c>
      <c r="Z347" s="213">
        <v>221810.35</v>
      </c>
      <c r="AA347" s="213">
        <v>0</v>
      </c>
      <c r="AB347" s="152">
        <f t="shared" si="37"/>
        <v>2.2181035000000002E-2</v>
      </c>
      <c r="AC347" s="122" t="s">
        <v>1837</v>
      </c>
    </row>
    <row r="348" spans="1:29" ht="12.75" hidden="1" customHeight="1">
      <c r="A348" s="125" t="str">
        <f t="shared" si="34"/>
        <v>LIC163MANAGEMENT FEES - REGULAR DIV</v>
      </c>
      <c r="B348" s="125">
        <f>+IFERROR(VLOOKUP(L348,'DB Mapping'!A:D,4,0),0)</f>
        <v>6.1</v>
      </c>
      <c r="C348" s="125">
        <f>+IFERROR(VLOOKUP(L348,'DB Mapping'!A:C,3,0),0)</f>
        <v>6.3</v>
      </c>
      <c r="D348" s="125" t="str">
        <f t="shared" si="35"/>
        <v>LIC1636.1</v>
      </c>
      <c r="E348" s="125" t="str">
        <f t="shared" si="36"/>
        <v>LIC1636.3</v>
      </c>
      <c r="F348" s="150" t="s">
        <v>35</v>
      </c>
      <c r="G348" s="127" t="s">
        <v>453</v>
      </c>
      <c r="L348" s="212" t="s">
        <v>1805</v>
      </c>
      <c r="N348" s="212" t="s">
        <v>1672</v>
      </c>
      <c r="Z348" s="213">
        <v>69.680000000000007</v>
      </c>
      <c r="AA348" s="213">
        <v>0</v>
      </c>
      <c r="AB348" s="152">
        <f t="shared" si="37"/>
        <v>6.9680000000000009E-6</v>
      </c>
      <c r="AC348" s="122" t="s">
        <v>1837</v>
      </c>
    </row>
    <row r="349" spans="1:29" ht="12.75" hidden="1" customHeight="1">
      <c r="A349" s="125" t="str">
        <f t="shared" si="34"/>
        <v>LIC163MANAGEMENT FEES - REGULAR GROWTH</v>
      </c>
      <c r="B349" s="125">
        <f>+IFERROR(VLOOKUP(L349,'DB Mapping'!A:D,4,0),0)</f>
        <v>6.1</v>
      </c>
      <c r="C349" s="125">
        <f>+IFERROR(VLOOKUP(L349,'DB Mapping'!A:C,3,0),0)</f>
        <v>6.3</v>
      </c>
      <c r="D349" s="125" t="str">
        <f t="shared" si="35"/>
        <v>LIC1636.1</v>
      </c>
      <c r="E349" s="125" t="str">
        <f t="shared" si="36"/>
        <v>LIC1636.3</v>
      </c>
      <c r="F349" s="150" t="s">
        <v>35</v>
      </c>
      <c r="G349" s="127" t="s">
        <v>453</v>
      </c>
      <c r="L349" s="212" t="s">
        <v>1806</v>
      </c>
      <c r="N349" s="212" t="s">
        <v>1673</v>
      </c>
      <c r="Z349" s="213">
        <v>90471.98</v>
      </c>
      <c r="AA349" s="213">
        <v>0</v>
      </c>
      <c r="AB349" s="152">
        <f t="shared" si="37"/>
        <v>9.0471979999999994E-3</v>
      </c>
      <c r="AC349" s="122" t="s">
        <v>1837</v>
      </c>
    </row>
    <row r="350" spans="1:29" ht="12.75" hidden="1" customHeight="1">
      <c r="A350" s="125" t="str">
        <f t="shared" si="34"/>
        <v>LIC163MANAGEMENT FEES - DIRECT GROWTH</v>
      </c>
      <c r="B350" s="125">
        <f>+IFERROR(VLOOKUP(L350,'DB Mapping'!A:D,4,0),0)</f>
        <v>6.1</v>
      </c>
      <c r="C350" s="125">
        <f>+IFERROR(VLOOKUP(L350,'DB Mapping'!A:C,3,0),0)</f>
        <v>6.3</v>
      </c>
      <c r="D350" s="125" t="str">
        <f t="shared" si="35"/>
        <v>LIC1636.1</v>
      </c>
      <c r="E350" s="125" t="str">
        <f t="shared" si="36"/>
        <v>LIC1636.3</v>
      </c>
      <c r="F350" s="150" t="s">
        <v>35</v>
      </c>
      <c r="G350" s="127" t="s">
        <v>453</v>
      </c>
      <c r="L350" s="212" t="s">
        <v>1808</v>
      </c>
      <c r="N350" s="212" t="s">
        <v>1675</v>
      </c>
      <c r="Z350" s="213">
        <v>460260.04</v>
      </c>
      <c r="AA350" s="213">
        <v>0</v>
      </c>
      <c r="AB350" s="152">
        <f t="shared" si="37"/>
        <v>4.6026003999999995E-2</v>
      </c>
      <c r="AC350" s="122" t="s">
        <v>1837</v>
      </c>
    </row>
    <row r="351" spans="1:29" ht="12.75" hidden="1" customHeight="1">
      <c r="A351" s="125" t="str">
        <f t="shared" si="34"/>
        <v>LIC163OTHER FEES - REGULAR DIV</v>
      </c>
      <c r="B351" s="125">
        <f>+IFERROR(VLOOKUP(L351,'DB Mapping'!A:D,4,0),0)</f>
        <v>0</v>
      </c>
      <c r="C351" s="125">
        <f>+IFERROR(VLOOKUP(L351,'DB Mapping'!A:C,3,0),0)</f>
        <v>6.3</v>
      </c>
      <c r="D351" s="125" t="str">
        <f t="shared" si="35"/>
        <v>LIC1630</v>
      </c>
      <c r="E351" s="125" t="str">
        <f t="shared" si="36"/>
        <v>LIC1636.3</v>
      </c>
      <c r="F351" s="150" t="s">
        <v>35</v>
      </c>
      <c r="G351" s="127" t="s">
        <v>453</v>
      </c>
      <c r="L351" s="212" t="s">
        <v>1762</v>
      </c>
      <c r="N351" s="212" t="s">
        <v>1676</v>
      </c>
      <c r="Z351" s="213">
        <v>38.07</v>
      </c>
      <c r="AA351" s="213">
        <v>0</v>
      </c>
      <c r="AB351" s="152">
        <f t="shared" si="37"/>
        <v>3.8070000000000001E-6</v>
      </c>
      <c r="AC351" s="122" t="s">
        <v>1837</v>
      </c>
    </row>
    <row r="352" spans="1:29" ht="12.75" hidden="1" customHeight="1">
      <c r="A352" s="125" t="str">
        <f t="shared" si="34"/>
        <v>LIC163OTHER FEES - REGULAR GROWTH</v>
      </c>
      <c r="B352" s="125">
        <f>+IFERROR(VLOOKUP(L352,'DB Mapping'!A:D,4,0),0)</f>
        <v>0</v>
      </c>
      <c r="C352" s="125">
        <f>+IFERROR(VLOOKUP(L352,'DB Mapping'!A:C,3,0),0)</f>
        <v>6.3</v>
      </c>
      <c r="D352" s="125" t="str">
        <f t="shared" si="35"/>
        <v>LIC1630</v>
      </c>
      <c r="E352" s="125" t="str">
        <f t="shared" si="36"/>
        <v>LIC1636.3</v>
      </c>
      <c r="F352" s="150" t="s">
        <v>35</v>
      </c>
      <c r="G352" s="127" t="s">
        <v>453</v>
      </c>
      <c r="L352" s="212" t="s">
        <v>1763</v>
      </c>
      <c r="N352" s="212" t="s">
        <v>1677</v>
      </c>
      <c r="Z352" s="213">
        <v>49348.43</v>
      </c>
      <c r="AA352" s="213">
        <v>0</v>
      </c>
      <c r="AB352" s="152">
        <f t="shared" si="37"/>
        <v>4.9348430000000004E-3</v>
      </c>
      <c r="AC352" s="122" t="s">
        <v>1837</v>
      </c>
    </row>
    <row r="353" spans="1:29" ht="12.75" hidden="1" customHeight="1">
      <c r="A353" s="125" t="str">
        <f t="shared" si="34"/>
        <v>LIC163OTHER FEES - DIRECT GROWTH</v>
      </c>
      <c r="B353" s="125">
        <f>+IFERROR(VLOOKUP(L353,'DB Mapping'!A:D,4,0),0)</f>
        <v>0</v>
      </c>
      <c r="C353" s="125">
        <f>+IFERROR(VLOOKUP(L353,'DB Mapping'!A:C,3,0),0)</f>
        <v>6.3</v>
      </c>
      <c r="D353" s="125" t="str">
        <f t="shared" si="35"/>
        <v>LIC1630</v>
      </c>
      <c r="E353" s="125" t="str">
        <f t="shared" si="36"/>
        <v>LIC1636.3</v>
      </c>
      <c r="F353" s="150" t="s">
        <v>35</v>
      </c>
      <c r="G353" s="127" t="s">
        <v>453</v>
      </c>
      <c r="L353" s="212" t="s">
        <v>1765</v>
      </c>
      <c r="N353" s="212" t="s">
        <v>1679</v>
      </c>
      <c r="Z353" s="213">
        <v>251051.19</v>
      </c>
      <c r="AA353" s="213">
        <v>0</v>
      </c>
      <c r="AB353" s="152">
        <f t="shared" si="37"/>
        <v>2.5105118999999999E-2</v>
      </c>
      <c r="AC353" s="122" t="s">
        <v>1837</v>
      </c>
    </row>
    <row r="354" spans="1:29" ht="12.75" hidden="1" customHeight="1">
      <c r="A354" s="125" t="str">
        <f t="shared" si="34"/>
        <v>LIC163OTHER FEES (SELLING &amp; DISTRIBUTION)</v>
      </c>
      <c r="B354" s="125">
        <f>+IFERROR(VLOOKUP(L354,'DB Mapping'!A:D,4,0),0)</f>
        <v>0</v>
      </c>
      <c r="C354" s="125">
        <f>+IFERROR(VLOOKUP(L354,'DB Mapping'!A:C,3,0),0)</f>
        <v>6.3</v>
      </c>
      <c r="D354" s="125" t="str">
        <f t="shared" si="35"/>
        <v>LIC1630</v>
      </c>
      <c r="E354" s="125" t="str">
        <f t="shared" si="36"/>
        <v>LIC1636.3</v>
      </c>
      <c r="F354" s="150" t="s">
        <v>35</v>
      </c>
      <c r="G354" s="127" t="s">
        <v>453</v>
      </c>
      <c r="L354" s="212" t="s">
        <v>1766</v>
      </c>
      <c r="N354" s="212" t="s">
        <v>1680</v>
      </c>
      <c r="Z354" s="213">
        <v>92196.68</v>
      </c>
      <c r="AA354" s="213">
        <v>0</v>
      </c>
      <c r="AB354" s="152">
        <f t="shared" si="37"/>
        <v>9.2196679999999986E-3</v>
      </c>
      <c r="AC354" s="122" t="s">
        <v>1837</v>
      </c>
    </row>
    <row r="355" spans="1:29" ht="12.75" hidden="1" customHeight="1">
      <c r="A355" s="125" t="str">
        <f t="shared" si="34"/>
        <v>LIC163SERVICE TAX - MANAGEMENT FEES</v>
      </c>
      <c r="B355" s="125">
        <f>+IFERROR(VLOOKUP(L355,'DB Mapping'!A:D,4,0),0)</f>
        <v>6.1</v>
      </c>
      <c r="C355" s="125">
        <f>+IFERROR(VLOOKUP(L355,'DB Mapping'!A:C,3,0),0)</f>
        <v>6.3</v>
      </c>
      <c r="D355" s="125" t="str">
        <f t="shared" si="35"/>
        <v>LIC1636.1</v>
      </c>
      <c r="E355" s="125" t="str">
        <f t="shared" si="36"/>
        <v>LIC1636.3</v>
      </c>
      <c r="F355" s="150" t="s">
        <v>35</v>
      </c>
      <c r="G355" s="127" t="s">
        <v>453</v>
      </c>
      <c r="L355" s="212" t="s">
        <v>1809</v>
      </c>
      <c r="N355" s="212" t="s">
        <v>1681</v>
      </c>
      <c r="Z355" s="213">
        <v>36126.03</v>
      </c>
      <c r="AA355" s="213">
        <v>0</v>
      </c>
      <c r="AB355" s="152">
        <f t="shared" si="37"/>
        <v>3.6126029999999998E-3</v>
      </c>
      <c r="AC355" s="122" t="s">
        <v>1837</v>
      </c>
    </row>
    <row r="356" spans="1:29" ht="12.75" hidden="1" customHeight="1">
      <c r="A356" s="125" t="str">
        <f t="shared" si="34"/>
        <v>LIC163CGST EXPENSE</v>
      </c>
      <c r="B356" s="125">
        <f>+IFERROR(VLOOKUP(L356,'DB Mapping'!A:D,4,0),0)</f>
        <v>6.1</v>
      </c>
      <c r="C356" s="125">
        <f>+IFERROR(VLOOKUP(L356,'DB Mapping'!A:C,3,0),0)</f>
        <v>6.3</v>
      </c>
      <c r="D356" s="125" t="str">
        <f t="shared" si="35"/>
        <v>LIC1636.1</v>
      </c>
      <c r="E356" s="125" t="str">
        <f t="shared" si="36"/>
        <v>LIC1636.3</v>
      </c>
      <c r="F356" s="150" t="s">
        <v>35</v>
      </c>
      <c r="G356" s="127" t="s">
        <v>453</v>
      </c>
      <c r="L356" s="212" t="s">
        <v>1767</v>
      </c>
      <c r="N356" s="212" t="s">
        <v>1682</v>
      </c>
      <c r="Z356" s="213">
        <v>47859.5</v>
      </c>
      <c r="AA356" s="213">
        <v>0</v>
      </c>
      <c r="AB356" s="152">
        <f t="shared" si="37"/>
        <v>4.7859499999999998E-3</v>
      </c>
      <c r="AC356" s="122" t="s">
        <v>1837</v>
      </c>
    </row>
    <row r="357" spans="1:29" ht="12.75" hidden="1" customHeight="1">
      <c r="A357" s="125" t="str">
        <f t="shared" si="34"/>
        <v>LIC163SGST EXPENSE</v>
      </c>
      <c r="B357" s="125">
        <f>+IFERROR(VLOOKUP(L357,'DB Mapping'!A:D,4,0),0)</f>
        <v>6.1</v>
      </c>
      <c r="C357" s="125">
        <f>+IFERROR(VLOOKUP(L357,'DB Mapping'!A:C,3,0),0)</f>
        <v>6.3</v>
      </c>
      <c r="D357" s="125" t="str">
        <f t="shared" si="35"/>
        <v>LIC1636.1</v>
      </c>
      <c r="E357" s="125" t="str">
        <f t="shared" si="36"/>
        <v>LIC1636.3</v>
      </c>
      <c r="F357" s="150" t="s">
        <v>35</v>
      </c>
      <c r="G357" s="127" t="s">
        <v>453</v>
      </c>
      <c r="L357" s="212" t="s">
        <v>1768</v>
      </c>
      <c r="N357" s="212" t="s">
        <v>1683</v>
      </c>
      <c r="Z357" s="213">
        <v>47859.5</v>
      </c>
      <c r="AA357" s="213">
        <v>0</v>
      </c>
      <c r="AB357" s="152">
        <f t="shared" si="37"/>
        <v>4.7859499999999998E-3</v>
      </c>
      <c r="AC357" s="122" t="s">
        <v>1837</v>
      </c>
    </row>
    <row r="358" spans="1:29" ht="12.75" hidden="1" customHeight="1">
      <c r="A358" s="125" t="str">
        <f t="shared" si="34"/>
        <v>LIC163EXPENSE ALLOCATION ACCOUNT</v>
      </c>
      <c r="B358" s="125">
        <f>+IFERROR(VLOOKUP(L358,'DB Mapping'!A:D,4,0),0)</f>
        <v>0</v>
      </c>
      <c r="C358" s="125">
        <f>+IFERROR(VLOOKUP(L358,'DB Mapping'!A:C,3,0),0)</f>
        <v>6.3</v>
      </c>
      <c r="D358" s="125" t="str">
        <f t="shared" si="35"/>
        <v>LIC1630</v>
      </c>
      <c r="E358" s="125" t="str">
        <f t="shared" si="36"/>
        <v>LIC1636.3</v>
      </c>
      <c r="F358" s="150" t="s">
        <v>35</v>
      </c>
      <c r="G358" s="127" t="s">
        <v>453</v>
      </c>
      <c r="L358" s="212" t="s">
        <v>1769</v>
      </c>
      <c r="N358" s="212" t="s">
        <v>1684</v>
      </c>
      <c r="Z358" s="213">
        <v>0</v>
      </c>
      <c r="AA358" s="213">
        <v>175901.98</v>
      </c>
      <c r="AB358" s="152">
        <f t="shared" si="37"/>
        <v>-1.7590198000000001E-2</v>
      </c>
      <c r="AC358" s="122" t="s">
        <v>1837</v>
      </c>
    </row>
    <row r="359" spans="1:29" ht="12.75" hidden="1" customHeight="1">
      <c r="A359" s="125" t="str">
        <f t="shared" si="34"/>
        <v>LIC163R&amp;T - OTHER CHARGES</v>
      </c>
      <c r="B359" s="125">
        <f>+IFERROR(VLOOKUP(L359,'DB Mapping'!A:D,4,0),0)</f>
        <v>0</v>
      </c>
      <c r="C359" s="125">
        <f>+IFERROR(VLOOKUP(L359,'DB Mapping'!A:C,3,0),0)</f>
        <v>6.3</v>
      </c>
      <c r="D359" s="125" t="str">
        <f t="shared" si="35"/>
        <v>LIC1630</v>
      </c>
      <c r="E359" s="125" t="str">
        <f t="shared" si="36"/>
        <v>LIC1636.3</v>
      </c>
      <c r="F359" s="150" t="s">
        <v>35</v>
      </c>
      <c r="G359" s="127" t="s">
        <v>453</v>
      </c>
      <c r="L359" s="212" t="s">
        <v>1770</v>
      </c>
      <c r="N359" s="212" t="s">
        <v>1685</v>
      </c>
      <c r="Z359" s="213">
        <v>399.63</v>
      </c>
      <c r="AA359" s="213">
        <v>0</v>
      </c>
      <c r="AB359" s="152">
        <f t="shared" si="37"/>
        <v>3.9962999999999997E-5</v>
      </c>
      <c r="AC359" s="122" t="s">
        <v>1837</v>
      </c>
    </row>
    <row r="360" spans="1:29" ht="12.75" hidden="1" customHeight="1">
      <c r="A360" s="125" t="str">
        <f t="shared" si="34"/>
        <v>LIC163AUDIT FEES</v>
      </c>
      <c r="B360" s="125">
        <f>+IFERROR(VLOOKUP(L360,'DB Mapping'!A:D,4,0),0)</f>
        <v>0</v>
      </c>
      <c r="C360" s="125">
        <f>+IFERROR(VLOOKUP(L360,'DB Mapping'!A:C,3,0),0)</f>
        <v>6.3</v>
      </c>
      <c r="D360" s="125" t="str">
        <f t="shared" si="35"/>
        <v>LIC1630</v>
      </c>
      <c r="E360" s="125" t="str">
        <f t="shared" si="36"/>
        <v>LIC1636.3</v>
      </c>
      <c r="F360" s="150" t="s">
        <v>35</v>
      </c>
      <c r="G360" s="127" t="s">
        <v>453</v>
      </c>
      <c r="L360" s="212" t="s">
        <v>1771</v>
      </c>
      <c r="N360" s="212" t="s">
        <v>1686</v>
      </c>
      <c r="Z360" s="213">
        <v>531.48</v>
      </c>
      <c r="AA360" s="213">
        <v>0</v>
      </c>
      <c r="AB360" s="152">
        <f t="shared" si="37"/>
        <v>5.3148E-5</v>
      </c>
      <c r="AC360" s="122" t="s">
        <v>1837</v>
      </c>
    </row>
    <row r="361" spans="1:29" ht="12.75" hidden="1" customHeight="1">
      <c r="A361" s="125" t="str">
        <f t="shared" si="34"/>
        <v>LIC163CUSTODIAN FEE</v>
      </c>
      <c r="B361" s="125">
        <f>+IFERROR(VLOOKUP(L361,'DB Mapping'!A:D,4,0),0)</f>
        <v>0</v>
      </c>
      <c r="C361" s="125">
        <f>+IFERROR(VLOOKUP(L361,'DB Mapping'!A:C,3,0),0)</f>
        <v>6.3</v>
      </c>
      <c r="D361" s="125" t="str">
        <f t="shared" si="35"/>
        <v>LIC1630</v>
      </c>
      <c r="E361" s="125" t="str">
        <f t="shared" si="36"/>
        <v>LIC1636.3</v>
      </c>
      <c r="F361" s="150" t="s">
        <v>35</v>
      </c>
      <c r="G361" s="127" t="s">
        <v>453</v>
      </c>
      <c r="L361" s="212" t="s">
        <v>1772</v>
      </c>
      <c r="N361" s="212" t="s">
        <v>1687</v>
      </c>
      <c r="Z361" s="213">
        <v>17142.43</v>
      </c>
      <c r="AA361" s="213">
        <v>0</v>
      </c>
      <c r="AB361" s="152">
        <f t="shared" si="37"/>
        <v>1.7142430000000001E-3</v>
      </c>
      <c r="AC361" s="122" t="s">
        <v>1837</v>
      </c>
    </row>
    <row r="362" spans="1:29" ht="12.75" hidden="1" customHeight="1">
      <c r="A362" s="125" t="str">
        <f t="shared" si="34"/>
        <v>LIC163TRUSTEE FEES</v>
      </c>
      <c r="B362" s="125">
        <f>+IFERROR(VLOOKUP(L362,'DB Mapping'!A:D,4,0),0)</f>
        <v>6.2</v>
      </c>
      <c r="C362" s="125">
        <f>+IFERROR(VLOOKUP(L362,'DB Mapping'!A:C,3,0),0)</f>
        <v>6.3</v>
      </c>
      <c r="D362" s="125" t="str">
        <f t="shared" si="35"/>
        <v>LIC1636.2</v>
      </c>
      <c r="E362" s="125" t="str">
        <f t="shared" si="36"/>
        <v>LIC1636.3</v>
      </c>
      <c r="F362" s="150" t="s">
        <v>35</v>
      </c>
      <c r="G362" s="127" t="s">
        <v>453</v>
      </c>
      <c r="L362" s="212" t="s">
        <v>1773</v>
      </c>
      <c r="N362" s="212" t="s">
        <v>1688</v>
      </c>
      <c r="Z362" s="213">
        <v>4835.83</v>
      </c>
      <c r="AA362" s="213">
        <v>0</v>
      </c>
      <c r="AB362" s="152">
        <f t="shared" si="37"/>
        <v>4.8358299999999999E-4</v>
      </c>
      <c r="AC362" s="122" t="s">
        <v>1837</v>
      </c>
    </row>
    <row r="363" spans="1:29" ht="12.75" hidden="1" customHeight="1">
      <c r="A363" s="125" t="str">
        <f t="shared" ref="A363:A368" si="38">+F363&amp;N363</f>
        <v>LIC163OTHER OPERATING EXPENSES</v>
      </c>
      <c r="B363" s="125">
        <f>+IFERROR(VLOOKUP(L363,'DB Mapping'!A:D,4,0),0)</f>
        <v>0</v>
      </c>
      <c r="C363" s="125">
        <f>+IFERROR(VLOOKUP(L363,'DB Mapping'!A:C,3,0),0)</f>
        <v>6.3</v>
      </c>
      <c r="D363" s="125" t="str">
        <f t="shared" ref="D363:D368" si="39">+F363&amp;B363</f>
        <v>LIC1630</v>
      </c>
      <c r="E363" s="125" t="str">
        <f t="shared" ref="E363:E368" si="40">+F363&amp;C363</f>
        <v>LIC1636.3</v>
      </c>
      <c r="F363" s="150" t="s">
        <v>35</v>
      </c>
      <c r="G363" s="127" t="s">
        <v>453</v>
      </c>
      <c r="L363" s="212" t="s">
        <v>1774</v>
      </c>
      <c r="N363" s="212" t="s">
        <v>1689</v>
      </c>
      <c r="Z363" s="213">
        <v>34.99</v>
      </c>
      <c r="AA363" s="213">
        <v>0</v>
      </c>
      <c r="AB363" s="152">
        <f t="shared" si="37"/>
        <v>3.4990000000000003E-6</v>
      </c>
      <c r="AC363" s="122" t="s">
        <v>1837</v>
      </c>
    </row>
    <row r="364" spans="1:29" ht="12.75" hidden="1" customHeight="1">
      <c r="A364" s="125" t="str">
        <f t="shared" si="38"/>
        <v>LIC163SEBI ANNUAL FEES EXPENSE</v>
      </c>
      <c r="B364" s="125">
        <f>+IFERROR(VLOOKUP(L364,'DB Mapping'!A:D,4,0),0)</f>
        <v>0</v>
      </c>
      <c r="C364" s="125">
        <f>+IFERROR(VLOOKUP(L364,'DB Mapping'!A:C,3,0),0)</f>
        <v>6.3</v>
      </c>
      <c r="D364" s="125" t="str">
        <f t="shared" si="39"/>
        <v>LIC1630</v>
      </c>
      <c r="E364" s="125" t="str">
        <f t="shared" si="40"/>
        <v>LIC1636.3</v>
      </c>
      <c r="F364" s="150" t="s">
        <v>35</v>
      </c>
      <c r="G364" s="127" t="s">
        <v>453</v>
      </c>
      <c r="L364" s="212" t="s">
        <v>1775</v>
      </c>
      <c r="N364" s="212" t="s">
        <v>1690</v>
      </c>
      <c r="Z364" s="213">
        <v>10869.52</v>
      </c>
      <c r="AA364" s="213">
        <v>0</v>
      </c>
      <c r="AB364" s="152">
        <f t="shared" ref="AB364:AB428" si="41">+(Z364-AA364)/10000000</f>
        <v>1.086952E-3</v>
      </c>
      <c r="AC364" s="122" t="s">
        <v>1837</v>
      </c>
    </row>
    <row r="365" spans="1:29" ht="12.75" hidden="1" customHeight="1">
      <c r="A365" s="125" t="str">
        <f t="shared" si="38"/>
        <v>LIC163CCIL CHARGES</v>
      </c>
      <c r="B365" s="125">
        <f>+IFERROR(VLOOKUP(L365,'DB Mapping'!A:D,4,0),0)</f>
        <v>0</v>
      </c>
      <c r="C365" s="125">
        <f>+IFERROR(VLOOKUP(L365,'DB Mapping'!A:C,3,0),0)</f>
        <v>6.3</v>
      </c>
      <c r="D365" s="125" t="str">
        <f t="shared" si="39"/>
        <v>LIC1630</v>
      </c>
      <c r="E365" s="125" t="str">
        <f t="shared" si="40"/>
        <v>LIC1636.3</v>
      </c>
      <c r="F365" s="150" t="s">
        <v>35</v>
      </c>
      <c r="G365" s="127" t="s">
        <v>453</v>
      </c>
      <c r="L365" s="212" t="s">
        <v>1777</v>
      </c>
      <c r="N365" s="212" t="s">
        <v>1691</v>
      </c>
      <c r="Z365" s="213">
        <v>36361.160000000003</v>
      </c>
      <c r="AA365" s="213">
        <v>0</v>
      </c>
      <c r="AB365" s="152">
        <f t="shared" si="41"/>
        <v>3.6361160000000004E-3</v>
      </c>
      <c r="AC365" s="122" t="s">
        <v>1837</v>
      </c>
    </row>
    <row r="366" spans="1:29" ht="12.75" hidden="1" customHeight="1">
      <c r="A366" s="125" t="str">
        <f t="shared" si="38"/>
        <v>LIC163INTERNAL AUDIT FEES</v>
      </c>
      <c r="B366" s="125">
        <f>+IFERROR(VLOOKUP(L366,'DB Mapping'!A:D,4,0),0)</f>
        <v>0</v>
      </c>
      <c r="C366" s="125">
        <f>+IFERROR(VLOOKUP(L366,'DB Mapping'!A:C,3,0),0)</f>
        <v>6.3</v>
      </c>
      <c r="D366" s="125" t="str">
        <f t="shared" si="39"/>
        <v>LIC1630</v>
      </c>
      <c r="E366" s="125" t="str">
        <f t="shared" si="40"/>
        <v>LIC1636.3</v>
      </c>
      <c r="F366" s="150" t="s">
        <v>35</v>
      </c>
      <c r="G366" s="127" t="s">
        <v>453</v>
      </c>
      <c r="L366" s="212" t="s">
        <v>1778</v>
      </c>
      <c r="N366" s="212" t="s">
        <v>1692</v>
      </c>
      <c r="Z366" s="213">
        <v>5580.8</v>
      </c>
      <c r="AA366" s="213">
        <v>0</v>
      </c>
      <c r="AB366" s="152">
        <f t="shared" si="41"/>
        <v>5.5807999999999997E-4</v>
      </c>
      <c r="AC366" s="122" t="s">
        <v>1837</v>
      </c>
    </row>
    <row r="367" spans="1:29" ht="12.75" hidden="1" customHeight="1">
      <c r="A367" s="125" t="str">
        <f t="shared" si="38"/>
        <v>LIC163INVESTOR EDUCATION FUND EXPENSE</v>
      </c>
      <c r="B367" s="125">
        <f>+IFERROR(VLOOKUP(L367,'DB Mapping'!A:D,4,0),0)</f>
        <v>0</v>
      </c>
      <c r="C367" s="125">
        <f>+IFERROR(VLOOKUP(L367,'DB Mapping'!A:C,3,0),0)</f>
        <v>6.3</v>
      </c>
      <c r="D367" s="125" t="str">
        <f t="shared" si="39"/>
        <v>LIC1630</v>
      </c>
      <c r="E367" s="125" t="str">
        <f t="shared" si="40"/>
        <v>LIC1636.3</v>
      </c>
      <c r="F367" s="150" t="s">
        <v>35</v>
      </c>
      <c r="G367" s="127" t="s">
        <v>453</v>
      </c>
      <c r="L367" s="212" t="s">
        <v>1780</v>
      </c>
      <c r="N367" s="212" t="s">
        <v>1694</v>
      </c>
      <c r="Z367" s="213">
        <v>50073.07</v>
      </c>
      <c r="AA367" s="213">
        <v>0</v>
      </c>
      <c r="AB367" s="152">
        <f t="shared" si="41"/>
        <v>5.0073069999999999E-3</v>
      </c>
      <c r="AC367" s="122" t="s">
        <v>1837</v>
      </c>
    </row>
    <row r="368" spans="1:29" ht="12.75" hidden="1" customHeight="1">
      <c r="A368" s="125" t="str">
        <f t="shared" si="38"/>
        <v>LIC163INVESTOR EDUCATION FUND EXPENSE - AMFI</v>
      </c>
      <c r="B368" s="125">
        <f>+IFERROR(VLOOKUP(L368,'DB Mapping'!A:D,4,0),0)</f>
        <v>0</v>
      </c>
      <c r="C368" s="125">
        <f>+IFERROR(VLOOKUP(L368,'DB Mapping'!A:C,3,0),0)</f>
        <v>6.3</v>
      </c>
      <c r="D368" s="125" t="str">
        <f t="shared" si="39"/>
        <v>LIC1630</v>
      </c>
      <c r="E368" s="125" t="str">
        <f t="shared" si="40"/>
        <v>LIC1636.3</v>
      </c>
      <c r="F368" s="150" t="s">
        <v>35</v>
      </c>
      <c r="G368" s="127" t="s">
        <v>453</v>
      </c>
      <c r="L368" s="212" t="s">
        <v>1781</v>
      </c>
      <c r="N368" s="212" t="s">
        <v>1695</v>
      </c>
      <c r="Z368" s="213">
        <v>50073.07</v>
      </c>
      <c r="AA368" s="213">
        <v>0</v>
      </c>
      <c r="AB368" s="152">
        <f t="shared" si="41"/>
        <v>5.0073069999999999E-3</v>
      </c>
      <c r="AC368" s="122" t="s">
        <v>1837</v>
      </c>
    </row>
    <row r="369" spans="1:29" ht="12.75" hidden="1" customHeight="1">
      <c r="A369" s="125" t="str">
        <f t="shared" ref="A369:A432" si="42">+F369&amp;N369</f>
        <v/>
      </c>
      <c r="B369" s="125">
        <f>+IFERROR(VLOOKUP(L369,'DB Mapping'!A:D,4,0),0)</f>
        <v>0</v>
      </c>
      <c r="C369" s="125">
        <f>+IFERROR(VLOOKUP(L369,'DB Mapping'!A:C,3,0),0)</f>
        <v>0</v>
      </c>
      <c r="D369" s="125" t="str">
        <f t="shared" ref="D369:D432" si="43">+F369&amp;B369</f>
        <v>0</v>
      </c>
      <c r="E369" s="125" t="str">
        <f t="shared" ref="E369:E432" si="44">+F369&amp;C369</f>
        <v>0</v>
      </c>
      <c r="F369" s="150"/>
      <c r="L369" s="155"/>
      <c r="N369" s="156"/>
      <c r="Z369" s="154"/>
      <c r="AA369" s="154"/>
      <c r="AB369" s="152"/>
      <c r="AC369" s="122" t="s">
        <v>1837</v>
      </c>
    </row>
    <row r="370" spans="1:29" ht="12.75" hidden="1" customHeight="1">
      <c r="A370" s="125" t="str">
        <f t="shared" si="42"/>
        <v>LIC164INVESTMENTS - CBLO</v>
      </c>
      <c r="B370" s="125">
        <f>+IFERROR(VLOOKUP(L370,'DB Mapping'!A:D,4,0),0)</f>
        <v>0</v>
      </c>
      <c r="C370" s="125">
        <f>+IFERROR(VLOOKUP(L370,'DB Mapping'!A:C,3,0),0)</f>
        <v>0</v>
      </c>
      <c r="D370" s="125" t="str">
        <f t="shared" si="43"/>
        <v>LIC1640</v>
      </c>
      <c r="E370" s="125" t="str">
        <f t="shared" si="44"/>
        <v>LIC1640</v>
      </c>
      <c r="F370" s="150" t="s">
        <v>36</v>
      </c>
      <c r="G370" s="127" t="s">
        <v>453</v>
      </c>
      <c r="L370" s="212" t="s">
        <v>1711</v>
      </c>
      <c r="N370" s="212" t="s">
        <v>1606</v>
      </c>
      <c r="Z370" s="213">
        <v>829458512.69000006</v>
      </c>
      <c r="AA370" s="213">
        <v>0</v>
      </c>
      <c r="AB370" s="152">
        <f t="shared" si="41"/>
        <v>82.945851269000002</v>
      </c>
      <c r="AC370" s="122" t="s">
        <v>1837</v>
      </c>
    </row>
    <row r="371" spans="1:29" ht="12.75" hidden="1" customHeight="1">
      <c r="A371" s="125" t="str">
        <f t="shared" si="42"/>
        <v>LIC164INVESTMENTS - DEBENTURES</v>
      </c>
      <c r="B371" s="125">
        <f>+IFERROR(VLOOKUP(L371,'DB Mapping'!A:D,4,0),0)</f>
        <v>0</v>
      </c>
      <c r="C371" s="125">
        <f>+IFERROR(VLOOKUP(L371,'DB Mapping'!A:C,3,0),0)</f>
        <v>0</v>
      </c>
      <c r="D371" s="125" t="str">
        <f t="shared" si="43"/>
        <v>LIC1640</v>
      </c>
      <c r="E371" s="125" t="str">
        <f t="shared" si="44"/>
        <v>LIC1640</v>
      </c>
      <c r="F371" s="150" t="s">
        <v>36</v>
      </c>
      <c r="G371" s="127" t="s">
        <v>453</v>
      </c>
      <c r="L371" s="212" t="s">
        <v>1810</v>
      </c>
      <c r="N371" s="212" t="s">
        <v>1608</v>
      </c>
      <c r="Z371" s="213">
        <v>0</v>
      </c>
      <c r="AA371" s="213">
        <v>0</v>
      </c>
      <c r="AB371" s="152">
        <f t="shared" si="41"/>
        <v>0</v>
      </c>
      <c r="AC371" s="122" t="s">
        <v>1837</v>
      </c>
    </row>
    <row r="372" spans="1:29" ht="12.75" hidden="1" customHeight="1">
      <c r="A372" s="125" t="str">
        <f t="shared" si="42"/>
        <v>LIC164INVESTMENTS - ZERO COUPON BOND</v>
      </c>
      <c r="B372" s="125">
        <f>+IFERROR(VLOOKUP(L372,'DB Mapping'!A:D,4,0),0)</f>
        <v>0</v>
      </c>
      <c r="C372" s="125">
        <f>+IFERROR(VLOOKUP(L372,'DB Mapping'!A:C,3,0),0)</f>
        <v>0</v>
      </c>
      <c r="D372" s="125" t="str">
        <f t="shared" si="43"/>
        <v>LIC1640</v>
      </c>
      <c r="E372" s="125" t="str">
        <f t="shared" si="44"/>
        <v>LIC1640</v>
      </c>
      <c r="F372" s="150" t="s">
        <v>36</v>
      </c>
      <c r="G372" s="127" t="s">
        <v>453</v>
      </c>
      <c r="L372" s="212" t="s">
        <v>1811</v>
      </c>
      <c r="N372" s="212" t="s">
        <v>1696</v>
      </c>
      <c r="Z372" s="213">
        <v>0</v>
      </c>
      <c r="AA372" s="213">
        <v>0</v>
      </c>
      <c r="AB372" s="152">
        <f t="shared" si="41"/>
        <v>0</v>
      </c>
      <c r="AC372" s="122" t="s">
        <v>1837</v>
      </c>
    </row>
    <row r="373" spans="1:29" ht="12.75" hidden="1" customHeight="1">
      <c r="A373" s="125" t="str">
        <f t="shared" si="42"/>
        <v>LIC164UNREALISED APP/DEP - DEBENTURES</v>
      </c>
      <c r="B373" s="125">
        <f>+IFERROR(VLOOKUP(L373,'DB Mapping'!A:D,4,0),0)</f>
        <v>0</v>
      </c>
      <c r="C373" s="125">
        <f>+IFERROR(VLOOKUP(L373,'DB Mapping'!A:C,3,0),0)</f>
        <v>0</v>
      </c>
      <c r="D373" s="125" t="str">
        <f t="shared" si="43"/>
        <v>LIC1640</v>
      </c>
      <c r="E373" s="125" t="str">
        <f t="shared" si="44"/>
        <v>LIC1640</v>
      </c>
      <c r="F373" s="150" t="s">
        <v>36</v>
      </c>
      <c r="G373" s="127" t="s">
        <v>453</v>
      </c>
      <c r="L373" s="212" t="s">
        <v>1812</v>
      </c>
      <c r="N373" s="212" t="s">
        <v>1610</v>
      </c>
      <c r="Z373" s="213">
        <v>0</v>
      </c>
      <c r="AA373" s="213">
        <v>0</v>
      </c>
      <c r="AB373" s="152">
        <f t="shared" si="41"/>
        <v>0</v>
      </c>
      <c r="AC373" s="122" t="s">
        <v>1837</v>
      </c>
    </row>
    <row r="374" spans="1:29" ht="12.75" hidden="1" customHeight="1">
      <c r="A374" s="125" t="str">
        <f t="shared" si="42"/>
        <v>LIC164UNREALISED APP/DEP - ZERO COUPON BOND</v>
      </c>
      <c r="B374" s="125">
        <f>+IFERROR(VLOOKUP(L374,'DB Mapping'!A:D,4,0),0)</f>
        <v>0</v>
      </c>
      <c r="C374" s="125">
        <f>+IFERROR(VLOOKUP(L374,'DB Mapping'!A:C,3,0),0)</f>
        <v>0</v>
      </c>
      <c r="D374" s="125" t="str">
        <f t="shared" si="43"/>
        <v>LIC1640</v>
      </c>
      <c r="E374" s="125" t="str">
        <f t="shared" si="44"/>
        <v>LIC1640</v>
      </c>
      <c r="F374" s="150" t="s">
        <v>36</v>
      </c>
      <c r="G374" s="127" t="s">
        <v>453</v>
      </c>
      <c r="L374" s="212" t="s">
        <v>1813</v>
      </c>
      <c r="N374" s="212" t="s">
        <v>1697</v>
      </c>
      <c r="Z374" s="213">
        <v>0</v>
      </c>
      <c r="AA374" s="213">
        <v>0</v>
      </c>
      <c r="AB374" s="152">
        <f t="shared" si="41"/>
        <v>0</v>
      </c>
      <c r="AC374" s="122" t="s">
        <v>1837</v>
      </c>
    </row>
    <row r="375" spans="1:29" ht="12.75" hidden="1" customHeight="1">
      <c r="A375" s="125" t="str">
        <f t="shared" si="42"/>
        <v>LIC164INVESTMENTS - REPO TRANSACTIONS</v>
      </c>
      <c r="B375" s="125">
        <f>+IFERROR(VLOOKUP(L375,'DB Mapping'!A:D,4,0),0)</f>
        <v>0</v>
      </c>
      <c r="C375" s="125">
        <f>+IFERROR(VLOOKUP(L375,'DB Mapping'!A:C,3,0),0)</f>
        <v>0</v>
      </c>
      <c r="D375" s="125" t="str">
        <f t="shared" si="43"/>
        <v>LIC1640</v>
      </c>
      <c r="E375" s="125" t="str">
        <f t="shared" si="44"/>
        <v>LIC1640</v>
      </c>
      <c r="F375" s="150" t="s">
        <v>36</v>
      </c>
      <c r="G375" s="127" t="s">
        <v>453</v>
      </c>
      <c r="L375" s="212" t="s">
        <v>1790</v>
      </c>
      <c r="N375" s="212" t="s">
        <v>1611</v>
      </c>
      <c r="Z375" s="213">
        <v>0</v>
      </c>
      <c r="AA375" s="213">
        <v>0</v>
      </c>
      <c r="AB375" s="152">
        <f t="shared" si="41"/>
        <v>0</v>
      </c>
      <c r="AC375" s="122" t="s">
        <v>1837</v>
      </c>
    </row>
    <row r="376" spans="1:29" ht="12.75" hidden="1" customHeight="1">
      <c r="A376" s="125" t="str">
        <f t="shared" si="42"/>
        <v>LIC164HDFC BANK CURRENT ACCOUNT</v>
      </c>
      <c r="B376" s="125">
        <f>+IFERROR(VLOOKUP(L376,'DB Mapping'!A:D,4,0),0)</f>
        <v>0</v>
      </c>
      <c r="C376" s="125">
        <f>+IFERROR(VLOOKUP(L376,'DB Mapping'!A:C,3,0),0)</f>
        <v>0</v>
      </c>
      <c r="D376" s="125" t="str">
        <f t="shared" si="43"/>
        <v>LIC1640</v>
      </c>
      <c r="E376" s="125" t="str">
        <f t="shared" si="44"/>
        <v>LIC1640</v>
      </c>
      <c r="F376" s="150" t="s">
        <v>36</v>
      </c>
      <c r="G376" s="127" t="s">
        <v>453</v>
      </c>
      <c r="L376" s="212" t="s">
        <v>1712</v>
      </c>
      <c r="N376" s="212" t="s">
        <v>1612</v>
      </c>
      <c r="Z376" s="213">
        <v>0</v>
      </c>
      <c r="AA376" s="213">
        <v>1.1200000000000001</v>
      </c>
      <c r="AB376" s="152">
        <f t="shared" si="41"/>
        <v>-1.1200000000000001E-7</v>
      </c>
      <c r="AC376" s="122" t="s">
        <v>1837</v>
      </c>
    </row>
    <row r="377" spans="1:29" ht="12.75" hidden="1" customHeight="1">
      <c r="A377" s="125" t="str">
        <f t="shared" si="42"/>
        <v>LIC164HDFC BANK</v>
      </c>
      <c r="B377" s="125">
        <f>+IFERROR(VLOOKUP(L377,'DB Mapping'!A:D,4,0),0)</f>
        <v>0</v>
      </c>
      <c r="C377" s="125">
        <f>+IFERROR(VLOOKUP(L377,'DB Mapping'!A:C,3,0),0)</f>
        <v>0</v>
      </c>
      <c r="D377" s="125" t="str">
        <f t="shared" si="43"/>
        <v>LIC1640</v>
      </c>
      <c r="E377" s="125" t="str">
        <f t="shared" si="44"/>
        <v>LIC1640</v>
      </c>
      <c r="F377" s="150" t="s">
        <v>36</v>
      </c>
      <c r="G377" s="127" t="s">
        <v>453</v>
      </c>
      <c r="L377" s="212" t="s">
        <v>1793</v>
      </c>
      <c r="N377" s="212" t="s">
        <v>1613</v>
      </c>
      <c r="Z377" s="213">
        <v>0</v>
      </c>
      <c r="AA377" s="213">
        <v>0.02</v>
      </c>
      <c r="AB377" s="152">
        <f t="shared" si="41"/>
        <v>-2.0000000000000001E-9</v>
      </c>
      <c r="AC377" s="122" t="s">
        <v>1837</v>
      </c>
    </row>
    <row r="378" spans="1:29" ht="12.75" hidden="1" customHeight="1">
      <c r="A378" s="125" t="str">
        <f t="shared" si="42"/>
        <v>LIC164REDEMPTION RECEIVABLE - CBLO</v>
      </c>
      <c r="B378" s="125">
        <f>+IFERROR(VLOOKUP(L378,'DB Mapping'!A:D,4,0),0)</f>
        <v>0</v>
      </c>
      <c r="C378" s="125">
        <f>+IFERROR(VLOOKUP(L378,'DB Mapping'!A:C,3,0),0)</f>
        <v>0</v>
      </c>
      <c r="D378" s="125" t="str">
        <f t="shared" si="43"/>
        <v>LIC1640</v>
      </c>
      <c r="E378" s="125" t="str">
        <f t="shared" si="44"/>
        <v>LIC1640</v>
      </c>
      <c r="F378" s="150" t="s">
        <v>36</v>
      </c>
      <c r="G378" s="127" t="s">
        <v>453</v>
      </c>
      <c r="L378" s="212" t="s">
        <v>1713</v>
      </c>
      <c r="N378" s="212" t="s">
        <v>1615</v>
      </c>
      <c r="Z378" s="213">
        <v>0</v>
      </c>
      <c r="AA378" s="213">
        <v>0</v>
      </c>
      <c r="AB378" s="152">
        <f t="shared" si="41"/>
        <v>0</v>
      </c>
      <c r="AC378" s="122" t="s">
        <v>1837</v>
      </c>
    </row>
    <row r="379" spans="1:29" ht="12.75" hidden="1" customHeight="1">
      <c r="A379" s="125" t="str">
        <f t="shared" si="42"/>
        <v>LIC164REDEMPTION RECEIVABLE - DEBENTURES</v>
      </c>
      <c r="B379" s="125">
        <f>+IFERROR(VLOOKUP(L379,'DB Mapping'!A:D,4,0),0)</f>
        <v>0</v>
      </c>
      <c r="C379" s="125">
        <f>+IFERROR(VLOOKUP(L379,'DB Mapping'!A:C,3,0),0)</f>
        <v>0</v>
      </c>
      <c r="D379" s="125" t="str">
        <f t="shared" si="43"/>
        <v>LIC1640</v>
      </c>
      <c r="E379" s="125" t="str">
        <f t="shared" si="44"/>
        <v>LIC1640</v>
      </c>
      <c r="F379" s="150" t="s">
        <v>36</v>
      </c>
      <c r="G379" s="127" t="s">
        <v>453</v>
      </c>
      <c r="L379" s="212" t="s">
        <v>1814</v>
      </c>
      <c r="N379" s="212" t="s">
        <v>1616</v>
      </c>
      <c r="Z379" s="213">
        <v>0</v>
      </c>
      <c r="AA379" s="213">
        <v>0</v>
      </c>
      <c r="AB379" s="152">
        <f t="shared" si="41"/>
        <v>0</v>
      </c>
      <c r="AC379" s="122" t="s">
        <v>1837</v>
      </c>
    </row>
    <row r="380" spans="1:29" ht="12.75" hidden="1" customHeight="1">
      <c r="A380" s="125" t="str">
        <f t="shared" si="42"/>
        <v>LIC164REDEMPTION RECEIVABLE - ZERO COUPON BOND</v>
      </c>
      <c r="B380" s="125">
        <f>+IFERROR(VLOOKUP(L380,'DB Mapping'!A:D,4,0),0)</f>
        <v>0</v>
      </c>
      <c r="C380" s="125">
        <f>+IFERROR(VLOOKUP(L380,'DB Mapping'!A:C,3,0),0)</f>
        <v>0</v>
      </c>
      <c r="D380" s="125" t="str">
        <f t="shared" si="43"/>
        <v>LIC1640</v>
      </c>
      <c r="E380" s="125" t="str">
        <f t="shared" si="44"/>
        <v>LIC1640</v>
      </c>
      <c r="F380" s="150" t="s">
        <v>36</v>
      </c>
      <c r="G380" s="127" t="s">
        <v>453</v>
      </c>
      <c r="L380" s="212" t="s">
        <v>1815</v>
      </c>
      <c r="N380" s="212" t="s">
        <v>1698</v>
      </c>
      <c r="Z380" s="213">
        <v>0</v>
      </c>
      <c r="AA380" s="213">
        <v>0</v>
      </c>
      <c r="AB380" s="152">
        <f t="shared" si="41"/>
        <v>0</v>
      </c>
      <c r="AC380" s="122" t="s">
        <v>1837</v>
      </c>
    </row>
    <row r="381" spans="1:29" ht="12.75" hidden="1" customHeight="1">
      <c r="A381" s="125" t="str">
        <f t="shared" si="42"/>
        <v>LIC164INTEREST ACCRUED/NOT DUE - DEBENTURES</v>
      </c>
      <c r="B381" s="125">
        <f>+IFERROR(VLOOKUP(L381,'DB Mapping'!A:D,4,0),0)</f>
        <v>0</v>
      </c>
      <c r="C381" s="125">
        <f>+IFERROR(VLOOKUP(L381,'DB Mapping'!A:C,3,0),0)</f>
        <v>0</v>
      </c>
      <c r="D381" s="125" t="str">
        <f t="shared" si="43"/>
        <v>LIC1640</v>
      </c>
      <c r="E381" s="125" t="str">
        <f t="shared" si="44"/>
        <v>LIC1640</v>
      </c>
      <c r="F381" s="150" t="s">
        <v>36</v>
      </c>
      <c r="G381" s="127" t="s">
        <v>453</v>
      </c>
      <c r="L381" s="212" t="s">
        <v>1816</v>
      </c>
      <c r="N381" s="212" t="s">
        <v>1618</v>
      </c>
      <c r="Z381" s="213">
        <v>0</v>
      </c>
      <c r="AA381" s="213">
        <v>0</v>
      </c>
      <c r="AB381" s="152">
        <f t="shared" si="41"/>
        <v>0</v>
      </c>
      <c r="AC381" s="122" t="s">
        <v>1837</v>
      </c>
    </row>
    <row r="382" spans="1:29" ht="12.75" hidden="1" customHeight="1">
      <c r="A382" s="125" t="str">
        <f t="shared" si="42"/>
        <v>LIC164INTEREST ACCRUED AND DUE - DEBENTURES</v>
      </c>
      <c r="B382" s="125">
        <f>+IFERROR(VLOOKUP(L382,'DB Mapping'!A:D,4,0),0)</f>
        <v>0</v>
      </c>
      <c r="C382" s="125">
        <f>+IFERROR(VLOOKUP(L382,'DB Mapping'!A:C,3,0),0)</f>
        <v>0</v>
      </c>
      <c r="D382" s="125" t="str">
        <f t="shared" si="43"/>
        <v>LIC1640</v>
      </c>
      <c r="E382" s="125" t="str">
        <f t="shared" si="44"/>
        <v>LIC1640</v>
      </c>
      <c r="F382" s="150" t="s">
        <v>36</v>
      </c>
      <c r="G382" s="127" t="s">
        <v>453</v>
      </c>
      <c r="L382" s="212" t="s">
        <v>1817</v>
      </c>
      <c r="N382" s="212" t="s">
        <v>1619</v>
      </c>
      <c r="Z382" s="213">
        <v>0</v>
      </c>
      <c r="AA382" s="213">
        <v>0</v>
      </c>
      <c r="AB382" s="152">
        <f t="shared" si="41"/>
        <v>0</v>
      </c>
      <c r="AC382" s="122" t="s">
        <v>1837</v>
      </c>
    </row>
    <row r="383" spans="1:29" ht="12.75" hidden="1" customHeight="1">
      <c r="A383" s="125" t="str">
        <f t="shared" si="42"/>
        <v>LIC164INTEREST RECEIVABLE - REPO TRANSACTIONS</v>
      </c>
      <c r="B383" s="125">
        <f>+IFERROR(VLOOKUP(L383,'DB Mapping'!A:D,4,0),0)</f>
        <v>0</v>
      </c>
      <c r="C383" s="125">
        <f>+IFERROR(VLOOKUP(L383,'DB Mapping'!A:C,3,0),0)</f>
        <v>0</v>
      </c>
      <c r="D383" s="125" t="str">
        <f t="shared" si="43"/>
        <v>LIC1640</v>
      </c>
      <c r="E383" s="125" t="str">
        <f t="shared" si="44"/>
        <v>LIC1640</v>
      </c>
      <c r="F383" s="150" t="s">
        <v>36</v>
      </c>
      <c r="G383" s="127" t="s">
        <v>453</v>
      </c>
      <c r="L383" s="212" t="s">
        <v>1794</v>
      </c>
      <c r="N383" s="212" t="s">
        <v>1620</v>
      </c>
      <c r="Z383" s="213">
        <v>0</v>
      </c>
      <c r="AA383" s="213">
        <v>0</v>
      </c>
      <c r="AB383" s="152">
        <f t="shared" si="41"/>
        <v>0</v>
      </c>
      <c r="AC383" s="122" t="s">
        <v>1837</v>
      </c>
    </row>
    <row r="384" spans="1:29" ht="12.75" hidden="1" customHeight="1">
      <c r="A384" s="125" t="str">
        <f t="shared" si="42"/>
        <v>LIC164AMORTISATION RECEIVABLE - CBLO</v>
      </c>
      <c r="B384" s="125">
        <f>+IFERROR(VLOOKUP(L384,'DB Mapping'!A:D,4,0),0)</f>
        <v>0</v>
      </c>
      <c r="C384" s="125">
        <f>+IFERROR(VLOOKUP(L384,'DB Mapping'!A:C,3,0),0)</f>
        <v>0</v>
      </c>
      <c r="D384" s="125" t="str">
        <f t="shared" si="43"/>
        <v>LIC1640</v>
      </c>
      <c r="E384" s="125" t="str">
        <f t="shared" si="44"/>
        <v>LIC1640</v>
      </c>
      <c r="F384" s="150" t="s">
        <v>36</v>
      </c>
      <c r="G384" s="127" t="s">
        <v>453</v>
      </c>
      <c r="L384" s="212" t="s">
        <v>1715</v>
      </c>
      <c r="N384" s="212" t="s">
        <v>1621</v>
      </c>
      <c r="Z384" s="213">
        <v>134297.29999999999</v>
      </c>
      <c r="AA384" s="213">
        <v>0</v>
      </c>
      <c r="AB384" s="152">
        <f t="shared" si="41"/>
        <v>1.3429729999999999E-2</v>
      </c>
      <c r="AC384" s="122" t="s">
        <v>1837</v>
      </c>
    </row>
    <row r="385" spans="1:29" ht="12.75" hidden="1" customHeight="1">
      <c r="A385" s="125" t="str">
        <f t="shared" si="42"/>
        <v>LIC164AMORTISATION RECEIVABLE - DEBENTURES</v>
      </c>
      <c r="B385" s="125">
        <f>+IFERROR(VLOOKUP(L385,'DB Mapping'!A:D,4,0),0)</f>
        <v>0</v>
      </c>
      <c r="C385" s="125">
        <f>+IFERROR(VLOOKUP(L385,'DB Mapping'!A:C,3,0),0)</f>
        <v>0</v>
      </c>
      <c r="D385" s="125" t="str">
        <f t="shared" si="43"/>
        <v>LIC1640</v>
      </c>
      <c r="E385" s="125" t="str">
        <f t="shared" si="44"/>
        <v>LIC1640</v>
      </c>
      <c r="F385" s="150" t="s">
        <v>36</v>
      </c>
      <c r="G385" s="127" t="s">
        <v>453</v>
      </c>
      <c r="L385" s="212" t="s">
        <v>1818</v>
      </c>
      <c r="N385" s="212" t="s">
        <v>1622</v>
      </c>
      <c r="Z385" s="213">
        <v>0</v>
      </c>
      <c r="AA385" s="213">
        <v>0</v>
      </c>
      <c r="AB385" s="152">
        <f t="shared" si="41"/>
        <v>0</v>
      </c>
      <c r="AC385" s="122" t="s">
        <v>1837</v>
      </c>
    </row>
    <row r="386" spans="1:29" ht="12.75" hidden="1" customHeight="1">
      <c r="A386" s="125" t="str">
        <f t="shared" si="42"/>
        <v>LIC164AMORTISATION RECEIVABLE - ZERO COUPON BOND</v>
      </c>
      <c r="B386" s="125">
        <f>+IFERROR(VLOOKUP(L386,'DB Mapping'!A:D,4,0),0)</f>
        <v>0</v>
      </c>
      <c r="C386" s="125">
        <f>+IFERROR(VLOOKUP(L386,'DB Mapping'!A:C,3,0),0)</f>
        <v>0</v>
      </c>
      <c r="D386" s="125" t="str">
        <f t="shared" si="43"/>
        <v>LIC1640</v>
      </c>
      <c r="E386" s="125" t="str">
        <f t="shared" si="44"/>
        <v>LIC1640</v>
      </c>
      <c r="F386" s="150" t="s">
        <v>36</v>
      </c>
      <c r="G386" s="127" t="s">
        <v>453</v>
      </c>
      <c r="L386" s="212" t="s">
        <v>1819</v>
      </c>
      <c r="N386" s="212" t="s">
        <v>1699</v>
      </c>
      <c r="Z386" s="213">
        <v>0</v>
      </c>
      <c r="AA386" s="213">
        <v>0</v>
      </c>
      <c r="AB386" s="152">
        <f t="shared" si="41"/>
        <v>0</v>
      </c>
      <c r="AC386" s="122" t="s">
        <v>1837</v>
      </c>
    </row>
    <row r="387" spans="1:29" ht="12.75" hidden="1" customHeight="1">
      <c r="A387" s="125" t="str">
        <f t="shared" si="42"/>
        <v>LIC164CCIL SETTLEMENT A/C</v>
      </c>
      <c r="B387" s="125">
        <f>+IFERROR(VLOOKUP(L387,'DB Mapping'!A:D,4,0),0)</f>
        <v>0</v>
      </c>
      <c r="C387" s="125">
        <f>+IFERROR(VLOOKUP(L387,'DB Mapping'!A:C,3,0),0)</f>
        <v>0</v>
      </c>
      <c r="D387" s="125" t="str">
        <f t="shared" si="43"/>
        <v>LIC1640</v>
      </c>
      <c r="E387" s="125" t="str">
        <f t="shared" si="44"/>
        <v>LIC1640</v>
      </c>
      <c r="F387" s="150" t="s">
        <v>36</v>
      </c>
      <c r="G387" s="127" t="s">
        <v>453</v>
      </c>
      <c r="L387" s="212" t="s">
        <v>1717</v>
      </c>
      <c r="N387" s="212" t="s">
        <v>1624</v>
      </c>
      <c r="Z387" s="213">
        <v>134297.35</v>
      </c>
      <c r="AA387" s="213">
        <v>0</v>
      </c>
      <c r="AB387" s="152">
        <f t="shared" si="41"/>
        <v>1.3429735E-2</v>
      </c>
      <c r="AC387" s="122" t="s">
        <v>1837</v>
      </c>
    </row>
    <row r="388" spans="1:29" ht="12.75" hidden="1" customHeight="1">
      <c r="A388" s="125" t="str">
        <f t="shared" si="42"/>
        <v>LIC164SETTLEMENT PAYABLE</v>
      </c>
      <c r="B388" s="125">
        <f>+IFERROR(VLOOKUP(L388,'DB Mapping'!A:D,4,0),0)</f>
        <v>0</v>
      </c>
      <c r="C388" s="125">
        <f>+IFERROR(VLOOKUP(L388,'DB Mapping'!A:C,3,0),0)</f>
        <v>0</v>
      </c>
      <c r="D388" s="125" t="str">
        <f t="shared" si="43"/>
        <v>LIC1640</v>
      </c>
      <c r="E388" s="125" t="str">
        <f t="shared" si="44"/>
        <v>LIC1640</v>
      </c>
      <c r="F388" s="150" t="s">
        <v>36</v>
      </c>
      <c r="G388" s="127" t="s">
        <v>453</v>
      </c>
      <c r="L388" s="212" t="s">
        <v>1718</v>
      </c>
      <c r="N388" s="212" t="s">
        <v>1625</v>
      </c>
      <c r="Z388" s="213">
        <v>0</v>
      </c>
      <c r="AA388" s="213">
        <v>0</v>
      </c>
      <c r="AB388" s="152">
        <f t="shared" si="41"/>
        <v>0</v>
      </c>
      <c r="AC388" s="122" t="s">
        <v>1837</v>
      </c>
    </row>
    <row r="389" spans="1:29" ht="12.75" hidden="1" customHeight="1">
      <c r="A389" s="125" t="str">
        <f t="shared" si="42"/>
        <v>LIC164EXPENSE ALLOCATION - LIABILITY ACCOUNT</v>
      </c>
      <c r="B389" s="125">
        <f>+IFERROR(VLOOKUP(L389,'DB Mapping'!A:D,4,0),0)</f>
        <v>0</v>
      </c>
      <c r="C389" s="125">
        <f>+IFERROR(VLOOKUP(L389,'DB Mapping'!A:C,3,0),0)</f>
        <v>0</v>
      </c>
      <c r="D389" s="125" t="str">
        <f t="shared" si="43"/>
        <v>LIC1640</v>
      </c>
      <c r="E389" s="125" t="str">
        <f t="shared" si="44"/>
        <v>LIC1640</v>
      </c>
      <c r="F389" s="150" t="s">
        <v>36</v>
      </c>
      <c r="G389" s="127" t="s">
        <v>453</v>
      </c>
      <c r="L389" s="212" t="s">
        <v>1720</v>
      </c>
      <c r="N389" s="212" t="s">
        <v>1626</v>
      </c>
      <c r="Z389" s="213">
        <v>185886.68</v>
      </c>
      <c r="AA389" s="213">
        <v>0</v>
      </c>
      <c r="AB389" s="152">
        <f t="shared" si="41"/>
        <v>1.8588667999999999E-2</v>
      </c>
      <c r="AC389" s="122" t="s">
        <v>1837</v>
      </c>
    </row>
    <row r="390" spans="1:29" ht="12.75" hidden="1" customHeight="1">
      <c r="A390" s="125" t="str">
        <f t="shared" si="42"/>
        <v>LIC164PAYABLE - UNITS DIVIDEND TAX</v>
      </c>
      <c r="B390" s="125">
        <f>+IFERROR(VLOOKUP(L390,'DB Mapping'!A:D,4,0),0)</f>
        <v>0</v>
      </c>
      <c r="C390" s="125">
        <f>+IFERROR(VLOOKUP(L390,'DB Mapping'!A:C,3,0),0)</f>
        <v>0</v>
      </c>
      <c r="D390" s="125" t="str">
        <f t="shared" si="43"/>
        <v>LIC1640</v>
      </c>
      <c r="E390" s="125" t="str">
        <f t="shared" si="44"/>
        <v>LIC1640</v>
      </c>
      <c r="F390" s="150" t="s">
        <v>36</v>
      </c>
      <c r="G390" s="127" t="s">
        <v>453</v>
      </c>
      <c r="L390" s="212" t="s">
        <v>1721</v>
      </c>
      <c r="N390" s="212" t="s">
        <v>1627</v>
      </c>
      <c r="Z390" s="213">
        <v>0</v>
      </c>
      <c r="AA390" s="213">
        <v>10861</v>
      </c>
      <c r="AB390" s="152">
        <f t="shared" si="41"/>
        <v>-1.0861E-3</v>
      </c>
      <c r="AC390" s="122" t="s">
        <v>1837</v>
      </c>
    </row>
    <row r="391" spans="1:29" ht="12.75" hidden="1" customHeight="1">
      <c r="A391" s="125" t="str">
        <f t="shared" si="42"/>
        <v>LIC164PAYABLE - AUDIT FEES</v>
      </c>
      <c r="B391" s="125">
        <f>+IFERROR(VLOOKUP(L391,'DB Mapping'!A:D,4,0),0)</f>
        <v>0</v>
      </c>
      <c r="C391" s="125">
        <f>+IFERROR(VLOOKUP(L391,'DB Mapping'!A:C,3,0),0)</f>
        <v>0</v>
      </c>
      <c r="D391" s="125" t="str">
        <f t="shared" si="43"/>
        <v>LIC1640</v>
      </c>
      <c r="E391" s="125" t="str">
        <f t="shared" si="44"/>
        <v>LIC1640</v>
      </c>
      <c r="F391" s="150" t="s">
        <v>36</v>
      </c>
      <c r="G391" s="127" t="s">
        <v>453</v>
      </c>
      <c r="L391" s="212" t="s">
        <v>1722</v>
      </c>
      <c r="N391" s="212" t="s">
        <v>1628</v>
      </c>
      <c r="Z391" s="213">
        <v>237.3</v>
      </c>
      <c r="AA391" s="213">
        <v>0</v>
      </c>
      <c r="AB391" s="152">
        <f t="shared" si="41"/>
        <v>2.3730000000000001E-5</v>
      </c>
      <c r="AC391" s="122" t="s">
        <v>1837</v>
      </c>
    </row>
    <row r="392" spans="1:29" ht="12.75" hidden="1" customHeight="1">
      <c r="A392" s="125" t="str">
        <f t="shared" si="42"/>
        <v>LIC164PAYABLE - TDS ON EXPENSES</v>
      </c>
      <c r="B392" s="125">
        <f>+IFERROR(VLOOKUP(L392,'DB Mapping'!A:D,4,0),0)</f>
        <v>0</v>
      </c>
      <c r="C392" s="125">
        <f>+IFERROR(VLOOKUP(L392,'DB Mapping'!A:C,3,0),0)</f>
        <v>0</v>
      </c>
      <c r="D392" s="125" t="str">
        <f t="shared" si="43"/>
        <v>LIC1640</v>
      </c>
      <c r="E392" s="125" t="str">
        <f t="shared" si="44"/>
        <v>LIC1640</v>
      </c>
      <c r="F392" s="150" t="s">
        <v>36</v>
      </c>
      <c r="G392" s="127" t="s">
        <v>453</v>
      </c>
      <c r="L392" s="212" t="s">
        <v>1724</v>
      </c>
      <c r="N392" s="212" t="s">
        <v>1629</v>
      </c>
      <c r="Z392" s="213">
        <v>0</v>
      </c>
      <c r="AA392" s="213">
        <v>110.68</v>
      </c>
      <c r="AB392" s="152">
        <f t="shared" si="41"/>
        <v>-1.1068000000000001E-5</v>
      </c>
      <c r="AC392" s="122" t="s">
        <v>1837</v>
      </c>
    </row>
    <row r="393" spans="1:29" ht="12.75" hidden="1" customHeight="1">
      <c r="A393" s="125" t="str">
        <f t="shared" si="42"/>
        <v>LIC164TRANSACTION CHARGES PAYABLE - UNIT CAPITAL</v>
      </c>
      <c r="B393" s="125">
        <f>+IFERROR(VLOOKUP(L393,'DB Mapping'!A:D,4,0),0)</f>
        <v>0</v>
      </c>
      <c r="C393" s="125">
        <f>+IFERROR(VLOOKUP(L393,'DB Mapping'!A:C,3,0),0)</f>
        <v>0</v>
      </c>
      <c r="D393" s="125" t="str">
        <f t="shared" si="43"/>
        <v>LIC1640</v>
      </c>
      <c r="E393" s="125" t="str">
        <f t="shared" si="44"/>
        <v>LIC1640</v>
      </c>
      <c r="F393" s="150" t="s">
        <v>36</v>
      </c>
      <c r="G393" s="127" t="s">
        <v>453</v>
      </c>
      <c r="L393" s="212" t="s">
        <v>1726</v>
      </c>
      <c r="N393" s="212" t="s">
        <v>1630</v>
      </c>
      <c r="Z393" s="213">
        <v>0</v>
      </c>
      <c r="AA393" s="213">
        <v>200</v>
      </c>
      <c r="AB393" s="152">
        <f t="shared" si="41"/>
        <v>-2.0000000000000002E-5</v>
      </c>
      <c r="AC393" s="122" t="s">
        <v>1837</v>
      </c>
    </row>
    <row r="394" spans="1:29" ht="12.75" hidden="1" customHeight="1">
      <c r="A394" s="125" t="str">
        <f t="shared" si="42"/>
        <v>LIC164PAYABLE - TDS ON WORKS CONTRACT</v>
      </c>
      <c r="B394" s="125">
        <f>+IFERROR(VLOOKUP(L394,'DB Mapping'!A:D,4,0),0)</f>
        <v>0</v>
      </c>
      <c r="C394" s="125">
        <f>+IFERROR(VLOOKUP(L394,'DB Mapping'!A:C,3,0),0)</f>
        <v>0</v>
      </c>
      <c r="D394" s="125" t="str">
        <f t="shared" si="43"/>
        <v>LIC1640</v>
      </c>
      <c r="E394" s="125" t="str">
        <f t="shared" si="44"/>
        <v>LIC1640</v>
      </c>
      <c r="F394" s="150" t="s">
        <v>36</v>
      </c>
      <c r="G394" s="127" t="s">
        <v>453</v>
      </c>
      <c r="L394" s="212" t="s">
        <v>1795</v>
      </c>
      <c r="N394" s="212" t="s">
        <v>1631</v>
      </c>
      <c r="Z394" s="213">
        <v>0</v>
      </c>
      <c r="AA394" s="213">
        <v>0</v>
      </c>
      <c r="AB394" s="152">
        <f t="shared" si="41"/>
        <v>0</v>
      </c>
      <c r="AC394" s="122" t="s">
        <v>1837</v>
      </c>
    </row>
    <row r="395" spans="1:29" ht="12.75" hidden="1" customHeight="1">
      <c r="A395" s="125" t="str">
        <f t="shared" si="42"/>
        <v>LIC164PAYABLE - MANAGEMENT FEES</v>
      </c>
      <c r="B395" s="125">
        <f>+IFERROR(VLOOKUP(L395,'DB Mapping'!A:D,4,0),0)</f>
        <v>0</v>
      </c>
      <c r="C395" s="125">
        <f>+IFERROR(VLOOKUP(L395,'DB Mapping'!A:C,3,0),0)</f>
        <v>0</v>
      </c>
      <c r="D395" s="125" t="str">
        <f t="shared" si="43"/>
        <v>LIC1640</v>
      </c>
      <c r="E395" s="125" t="str">
        <f t="shared" si="44"/>
        <v>LIC1640</v>
      </c>
      <c r="F395" s="150" t="s">
        <v>36</v>
      </c>
      <c r="G395" s="127" t="s">
        <v>453</v>
      </c>
      <c r="L395" s="212" t="s">
        <v>1727</v>
      </c>
      <c r="N395" s="212" t="s">
        <v>1632</v>
      </c>
      <c r="Z395" s="213">
        <v>0</v>
      </c>
      <c r="AA395" s="213">
        <v>9995.7000000000007</v>
      </c>
      <c r="AB395" s="152">
        <f t="shared" si="41"/>
        <v>-9.9956999999999997E-4</v>
      </c>
      <c r="AC395" s="122" t="s">
        <v>1837</v>
      </c>
    </row>
    <row r="396" spans="1:29" ht="12.75" hidden="1" customHeight="1">
      <c r="A396" s="125" t="str">
        <f t="shared" si="42"/>
        <v>LIC164PAYABLE - OTHER FEES</v>
      </c>
      <c r="B396" s="125">
        <f>+IFERROR(VLOOKUP(L396,'DB Mapping'!A:D,4,0),0)</f>
        <v>0</v>
      </c>
      <c r="C396" s="125">
        <f>+IFERROR(VLOOKUP(L396,'DB Mapping'!A:C,3,0),0)</f>
        <v>0</v>
      </c>
      <c r="D396" s="125" t="str">
        <f t="shared" si="43"/>
        <v>LIC1640</v>
      </c>
      <c r="E396" s="125" t="str">
        <f t="shared" si="44"/>
        <v>LIC1640</v>
      </c>
      <c r="F396" s="150" t="s">
        <v>36</v>
      </c>
      <c r="G396" s="127" t="s">
        <v>453</v>
      </c>
      <c r="L396" s="212" t="s">
        <v>1728</v>
      </c>
      <c r="N396" s="212" t="s">
        <v>1633</v>
      </c>
      <c r="Z396" s="213">
        <v>0</v>
      </c>
      <c r="AA396" s="213">
        <v>307602.24</v>
      </c>
      <c r="AB396" s="152">
        <f t="shared" si="41"/>
        <v>-3.0760223999999999E-2</v>
      </c>
      <c r="AC396" s="122" t="s">
        <v>1837</v>
      </c>
    </row>
    <row r="397" spans="1:29" ht="12.75" hidden="1" customHeight="1">
      <c r="A397" s="125" t="str">
        <f t="shared" si="42"/>
        <v>LIC164PAYABLE - OTHER FEES (SELLING &amp; DISTRIBUTION)</v>
      </c>
      <c r="B397" s="125">
        <f>+IFERROR(VLOOKUP(L397,'DB Mapping'!A:D,4,0),0)</f>
        <v>0</v>
      </c>
      <c r="C397" s="125">
        <f>+IFERROR(VLOOKUP(L397,'DB Mapping'!A:C,3,0),0)</f>
        <v>0</v>
      </c>
      <c r="D397" s="125" t="str">
        <f t="shared" si="43"/>
        <v>LIC1640</v>
      </c>
      <c r="E397" s="125" t="str">
        <f t="shared" si="44"/>
        <v>LIC1640</v>
      </c>
      <c r="F397" s="150" t="s">
        <v>36</v>
      </c>
      <c r="G397" s="127" t="s">
        <v>453</v>
      </c>
      <c r="L397" s="212" t="s">
        <v>1729</v>
      </c>
      <c r="N397" s="212" t="s">
        <v>1634</v>
      </c>
      <c r="Z397" s="213">
        <v>0</v>
      </c>
      <c r="AA397" s="213">
        <v>186913.55</v>
      </c>
      <c r="AB397" s="152">
        <f t="shared" si="41"/>
        <v>-1.8691355E-2</v>
      </c>
      <c r="AC397" s="122" t="s">
        <v>1837</v>
      </c>
    </row>
    <row r="398" spans="1:29" ht="12.75" hidden="1" customHeight="1">
      <c r="A398" s="125" t="str">
        <f t="shared" si="42"/>
        <v>LIC164PAYABLE - INTERNAL AUDIT FEES</v>
      </c>
      <c r="B398" s="125">
        <f>+IFERROR(VLOOKUP(L398,'DB Mapping'!A:D,4,0),0)</f>
        <v>0</v>
      </c>
      <c r="C398" s="125">
        <f>+IFERROR(VLOOKUP(L398,'DB Mapping'!A:C,3,0),0)</f>
        <v>0</v>
      </c>
      <c r="D398" s="125" t="str">
        <f t="shared" si="43"/>
        <v>LIC1640</v>
      </c>
      <c r="E398" s="125" t="str">
        <f t="shared" si="44"/>
        <v>LIC1640</v>
      </c>
      <c r="F398" s="150" t="s">
        <v>36</v>
      </c>
      <c r="G398" s="127" t="s">
        <v>453</v>
      </c>
      <c r="L398" s="212" t="s">
        <v>1732</v>
      </c>
      <c r="N398" s="212" t="s">
        <v>1637</v>
      </c>
      <c r="Z398" s="213">
        <v>0</v>
      </c>
      <c r="AA398" s="213">
        <v>2728.03</v>
      </c>
      <c r="AB398" s="152">
        <f t="shared" si="41"/>
        <v>-2.7280300000000001E-4</v>
      </c>
      <c r="AC398" s="122" t="s">
        <v>1837</v>
      </c>
    </row>
    <row r="399" spans="1:29" ht="12.75" hidden="1" customHeight="1">
      <c r="A399" s="125" t="str">
        <f t="shared" si="42"/>
        <v>LIC164CGST EXPS PAYABLE ON MFEES</v>
      </c>
      <c r="B399" s="125">
        <f>+IFERROR(VLOOKUP(L399,'DB Mapping'!A:D,4,0),0)</f>
        <v>0</v>
      </c>
      <c r="C399" s="125">
        <f>+IFERROR(VLOOKUP(L399,'DB Mapping'!A:C,3,0),0)</f>
        <v>0</v>
      </c>
      <c r="D399" s="125" t="str">
        <f t="shared" si="43"/>
        <v>LIC1640</v>
      </c>
      <c r="E399" s="125" t="str">
        <f t="shared" si="44"/>
        <v>LIC1640</v>
      </c>
      <c r="F399" s="150" t="s">
        <v>36</v>
      </c>
      <c r="G399" s="127" t="s">
        <v>453</v>
      </c>
      <c r="L399" s="212" t="s">
        <v>1733</v>
      </c>
      <c r="N399" s="212" t="s">
        <v>1638</v>
      </c>
      <c r="Z399" s="213">
        <v>0</v>
      </c>
      <c r="AA399" s="213">
        <v>899.63</v>
      </c>
      <c r="AB399" s="152">
        <f t="shared" si="41"/>
        <v>-8.9963000000000006E-5</v>
      </c>
      <c r="AC399" s="122" t="s">
        <v>1837</v>
      </c>
    </row>
    <row r="400" spans="1:29" ht="12.75" hidden="1" customHeight="1">
      <c r="A400" s="125" t="str">
        <f t="shared" si="42"/>
        <v>LIC164SGST EXPS PAYABLE ON MFEES</v>
      </c>
      <c r="B400" s="125">
        <f>+IFERROR(VLOOKUP(L400,'DB Mapping'!A:D,4,0),0)</f>
        <v>0</v>
      </c>
      <c r="C400" s="125">
        <f>+IFERROR(VLOOKUP(L400,'DB Mapping'!A:C,3,0),0)</f>
        <v>0</v>
      </c>
      <c r="D400" s="125" t="str">
        <f t="shared" si="43"/>
        <v>LIC1640</v>
      </c>
      <c r="E400" s="125" t="str">
        <f t="shared" si="44"/>
        <v>LIC1640</v>
      </c>
      <c r="F400" s="150" t="s">
        <v>36</v>
      </c>
      <c r="G400" s="127" t="s">
        <v>453</v>
      </c>
      <c r="L400" s="212" t="s">
        <v>1734</v>
      </c>
      <c r="N400" s="212" t="s">
        <v>1639</v>
      </c>
      <c r="Z400" s="213">
        <v>0</v>
      </c>
      <c r="AA400" s="213">
        <v>899.63</v>
      </c>
      <c r="AB400" s="152">
        <f t="shared" si="41"/>
        <v>-8.9963000000000006E-5</v>
      </c>
      <c r="AC400" s="122" t="s">
        <v>1837</v>
      </c>
    </row>
    <row r="401" spans="1:29" ht="12.75" hidden="1" customHeight="1">
      <c r="A401" s="125" t="str">
        <f t="shared" si="42"/>
        <v>LIC164PAYABLE - INVESTOR EDUCATION FUND</v>
      </c>
      <c r="B401" s="125">
        <f>+IFERROR(VLOOKUP(L401,'DB Mapping'!A:D,4,0),0)</f>
        <v>0</v>
      </c>
      <c r="C401" s="125">
        <f>+IFERROR(VLOOKUP(L401,'DB Mapping'!A:C,3,0),0)</f>
        <v>0</v>
      </c>
      <c r="D401" s="125" t="str">
        <f t="shared" si="43"/>
        <v>LIC1640</v>
      </c>
      <c r="E401" s="125" t="str">
        <f t="shared" si="44"/>
        <v>LIC1640</v>
      </c>
      <c r="F401" s="150" t="s">
        <v>36</v>
      </c>
      <c r="G401" s="127" t="s">
        <v>453</v>
      </c>
      <c r="L401" s="212" t="s">
        <v>1735</v>
      </c>
      <c r="N401" s="212" t="s">
        <v>1640</v>
      </c>
      <c r="Z401" s="213">
        <v>0</v>
      </c>
      <c r="AA401" s="213">
        <v>3631.41</v>
      </c>
      <c r="AB401" s="152">
        <f t="shared" si="41"/>
        <v>-3.6314099999999998E-4</v>
      </c>
      <c r="AC401" s="122" t="s">
        <v>1837</v>
      </c>
    </row>
    <row r="402" spans="1:29" ht="12.75" hidden="1" customHeight="1">
      <c r="A402" s="125" t="str">
        <f t="shared" si="42"/>
        <v>LIC164PAYABLE - INVESTOR EDUCATION FUND - AMFI</v>
      </c>
      <c r="B402" s="125">
        <f>+IFERROR(VLOOKUP(L402,'DB Mapping'!A:D,4,0),0)</f>
        <v>0</v>
      </c>
      <c r="C402" s="125">
        <f>+IFERROR(VLOOKUP(L402,'DB Mapping'!A:C,3,0),0)</f>
        <v>0</v>
      </c>
      <c r="D402" s="125" t="str">
        <f t="shared" si="43"/>
        <v>LIC1640</v>
      </c>
      <c r="E402" s="125" t="str">
        <f t="shared" si="44"/>
        <v>LIC1640</v>
      </c>
      <c r="F402" s="150" t="s">
        <v>36</v>
      </c>
      <c r="G402" s="127" t="s">
        <v>453</v>
      </c>
      <c r="L402" s="212" t="s">
        <v>1737</v>
      </c>
      <c r="N402" s="212" t="s">
        <v>1641</v>
      </c>
      <c r="Z402" s="213">
        <v>0</v>
      </c>
      <c r="AA402" s="213">
        <v>3631.41</v>
      </c>
      <c r="AB402" s="152">
        <f t="shared" si="41"/>
        <v>-3.6314099999999998E-4</v>
      </c>
      <c r="AC402" s="122" t="s">
        <v>1837</v>
      </c>
    </row>
    <row r="403" spans="1:29" ht="12.75" hidden="1" customHeight="1">
      <c r="A403" s="125" t="str">
        <f t="shared" si="42"/>
        <v>LIC164DIVIDEND DISTRIBUTION PAYABLE</v>
      </c>
      <c r="B403" s="125">
        <f>+IFERROR(VLOOKUP(L403,'DB Mapping'!A:D,4,0),0)</f>
        <v>0</v>
      </c>
      <c r="C403" s="125">
        <f>+IFERROR(VLOOKUP(L403,'DB Mapping'!A:C,3,0),0)</f>
        <v>0</v>
      </c>
      <c r="D403" s="125" t="str">
        <f t="shared" si="43"/>
        <v>LIC1640</v>
      </c>
      <c r="E403" s="125" t="str">
        <f t="shared" si="44"/>
        <v>LIC1640</v>
      </c>
      <c r="F403" s="150" t="s">
        <v>36</v>
      </c>
      <c r="G403" s="127" t="s">
        <v>453</v>
      </c>
      <c r="L403" s="212" t="s">
        <v>1741</v>
      </c>
      <c r="N403" s="212" t="s">
        <v>1645</v>
      </c>
      <c r="Z403" s="213">
        <v>0</v>
      </c>
      <c r="AA403" s="213">
        <v>28245.93</v>
      </c>
      <c r="AB403" s="152">
        <f t="shared" si="41"/>
        <v>-2.8245930000000002E-3</v>
      </c>
      <c r="AC403" s="122" t="s">
        <v>1837</v>
      </c>
    </row>
    <row r="404" spans="1:29" ht="12.75" hidden="1" customHeight="1">
      <c r="A404" s="125" t="str">
        <f t="shared" si="42"/>
        <v>LIC164PROVISION FOR OPERATING EXPENSES</v>
      </c>
      <c r="B404" s="125">
        <f>+IFERROR(VLOOKUP(L404,'DB Mapping'!A:D,4,0),0)</f>
        <v>0</v>
      </c>
      <c r="C404" s="125">
        <f>+IFERROR(VLOOKUP(L404,'DB Mapping'!A:C,3,0),0)</f>
        <v>0</v>
      </c>
      <c r="D404" s="125" t="str">
        <f t="shared" si="43"/>
        <v>LIC1640</v>
      </c>
      <c r="E404" s="125" t="str">
        <f t="shared" si="44"/>
        <v>LIC1640</v>
      </c>
      <c r="F404" s="150" t="s">
        <v>36</v>
      </c>
      <c r="G404" s="127" t="s">
        <v>453</v>
      </c>
      <c r="L404" s="212" t="s">
        <v>1798</v>
      </c>
      <c r="N404" s="212" t="s">
        <v>1647</v>
      </c>
      <c r="Z404" s="213">
        <v>0</v>
      </c>
      <c r="AA404" s="213">
        <v>15810.2</v>
      </c>
      <c r="AB404" s="152">
        <f t="shared" si="41"/>
        <v>-1.58102E-3</v>
      </c>
      <c r="AC404" s="122" t="s">
        <v>1837</v>
      </c>
    </row>
    <row r="405" spans="1:29" ht="12.75" hidden="1" customHeight="1">
      <c r="A405" s="125" t="str">
        <f t="shared" si="42"/>
        <v>LIC164UNIT CAPITAL - REGULAR DIV</v>
      </c>
      <c r="B405" s="125">
        <f>+IFERROR(VLOOKUP(L405,'DB Mapping'!A:D,4,0),0)</f>
        <v>0</v>
      </c>
      <c r="C405" s="125" t="str">
        <f>+IFERROR(VLOOKUP(L405,'DB Mapping'!A:C,3,0),0)</f>
        <v>Unit Capital</v>
      </c>
      <c r="D405" s="125" t="str">
        <f t="shared" si="43"/>
        <v>LIC1640</v>
      </c>
      <c r="E405" s="125" t="str">
        <f t="shared" si="44"/>
        <v>LIC164Unit Capital</v>
      </c>
      <c r="F405" s="150" t="s">
        <v>36</v>
      </c>
      <c r="G405" s="127" t="s">
        <v>453</v>
      </c>
      <c r="L405" s="212" t="s">
        <v>1746</v>
      </c>
      <c r="N405" s="212" t="s">
        <v>1651</v>
      </c>
      <c r="Z405" s="213">
        <v>0</v>
      </c>
      <c r="AA405" s="213">
        <v>45000</v>
      </c>
      <c r="AB405" s="152">
        <f t="shared" si="41"/>
        <v>-4.4999999999999997E-3</v>
      </c>
      <c r="AC405" s="122" t="s">
        <v>1837</v>
      </c>
    </row>
    <row r="406" spans="1:29" ht="12.75" hidden="1" customHeight="1">
      <c r="A406" s="125" t="str">
        <f t="shared" si="42"/>
        <v>LIC164UNIT CAPITAL - REGULAR GROWTH</v>
      </c>
      <c r="B406" s="125">
        <f>+IFERROR(VLOOKUP(L406,'DB Mapping'!A:D,4,0),0)</f>
        <v>0</v>
      </c>
      <c r="C406" s="125" t="str">
        <f>+IFERROR(VLOOKUP(L406,'DB Mapping'!A:C,3,0),0)</f>
        <v>Unit Capital</v>
      </c>
      <c r="D406" s="125" t="str">
        <f t="shared" si="43"/>
        <v>LIC1640</v>
      </c>
      <c r="E406" s="125" t="str">
        <f t="shared" si="44"/>
        <v>LIC164Unit Capital</v>
      </c>
      <c r="F406" s="150" t="s">
        <v>36</v>
      </c>
      <c r="G406" s="127" t="s">
        <v>453</v>
      </c>
      <c r="L406" s="212" t="s">
        <v>1747</v>
      </c>
      <c r="N406" s="212" t="s">
        <v>1652</v>
      </c>
      <c r="Z406" s="213">
        <v>0</v>
      </c>
      <c r="AA406" s="213">
        <v>181431537.62</v>
      </c>
      <c r="AB406" s="152">
        <f t="shared" si="41"/>
        <v>-18.143153762000001</v>
      </c>
      <c r="AC406" s="122" t="s">
        <v>1837</v>
      </c>
    </row>
    <row r="407" spans="1:29" ht="12.75" hidden="1" customHeight="1">
      <c r="A407" s="125" t="str">
        <f t="shared" si="42"/>
        <v>LIC164UNIT CAPITAL - DIRECT DIVIDEND</v>
      </c>
      <c r="B407" s="125">
        <f>+IFERROR(VLOOKUP(L407,'DB Mapping'!A:D,4,0),0)</f>
        <v>0</v>
      </c>
      <c r="C407" s="125" t="str">
        <f>+IFERROR(VLOOKUP(L407,'DB Mapping'!A:C,3,0),0)</f>
        <v>Unit Capital</v>
      </c>
      <c r="D407" s="125" t="str">
        <f t="shared" si="43"/>
        <v>LIC1640</v>
      </c>
      <c r="E407" s="125" t="str">
        <f t="shared" si="44"/>
        <v>LIC164Unit Capital</v>
      </c>
      <c r="F407" s="150" t="s">
        <v>36</v>
      </c>
      <c r="G407" s="127" t="s">
        <v>453</v>
      </c>
      <c r="L407" s="212" t="s">
        <v>1748</v>
      </c>
      <c r="N407" s="212" t="s">
        <v>1653</v>
      </c>
      <c r="Z407" s="213">
        <v>0</v>
      </c>
      <c r="AA407" s="213">
        <v>100000</v>
      </c>
      <c r="AB407" s="152">
        <f t="shared" si="41"/>
        <v>-0.01</v>
      </c>
      <c r="AC407" s="122" t="s">
        <v>1837</v>
      </c>
    </row>
    <row r="408" spans="1:29" ht="12.75" hidden="1" customHeight="1">
      <c r="A408" s="125" t="str">
        <f t="shared" si="42"/>
        <v>LIC164UNIT CAPITAL - DIRECT GROWTH</v>
      </c>
      <c r="B408" s="125">
        <f>+IFERROR(VLOOKUP(L408,'DB Mapping'!A:D,4,0),0)</f>
        <v>0</v>
      </c>
      <c r="C408" s="125" t="str">
        <f>+IFERROR(VLOOKUP(L408,'DB Mapping'!A:C,3,0),0)</f>
        <v>Unit Capital</v>
      </c>
      <c r="D408" s="125" t="str">
        <f t="shared" si="43"/>
        <v>LIC1640</v>
      </c>
      <c r="E408" s="125" t="str">
        <f t="shared" si="44"/>
        <v>LIC164Unit Capital</v>
      </c>
      <c r="F408" s="150" t="s">
        <v>36</v>
      </c>
      <c r="G408" s="127" t="s">
        <v>453</v>
      </c>
      <c r="L408" s="212" t="s">
        <v>1749</v>
      </c>
      <c r="N408" s="212" t="s">
        <v>1654</v>
      </c>
      <c r="Z408" s="213">
        <v>0</v>
      </c>
      <c r="AA408" s="213">
        <v>471379716.14999998</v>
      </c>
      <c r="AB408" s="152">
        <f t="shared" si="41"/>
        <v>-47.137971614999998</v>
      </c>
      <c r="AC408" s="122" t="s">
        <v>1837</v>
      </c>
    </row>
    <row r="409" spans="1:29" ht="12.75" hidden="1" customHeight="1">
      <c r="A409" s="125" t="str">
        <f t="shared" si="42"/>
        <v>LIC164RESERVES &amp; SURPLUS</v>
      </c>
      <c r="B409" s="125">
        <f>+IFERROR(VLOOKUP(L409,'DB Mapping'!A:D,4,0),0)</f>
        <v>0</v>
      </c>
      <c r="C409" s="125">
        <f>+IFERROR(VLOOKUP(L409,'DB Mapping'!A:C,3,0),0)</f>
        <v>0</v>
      </c>
      <c r="D409" s="125" t="str">
        <f t="shared" si="43"/>
        <v>LIC1640</v>
      </c>
      <c r="E409" s="125" t="str">
        <f t="shared" si="44"/>
        <v>LIC1640</v>
      </c>
      <c r="F409" s="150" t="s">
        <v>36</v>
      </c>
      <c r="G409" s="127" t="s">
        <v>453</v>
      </c>
      <c r="L409" s="212" t="s">
        <v>1752</v>
      </c>
      <c r="N409" s="212" t="s">
        <v>1656</v>
      </c>
      <c r="Z409" s="213">
        <v>0</v>
      </c>
      <c r="AA409" s="213">
        <v>145616509.69</v>
      </c>
      <c r="AB409" s="152">
        <f t="shared" si="41"/>
        <v>-14.561650969</v>
      </c>
      <c r="AC409" s="122" t="s">
        <v>1837</v>
      </c>
    </row>
    <row r="410" spans="1:29" ht="12.75" hidden="1" customHeight="1">
      <c r="A410" s="125" t="str">
        <f t="shared" si="42"/>
        <v>LIC164DIV DISTRIBUTION - REGULAR DIV</v>
      </c>
      <c r="B410" s="125">
        <f>+IFERROR(VLOOKUP(L410,'DB Mapping'!A:D,4,0),0)</f>
        <v>0</v>
      </c>
      <c r="C410" s="125">
        <f>+IFERROR(VLOOKUP(L410,'DB Mapping'!A:C,3,0),0)</f>
        <v>0</v>
      </c>
      <c r="D410" s="125" t="str">
        <f t="shared" si="43"/>
        <v>LIC1640</v>
      </c>
      <c r="E410" s="125" t="str">
        <f t="shared" si="44"/>
        <v>LIC1640</v>
      </c>
      <c r="F410" s="150" t="s">
        <v>36</v>
      </c>
      <c r="G410" s="127" t="s">
        <v>453</v>
      </c>
      <c r="L410" s="212" t="s">
        <v>1753</v>
      </c>
      <c r="N410" s="212" t="s">
        <v>1657</v>
      </c>
      <c r="Z410" s="213">
        <v>8421.17</v>
      </c>
      <c r="AA410" s="213">
        <v>0</v>
      </c>
      <c r="AB410" s="152">
        <f t="shared" si="41"/>
        <v>8.4211699999999997E-4</v>
      </c>
      <c r="AC410" s="122" t="s">
        <v>1837</v>
      </c>
    </row>
    <row r="411" spans="1:29" ht="12.75" hidden="1" customHeight="1">
      <c r="A411" s="125" t="str">
        <f t="shared" si="42"/>
        <v>LIC164DIV DISTRIBUTION - DIRECT DIVIDEND</v>
      </c>
      <c r="B411" s="125">
        <f>+IFERROR(VLOOKUP(L411,'DB Mapping'!A:D,4,0),0)</f>
        <v>0</v>
      </c>
      <c r="C411" s="125">
        <f>+IFERROR(VLOOKUP(L411,'DB Mapping'!A:C,3,0),0)</f>
        <v>0</v>
      </c>
      <c r="D411" s="125" t="str">
        <f t="shared" si="43"/>
        <v>LIC1640</v>
      </c>
      <c r="E411" s="125" t="str">
        <f t="shared" si="44"/>
        <v>LIC1640</v>
      </c>
      <c r="F411" s="150" t="s">
        <v>36</v>
      </c>
      <c r="G411" s="127" t="s">
        <v>453</v>
      </c>
      <c r="L411" s="212" t="s">
        <v>1754</v>
      </c>
      <c r="N411" s="212" t="s">
        <v>1658</v>
      </c>
      <c r="Z411" s="213">
        <v>19824.759999999998</v>
      </c>
      <c r="AA411" s="213">
        <v>0</v>
      </c>
      <c r="AB411" s="152">
        <f t="shared" si="41"/>
        <v>1.9824759999999999E-3</v>
      </c>
      <c r="AC411" s="122" t="s">
        <v>1837</v>
      </c>
    </row>
    <row r="412" spans="1:29" ht="12.75" hidden="1" customHeight="1">
      <c r="A412" s="125" t="str">
        <f t="shared" si="42"/>
        <v>LIC164DDT - REGULAR DIV</v>
      </c>
      <c r="B412" s="125">
        <f>+IFERROR(VLOOKUP(L412,'DB Mapping'!A:D,4,0),0)</f>
        <v>0</v>
      </c>
      <c r="C412" s="125">
        <f>+IFERROR(VLOOKUP(L412,'DB Mapping'!A:C,3,0),0)</f>
        <v>0</v>
      </c>
      <c r="D412" s="125" t="str">
        <f t="shared" si="43"/>
        <v>LIC1640</v>
      </c>
      <c r="E412" s="125" t="str">
        <f t="shared" si="44"/>
        <v>LIC1640</v>
      </c>
      <c r="F412" s="150" t="s">
        <v>36</v>
      </c>
      <c r="G412" s="127" t="s">
        <v>453</v>
      </c>
      <c r="L412" s="212" t="s">
        <v>1755</v>
      </c>
      <c r="N412" s="212" t="s">
        <v>1659</v>
      </c>
      <c r="Z412" s="213">
        <v>3238</v>
      </c>
      <c r="AA412" s="213">
        <v>0</v>
      </c>
      <c r="AB412" s="152">
        <f t="shared" si="41"/>
        <v>3.2380000000000001E-4</v>
      </c>
      <c r="AC412" s="122" t="s">
        <v>1837</v>
      </c>
    </row>
    <row r="413" spans="1:29" ht="12.75" hidden="1" customHeight="1">
      <c r="A413" s="125" t="str">
        <f t="shared" si="42"/>
        <v>LIC164DDT - DIRECT DIVIDEND</v>
      </c>
      <c r="B413" s="125">
        <f>+IFERROR(VLOOKUP(L413,'DB Mapping'!A:D,4,0),0)</f>
        <v>0</v>
      </c>
      <c r="C413" s="125">
        <f>+IFERROR(VLOOKUP(L413,'DB Mapping'!A:C,3,0),0)</f>
        <v>0</v>
      </c>
      <c r="D413" s="125" t="str">
        <f t="shared" si="43"/>
        <v>LIC1640</v>
      </c>
      <c r="E413" s="125" t="str">
        <f t="shared" si="44"/>
        <v>LIC1640</v>
      </c>
      <c r="F413" s="150" t="s">
        <v>36</v>
      </c>
      <c r="G413" s="127" t="s">
        <v>453</v>
      </c>
      <c r="L413" s="212" t="s">
        <v>1756</v>
      </c>
      <c r="N413" s="212" t="s">
        <v>1660</v>
      </c>
      <c r="Z413" s="213">
        <v>7623</v>
      </c>
      <c r="AA413" s="213">
        <v>0</v>
      </c>
      <c r="AB413" s="152">
        <f t="shared" si="41"/>
        <v>7.6230000000000004E-4</v>
      </c>
      <c r="AC413" s="122" t="s">
        <v>1837</v>
      </c>
    </row>
    <row r="414" spans="1:29" ht="12.75" hidden="1" customHeight="1">
      <c r="A414" s="125" t="str">
        <f t="shared" si="42"/>
        <v>LIC164UNREALISED GAIN/LOSS - DEBENTURES</v>
      </c>
      <c r="B414" s="125">
        <f>+IFERROR(VLOOKUP(L414,'DB Mapping'!A:D,4,0),0)</f>
        <v>0</v>
      </c>
      <c r="C414" s="125">
        <f>+IFERROR(VLOOKUP(L414,'DB Mapping'!A:C,3,0),0)</f>
        <v>0</v>
      </c>
      <c r="D414" s="125" t="str">
        <f t="shared" si="43"/>
        <v>LIC1640</v>
      </c>
      <c r="E414" s="125" t="str">
        <f t="shared" si="44"/>
        <v>LIC1640</v>
      </c>
      <c r="F414" s="150" t="s">
        <v>36</v>
      </c>
      <c r="G414" s="127" t="s">
        <v>453</v>
      </c>
      <c r="L414" s="212" t="s">
        <v>1820</v>
      </c>
      <c r="N414" s="212" t="s">
        <v>1662</v>
      </c>
      <c r="Z414" s="213">
        <v>0</v>
      </c>
      <c r="AA414" s="213">
        <v>0</v>
      </c>
      <c r="AB414" s="152">
        <f t="shared" si="41"/>
        <v>0</v>
      </c>
      <c r="AC414" s="122" t="s">
        <v>1837</v>
      </c>
    </row>
    <row r="415" spans="1:29" ht="12.75" hidden="1" customHeight="1">
      <c r="A415" s="125" t="str">
        <f t="shared" si="42"/>
        <v>LIC164UNREALISED GAIN/LOSS - ZERO COUPON BOND</v>
      </c>
      <c r="B415" s="125">
        <f>+IFERROR(VLOOKUP(L415,'DB Mapping'!A:D,4,0),0)</f>
        <v>0</v>
      </c>
      <c r="C415" s="125">
        <f>+IFERROR(VLOOKUP(L415,'DB Mapping'!A:C,3,0),0)</f>
        <v>0</v>
      </c>
      <c r="D415" s="125" t="str">
        <f t="shared" si="43"/>
        <v>LIC1640</v>
      </c>
      <c r="E415" s="125" t="str">
        <f t="shared" si="44"/>
        <v>LIC1640</v>
      </c>
      <c r="F415" s="150" t="s">
        <v>36</v>
      </c>
      <c r="G415" s="127" t="s">
        <v>453</v>
      </c>
      <c r="L415" s="212" t="s">
        <v>1821</v>
      </c>
      <c r="N415" s="212" t="s">
        <v>1700</v>
      </c>
      <c r="Z415" s="213">
        <v>0</v>
      </c>
      <c r="AA415" s="213">
        <v>0</v>
      </c>
      <c r="AB415" s="152">
        <f t="shared" si="41"/>
        <v>0</v>
      </c>
      <c r="AC415" s="122" t="s">
        <v>1837</v>
      </c>
    </row>
    <row r="416" spans="1:29" ht="12.75" hidden="1" customHeight="1">
      <c r="A416" s="125" t="str">
        <f t="shared" si="42"/>
        <v>LIC164INTEREST INCOME - DEBENTURES</v>
      </c>
      <c r="B416" s="125">
        <f>+IFERROR(VLOOKUP(L416,'DB Mapping'!A:D,4,0),0)</f>
        <v>0</v>
      </c>
      <c r="C416" s="125">
        <f>+IFERROR(VLOOKUP(L416,'DB Mapping'!A:C,3,0),0)</f>
        <v>5.2</v>
      </c>
      <c r="D416" s="125" t="str">
        <f t="shared" si="43"/>
        <v>LIC1640</v>
      </c>
      <c r="E416" s="125" t="str">
        <f t="shared" si="44"/>
        <v>LIC1645.2</v>
      </c>
      <c r="F416" s="150" t="s">
        <v>36</v>
      </c>
      <c r="G416" s="127" t="s">
        <v>453</v>
      </c>
      <c r="L416" s="212" t="s">
        <v>1822</v>
      </c>
      <c r="N416" s="212" t="s">
        <v>1664</v>
      </c>
      <c r="Z416" s="213">
        <v>0</v>
      </c>
      <c r="AA416" s="213">
        <v>20244856.719999999</v>
      </c>
      <c r="AB416" s="152">
        <f t="shared" si="41"/>
        <v>-2.024485672</v>
      </c>
      <c r="AC416" s="122" t="s">
        <v>1837</v>
      </c>
    </row>
    <row r="417" spans="1:29" ht="12.75" hidden="1" customHeight="1">
      <c r="A417" s="125" t="str">
        <f t="shared" si="42"/>
        <v>LIC164INTEREST INCOME - REPO TRANSACTIONS</v>
      </c>
      <c r="B417" s="125">
        <f>+IFERROR(VLOOKUP(L417,'DB Mapping'!A:D,4,0),0)</f>
        <v>0</v>
      </c>
      <c r="C417" s="125">
        <f>+IFERROR(VLOOKUP(L417,'DB Mapping'!A:C,3,0),0)</f>
        <v>5.2</v>
      </c>
      <c r="D417" s="125" t="str">
        <f t="shared" si="43"/>
        <v>LIC1640</v>
      </c>
      <c r="E417" s="125" t="str">
        <f t="shared" si="44"/>
        <v>LIC1645.2</v>
      </c>
      <c r="F417" s="150" t="s">
        <v>36</v>
      </c>
      <c r="G417" s="127" t="s">
        <v>453</v>
      </c>
      <c r="L417" s="212" t="s">
        <v>1803</v>
      </c>
      <c r="N417" s="212" t="s">
        <v>1665</v>
      </c>
      <c r="Z417" s="213">
        <v>0</v>
      </c>
      <c r="AA417" s="213">
        <v>860751.31</v>
      </c>
      <c r="AB417" s="152">
        <f t="shared" si="41"/>
        <v>-8.6075130999999999E-2</v>
      </c>
      <c r="AC417" s="122" t="s">
        <v>1837</v>
      </c>
    </row>
    <row r="418" spans="1:29" ht="12.75" hidden="1" customHeight="1">
      <c r="A418" s="125" t="str">
        <f t="shared" si="42"/>
        <v>LIC164AMORTISATION INCOME - CBLO</v>
      </c>
      <c r="B418" s="125">
        <f>+IFERROR(VLOOKUP(L418,'DB Mapping'!A:D,4,0),0)</f>
        <v>0</v>
      </c>
      <c r="C418" s="125">
        <f>+IFERROR(VLOOKUP(L418,'DB Mapping'!A:C,3,0),0)</f>
        <v>5.2</v>
      </c>
      <c r="D418" s="125" t="str">
        <f t="shared" si="43"/>
        <v>LIC1640</v>
      </c>
      <c r="E418" s="125" t="str">
        <f t="shared" si="44"/>
        <v>LIC1645.2</v>
      </c>
      <c r="F418" s="150" t="s">
        <v>36</v>
      </c>
      <c r="G418" s="127" t="s">
        <v>453</v>
      </c>
      <c r="L418" s="212" t="s">
        <v>1757</v>
      </c>
      <c r="N418" s="212" t="s">
        <v>1667</v>
      </c>
      <c r="Z418" s="213">
        <v>0</v>
      </c>
      <c r="AA418" s="213">
        <v>6903985.9500000002</v>
      </c>
      <c r="AB418" s="152">
        <f t="shared" si="41"/>
        <v>-0.690398595</v>
      </c>
      <c r="AC418" s="122" t="s">
        <v>1837</v>
      </c>
    </row>
    <row r="419" spans="1:29" ht="12.75" hidden="1" customHeight="1">
      <c r="A419" s="125" t="str">
        <f t="shared" si="42"/>
        <v>LIC164AMORTISATION INCOME - ZERO COUPON BOND</v>
      </c>
      <c r="B419" s="125">
        <f>+IFERROR(VLOOKUP(L419,'DB Mapping'!A:D,4,0),0)</f>
        <v>0</v>
      </c>
      <c r="C419" s="125">
        <f>+IFERROR(VLOOKUP(L419,'DB Mapping'!A:C,3,0),0)</f>
        <v>5.2</v>
      </c>
      <c r="D419" s="125" t="str">
        <f t="shared" si="43"/>
        <v>LIC1640</v>
      </c>
      <c r="E419" s="125" t="str">
        <f t="shared" si="44"/>
        <v>LIC1645.2</v>
      </c>
      <c r="F419" s="150" t="s">
        <v>36</v>
      </c>
      <c r="G419" s="127" t="s">
        <v>453</v>
      </c>
      <c r="L419" s="212" t="s">
        <v>1823</v>
      </c>
      <c r="N419" s="212" t="s">
        <v>1701</v>
      </c>
      <c r="Z419" s="213">
        <v>0</v>
      </c>
      <c r="AA419" s="213">
        <v>11668292.640000001</v>
      </c>
      <c r="AB419" s="152">
        <f t="shared" si="41"/>
        <v>-1.166829264</v>
      </c>
      <c r="AC419" s="122" t="s">
        <v>1837</v>
      </c>
    </row>
    <row r="420" spans="1:29" ht="12.75" hidden="1" customHeight="1">
      <c r="A420" s="125" t="str">
        <f t="shared" si="42"/>
        <v>LIC164MISCELLEANOUS INCOME</v>
      </c>
      <c r="B420" s="125">
        <f>+IFERROR(VLOOKUP(L420,'DB Mapping'!A:D,4,0),0)</f>
        <v>0</v>
      </c>
      <c r="C420" s="125">
        <f>+IFERROR(VLOOKUP(L420,'DB Mapping'!A:C,3,0),0)</f>
        <v>5.5</v>
      </c>
      <c r="D420" s="125" t="str">
        <f t="shared" si="43"/>
        <v>LIC1640</v>
      </c>
      <c r="E420" s="125" t="str">
        <f t="shared" si="44"/>
        <v>LIC1645.5</v>
      </c>
      <c r="F420" s="150" t="s">
        <v>36</v>
      </c>
      <c r="G420" s="127" t="s">
        <v>453</v>
      </c>
      <c r="L420" s="212" t="s">
        <v>1759</v>
      </c>
      <c r="N420" s="212" t="s">
        <v>1668</v>
      </c>
      <c r="Z420" s="213">
        <v>0</v>
      </c>
      <c r="AA420" s="213">
        <v>1.38</v>
      </c>
      <c r="AB420" s="152">
        <f t="shared" si="41"/>
        <v>-1.3799999999999999E-7</v>
      </c>
      <c r="AC420" s="122" t="s">
        <v>1837</v>
      </c>
    </row>
    <row r="421" spans="1:29" ht="12.75" hidden="1" customHeight="1">
      <c r="A421" s="125" t="str">
        <f t="shared" si="42"/>
        <v>LIC164LOSS ON REDEMPTION - DEBENTURES</v>
      </c>
      <c r="B421" s="125">
        <f>+IFERROR(VLOOKUP(L421,'DB Mapping'!A:D,4,0),0)</f>
        <v>0</v>
      </c>
      <c r="C421" s="125">
        <f>+IFERROR(VLOOKUP(L421,'DB Mapping'!A:C,3,0),0)</f>
        <v>5.3</v>
      </c>
      <c r="D421" s="125" t="str">
        <f t="shared" si="43"/>
        <v>LIC1640</v>
      </c>
      <c r="E421" s="125" t="str">
        <f t="shared" si="44"/>
        <v>LIC1645.3</v>
      </c>
      <c r="F421" s="150" t="s">
        <v>36</v>
      </c>
      <c r="G421" s="127" t="s">
        <v>453</v>
      </c>
      <c r="L421" s="212" t="s">
        <v>1825</v>
      </c>
      <c r="N421" s="212" t="s">
        <v>1671</v>
      </c>
      <c r="Z421" s="213">
        <v>7352080</v>
      </c>
      <c r="AA421" s="213">
        <v>0</v>
      </c>
      <c r="AB421" s="152">
        <f t="shared" si="41"/>
        <v>0.73520799999999997</v>
      </c>
      <c r="AC421" s="122" t="s">
        <v>1837</v>
      </c>
    </row>
    <row r="422" spans="1:29" ht="12.75" hidden="1" customHeight="1">
      <c r="A422" s="125" t="str">
        <f t="shared" si="42"/>
        <v>LIC164MANAGEMENT FEES</v>
      </c>
      <c r="B422" s="125">
        <f>+IFERROR(VLOOKUP(L422,'DB Mapping'!A:D,4,0),0)</f>
        <v>6.1</v>
      </c>
      <c r="C422" s="125">
        <f>+IFERROR(VLOOKUP(L422,'DB Mapping'!A:C,3,0),0)</f>
        <v>6.3</v>
      </c>
      <c r="D422" s="125" t="str">
        <f t="shared" si="43"/>
        <v>LIC1646.1</v>
      </c>
      <c r="E422" s="125" t="str">
        <f t="shared" si="44"/>
        <v>LIC1646.3</v>
      </c>
      <c r="F422" s="150" t="s">
        <v>36</v>
      </c>
      <c r="G422" s="127" t="s">
        <v>453</v>
      </c>
      <c r="L422" s="212" t="s">
        <v>1760</v>
      </c>
      <c r="N422" s="212" t="s">
        <v>1702</v>
      </c>
      <c r="Z422" s="213">
        <v>308824.83</v>
      </c>
      <c r="AA422" s="213">
        <v>0</v>
      </c>
      <c r="AB422" s="152">
        <f t="shared" si="41"/>
        <v>3.0882483000000002E-2</v>
      </c>
      <c r="AC422" s="122" t="s">
        <v>1837</v>
      </c>
    </row>
    <row r="423" spans="1:29" ht="12.75" hidden="1" customHeight="1">
      <c r="A423" s="125" t="str">
        <f t="shared" si="42"/>
        <v>LIC164MANAGEMENT FEES - REGULAR DIV</v>
      </c>
      <c r="B423" s="125">
        <f>+IFERROR(VLOOKUP(L423,'DB Mapping'!A:D,4,0),0)</f>
        <v>6.1</v>
      </c>
      <c r="C423" s="125">
        <f>+IFERROR(VLOOKUP(L423,'DB Mapping'!A:C,3,0),0)</f>
        <v>6.3</v>
      </c>
      <c r="D423" s="125" t="str">
        <f t="shared" si="43"/>
        <v>LIC1646.1</v>
      </c>
      <c r="E423" s="125" t="str">
        <f t="shared" si="44"/>
        <v>LIC1646.3</v>
      </c>
      <c r="F423" s="150" t="s">
        <v>36</v>
      </c>
      <c r="G423" s="127" t="s">
        <v>453</v>
      </c>
      <c r="L423" s="212" t="s">
        <v>1805</v>
      </c>
      <c r="N423" s="212" t="s">
        <v>1672</v>
      </c>
      <c r="Z423" s="213">
        <v>38.880000000000003</v>
      </c>
      <c r="AA423" s="213">
        <v>0</v>
      </c>
      <c r="AB423" s="152">
        <f t="shared" si="41"/>
        <v>3.8879999999999999E-6</v>
      </c>
      <c r="AC423" s="122" t="s">
        <v>1837</v>
      </c>
    </row>
    <row r="424" spans="1:29" ht="12.75" hidden="1" customHeight="1">
      <c r="A424" s="125" t="str">
        <f t="shared" si="42"/>
        <v>LIC164MANAGEMENT FEES - REGULAR GROWTH</v>
      </c>
      <c r="B424" s="125">
        <f>+IFERROR(VLOOKUP(L424,'DB Mapping'!A:D,4,0),0)</f>
        <v>6.1</v>
      </c>
      <c r="C424" s="125">
        <f>+IFERROR(VLOOKUP(L424,'DB Mapping'!A:C,3,0),0)</f>
        <v>6.3</v>
      </c>
      <c r="D424" s="125" t="str">
        <f t="shared" si="43"/>
        <v>LIC1646.1</v>
      </c>
      <c r="E424" s="125" t="str">
        <f t="shared" si="44"/>
        <v>LIC1646.3</v>
      </c>
      <c r="F424" s="150" t="s">
        <v>36</v>
      </c>
      <c r="G424" s="127" t="s">
        <v>453</v>
      </c>
      <c r="L424" s="212" t="s">
        <v>1806</v>
      </c>
      <c r="N424" s="212" t="s">
        <v>1673</v>
      </c>
      <c r="Z424" s="213">
        <v>155464.93</v>
      </c>
      <c r="AA424" s="213">
        <v>0</v>
      </c>
      <c r="AB424" s="152">
        <f t="shared" si="41"/>
        <v>1.5546493E-2</v>
      </c>
      <c r="AC424" s="122" t="s">
        <v>1837</v>
      </c>
    </row>
    <row r="425" spans="1:29" ht="12.75" hidden="1" customHeight="1">
      <c r="A425" s="125" t="str">
        <f t="shared" si="42"/>
        <v>LIC164MANAGEMENT FEES - DIRECT DIVIDEND</v>
      </c>
      <c r="B425" s="125">
        <f>+IFERROR(VLOOKUP(L425,'DB Mapping'!A:D,4,0),0)</f>
        <v>6.1</v>
      </c>
      <c r="C425" s="125">
        <f>+IFERROR(VLOOKUP(L425,'DB Mapping'!A:C,3,0),0)</f>
        <v>6.3</v>
      </c>
      <c r="D425" s="125" t="str">
        <f t="shared" si="43"/>
        <v>LIC1646.1</v>
      </c>
      <c r="E425" s="125" t="str">
        <f t="shared" si="44"/>
        <v>LIC1646.3</v>
      </c>
      <c r="F425" s="150" t="s">
        <v>36</v>
      </c>
      <c r="G425" s="127" t="s">
        <v>453</v>
      </c>
      <c r="L425" s="212" t="s">
        <v>1807</v>
      </c>
      <c r="N425" s="212" t="s">
        <v>1674</v>
      </c>
      <c r="Z425" s="213">
        <v>86.5</v>
      </c>
      <c r="AA425" s="213">
        <v>0</v>
      </c>
      <c r="AB425" s="152">
        <f t="shared" si="41"/>
        <v>8.6500000000000002E-6</v>
      </c>
      <c r="AC425" s="122" t="s">
        <v>1837</v>
      </c>
    </row>
    <row r="426" spans="1:29" ht="12.75" hidden="1" customHeight="1">
      <c r="A426" s="125" t="str">
        <f t="shared" si="42"/>
        <v>LIC164MANAGEMENT FEES - DIRECT GROWTH</v>
      </c>
      <c r="B426" s="125">
        <f>+IFERROR(VLOOKUP(L426,'DB Mapping'!A:D,4,0),0)</f>
        <v>6.1</v>
      </c>
      <c r="C426" s="125">
        <f>+IFERROR(VLOOKUP(L426,'DB Mapping'!A:C,3,0),0)</f>
        <v>6.3</v>
      </c>
      <c r="D426" s="125" t="str">
        <f t="shared" si="43"/>
        <v>LIC1646.1</v>
      </c>
      <c r="E426" s="125" t="str">
        <f t="shared" si="44"/>
        <v>LIC1646.3</v>
      </c>
      <c r="F426" s="150" t="s">
        <v>36</v>
      </c>
      <c r="G426" s="127" t="s">
        <v>453</v>
      </c>
      <c r="L426" s="212" t="s">
        <v>1808</v>
      </c>
      <c r="N426" s="212" t="s">
        <v>1675</v>
      </c>
      <c r="Z426" s="213">
        <v>408347.29</v>
      </c>
      <c r="AA426" s="213">
        <v>0</v>
      </c>
      <c r="AB426" s="152">
        <f t="shared" si="41"/>
        <v>4.0834729E-2</v>
      </c>
      <c r="AC426" s="122" t="s">
        <v>1837</v>
      </c>
    </row>
    <row r="427" spans="1:29" ht="12.75" hidden="1" customHeight="1">
      <c r="A427" s="125" t="str">
        <f t="shared" si="42"/>
        <v>LIC164OTHER FEES - REGULAR DIV</v>
      </c>
      <c r="B427" s="125">
        <f>+IFERROR(VLOOKUP(L427,'DB Mapping'!A:D,4,0),0)</f>
        <v>0</v>
      </c>
      <c r="C427" s="125">
        <f>+IFERROR(VLOOKUP(L427,'DB Mapping'!A:C,3,0),0)</f>
        <v>6.3</v>
      </c>
      <c r="D427" s="125" t="str">
        <f t="shared" si="43"/>
        <v>LIC1640</v>
      </c>
      <c r="E427" s="125" t="str">
        <f t="shared" si="44"/>
        <v>LIC1646.3</v>
      </c>
      <c r="F427" s="150" t="s">
        <v>36</v>
      </c>
      <c r="G427" s="127" t="s">
        <v>453</v>
      </c>
      <c r="L427" s="212" t="s">
        <v>1762</v>
      </c>
      <c r="N427" s="212" t="s">
        <v>1676</v>
      </c>
      <c r="Z427" s="213">
        <v>20.7</v>
      </c>
      <c r="AA427" s="213">
        <v>0</v>
      </c>
      <c r="AB427" s="152">
        <f t="shared" si="41"/>
        <v>2.0700000000000001E-6</v>
      </c>
      <c r="AC427" s="122" t="s">
        <v>1837</v>
      </c>
    </row>
    <row r="428" spans="1:29" ht="12.75" hidden="1" customHeight="1">
      <c r="A428" s="125" t="str">
        <f t="shared" si="42"/>
        <v>LIC164OTHER FEES - REGULAR GROWTH</v>
      </c>
      <c r="B428" s="125">
        <f>+IFERROR(VLOOKUP(L428,'DB Mapping'!A:D,4,0),0)</f>
        <v>0</v>
      </c>
      <c r="C428" s="125">
        <f>+IFERROR(VLOOKUP(L428,'DB Mapping'!A:C,3,0),0)</f>
        <v>6.3</v>
      </c>
      <c r="D428" s="125" t="str">
        <f t="shared" si="43"/>
        <v>LIC1640</v>
      </c>
      <c r="E428" s="125" t="str">
        <f t="shared" si="44"/>
        <v>LIC1646.3</v>
      </c>
      <c r="F428" s="150" t="s">
        <v>36</v>
      </c>
      <c r="G428" s="127" t="s">
        <v>453</v>
      </c>
      <c r="L428" s="212" t="s">
        <v>1763</v>
      </c>
      <c r="N428" s="212" t="s">
        <v>1677</v>
      </c>
      <c r="Z428" s="213">
        <v>84799.07</v>
      </c>
      <c r="AA428" s="213">
        <v>0</v>
      </c>
      <c r="AB428" s="152">
        <f t="shared" si="41"/>
        <v>8.4799070000000001E-3</v>
      </c>
      <c r="AC428" s="122" t="s">
        <v>1837</v>
      </c>
    </row>
    <row r="429" spans="1:29" ht="12.75" hidden="1" customHeight="1">
      <c r="A429" s="125" t="str">
        <f t="shared" si="42"/>
        <v>LIC164OTHER FEES - DIRECT DIVIDEND</v>
      </c>
      <c r="B429" s="125">
        <f>+IFERROR(VLOOKUP(L429,'DB Mapping'!A:D,4,0),0)</f>
        <v>0</v>
      </c>
      <c r="C429" s="125">
        <f>+IFERROR(VLOOKUP(L429,'DB Mapping'!A:C,3,0),0)</f>
        <v>6.3</v>
      </c>
      <c r="D429" s="125" t="str">
        <f t="shared" si="43"/>
        <v>LIC1640</v>
      </c>
      <c r="E429" s="125" t="str">
        <f t="shared" si="44"/>
        <v>LIC1646.3</v>
      </c>
      <c r="F429" s="150" t="s">
        <v>36</v>
      </c>
      <c r="G429" s="127" t="s">
        <v>453</v>
      </c>
      <c r="L429" s="212" t="s">
        <v>1764</v>
      </c>
      <c r="N429" s="212" t="s">
        <v>1678</v>
      </c>
      <c r="Z429" s="213">
        <v>47.29</v>
      </c>
      <c r="AA429" s="213">
        <v>0</v>
      </c>
      <c r="AB429" s="152">
        <f t="shared" ref="AB429:AB493" si="45">+(Z429-AA429)/10000000</f>
        <v>4.729E-6</v>
      </c>
      <c r="AC429" s="122" t="s">
        <v>1837</v>
      </c>
    </row>
    <row r="430" spans="1:29" ht="12.75" hidden="1" customHeight="1">
      <c r="A430" s="125" t="str">
        <f t="shared" si="42"/>
        <v>LIC164OTHER FEES - DIRECT GROWTH</v>
      </c>
      <c r="B430" s="125">
        <f>+IFERROR(VLOOKUP(L430,'DB Mapping'!A:D,4,0),0)</f>
        <v>0</v>
      </c>
      <c r="C430" s="125">
        <f>+IFERROR(VLOOKUP(L430,'DB Mapping'!A:C,3,0),0)</f>
        <v>6.3</v>
      </c>
      <c r="D430" s="125" t="str">
        <f t="shared" si="43"/>
        <v>LIC1640</v>
      </c>
      <c r="E430" s="125" t="str">
        <f t="shared" si="44"/>
        <v>LIC1646.3</v>
      </c>
      <c r="F430" s="150" t="s">
        <v>36</v>
      </c>
      <c r="G430" s="127" t="s">
        <v>453</v>
      </c>
      <c r="L430" s="212" t="s">
        <v>1765</v>
      </c>
      <c r="N430" s="212" t="s">
        <v>1679</v>
      </c>
      <c r="Z430" s="213">
        <v>222735.18</v>
      </c>
      <c r="AA430" s="213">
        <v>0</v>
      </c>
      <c r="AB430" s="152">
        <f t="shared" si="45"/>
        <v>2.2273517999999999E-2</v>
      </c>
      <c r="AC430" s="122" t="s">
        <v>1837</v>
      </c>
    </row>
    <row r="431" spans="1:29" ht="12.75" hidden="1" customHeight="1">
      <c r="A431" s="125" t="str">
        <f t="shared" si="42"/>
        <v>LIC164OTHER FEES (SELLING &amp; DISTRIBUTION)</v>
      </c>
      <c r="B431" s="125">
        <f>+IFERROR(VLOOKUP(L431,'DB Mapping'!A:D,4,0),0)</f>
        <v>0</v>
      </c>
      <c r="C431" s="125">
        <f>+IFERROR(VLOOKUP(L431,'DB Mapping'!A:C,3,0),0)</f>
        <v>6.3</v>
      </c>
      <c r="D431" s="125" t="str">
        <f t="shared" si="43"/>
        <v>LIC1640</v>
      </c>
      <c r="E431" s="125" t="str">
        <f t="shared" si="44"/>
        <v>LIC1646.3</v>
      </c>
      <c r="F431" s="150" t="s">
        <v>36</v>
      </c>
      <c r="G431" s="127" t="s">
        <v>453</v>
      </c>
      <c r="L431" s="212" t="s">
        <v>1766</v>
      </c>
      <c r="N431" s="212" t="s">
        <v>1680</v>
      </c>
      <c r="Z431" s="213">
        <v>186913.55</v>
      </c>
      <c r="AA431" s="213">
        <v>0</v>
      </c>
      <c r="AB431" s="152">
        <f t="shared" si="45"/>
        <v>1.8691355E-2</v>
      </c>
      <c r="AC431" s="122" t="s">
        <v>1837</v>
      </c>
    </row>
    <row r="432" spans="1:29" ht="12.75" hidden="1" customHeight="1">
      <c r="A432" s="125" t="str">
        <f t="shared" si="42"/>
        <v>LIC164SERVICE TAX - MANAGEMENT FEES</v>
      </c>
      <c r="B432" s="125">
        <f>+IFERROR(VLOOKUP(L432,'DB Mapping'!A:D,4,0),0)</f>
        <v>6.1</v>
      </c>
      <c r="C432" s="125">
        <f>+IFERROR(VLOOKUP(L432,'DB Mapping'!A:C,3,0),0)</f>
        <v>6.3</v>
      </c>
      <c r="D432" s="125" t="str">
        <f t="shared" si="43"/>
        <v>LIC1646.1</v>
      </c>
      <c r="E432" s="125" t="str">
        <f t="shared" si="44"/>
        <v>LIC1646.3</v>
      </c>
      <c r="F432" s="150" t="s">
        <v>36</v>
      </c>
      <c r="G432" s="127" t="s">
        <v>453</v>
      </c>
      <c r="L432" s="212" t="s">
        <v>1809</v>
      </c>
      <c r="N432" s="212" t="s">
        <v>1681</v>
      </c>
      <c r="Z432" s="213">
        <v>33056.339999999997</v>
      </c>
      <c r="AA432" s="213">
        <v>0</v>
      </c>
      <c r="AB432" s="152">
        <f t="shared" si="45"/>
        <v>3.3056339999999996E-3</v>
      </c>
      <c r="AC432" s="122" t="s">
        <v>1837</v>
      </c>
    </row>
    <row r="433" spans="1:29" ht="12.75" hidden="1" customHeight="1">
      <c r="A433" s="125" t="str">
        <f t="shared" ref="A433:A445" si="46">+F433&amp;N433</f>
        <v>LIC164CGST EXPENSE</v>
      </c>
      <c r="B433" s="125">
        <f>+IFERROR(VLOOKUP(L433,'DB Mapping'!A:D,4,0),0)</f>
        <v>6.1</v>
      </c>
      <c r="C433" s="125">
        <f>+IFERROR(VLOOKUP(L433,'DB Mapping'!A:C,3,0),0)</f>
        <v>6.3</v>
      </c>
      <c r="D433" s="125" t="str">
        <f t="shared" ref="D433:D445" si="47">+F433&amp;B433</f>
        <v>LIC1646.1</v>
      </c>
      <c r="E433" s="125" t="str">
        <f t="shared" ref="E433:E445" si="48">+F433&amp;C433</f>
        <v>LIC1646.3</v>
      </c>
      <c r="F433" s="150" t="s">
        <v>36</v>
      </c>
      <c r="G433" s="127" t="s">
        <v>453</v>
      </c>
      <c r="L433" s="212" t="s">
        <v>1767</v>
      </c>
      <c r="N433" s="212" t="s">
        <v>1682</v>
      </c>
      <c r="Z433" s="213">
        <v>58714.6</v>
      </c>
      <c r="AA433" s="213">
        <v>0</v>
      </c>
      <c r="AB433" s="152">
        <f t="shared" si="45"/>
        <v>5.8714600000000002E-3</v>
      </c>
      <c r="AC433" s="122" t="s">
        <v>1837</v>
      </c>
    </row>
    <row r="434" spans="1:29" ht="12.75" hidden="1" customHeight="1">
      <c r="A434" s="125" t="str">
        <f t="shared" si="46"/>
        <v>LIC164SGST EXPENSE</v>
      </c>
      <c r="B434" s="125">
        <f>+IFERROR(VLOOKUP(L434,'DB Mapping'!A:D,4,0),0)</f>
        <v>6.1</v>
      </c>
      <c r="C434" s="125">
        <f>+IFERROR(VLOOKUP(L434,'DB Mapping'!A:C,3,0),0)</f>
        <v>6.3</v>
      </c>
      <c r="D434" s="125" t="str">
        <f t="shared" si="47"/>
        <v>LIC1646.1</v>
      </c>
      <c r="E434" s="125" t="str">
        <f t="shared" si="48"/>
        <v>LIC1646.3</v>
      </c>
      <c r="F434" s="150" t="s">
        <v>36</v>
      </c>
      <c r="G434" s="127" t="s">
        <v>453</v>
      </c>
      <c r="L434" s="212" t="s">
        <v>1768</v>
      </c>
      <c r="N434" s="212" t="s">
        <v>1683</v>
      </c>
      <c r="Z434" s="213">
        <v>58714.6</v>
      </c>
      <c r="AA434" s="213">
        <v>0</v>
      </c>
      <c r="AB434" s="152">
        <f t="shared" si="45"/>
        <v>5.8714600000000002E-3</v>
      </c>
      <c r="AC434" s="122" t="s">
        <v>1837</v>
      </c>
    </row>
    <row r="435" spans="1:29" ht="12.75" hidden="1" customHeight="1">
      <c r="A435" s="125" t="str">
        <f t="shared" si="46"/>
        <v>LIC164EXPENSE ALLOCATION ACCOUNT</v>
      </c>
      <c r="B435" s="125">
        <f>+IFERROR(VLOOKUP(L435,'DB Mapping'!A:D,4,0),0)</f>
        <v>0</v>
      </c>
      <c r="C435" s="125">
        <f>+IFERROR(VLOOKUP(L435,'DB Mapping'!A:C,3,0),0)</f>
        <v>6.3</v>
      </c>
      <c r="D435" s="125" t="str">
        <f t="shared" si="47"/>
        <v>LIC1640</v>
      </c>
      <c r="E435" s="125" t="str">
        <f t="shared" si="48"/>
        <v>LIC1646.3</v>
      </c>
      <c r="F435" s="150" t="s">
        <v>36</v>
      </c>
      <c r="G435" s="127" t="s">
        <v>453</v>
      </c>
      <c r="L435" s="212" t="s">
        <v>1769</v>
      </c>
      <c r="N435" s="212" t="s">
        <v>1684</v>
      </c>
      <c r="Z435" s="213">
        <v>0</v>
      </c>
      <c r="AA435" s="213">
        <v>185886.68</v>
      </c>
      <c r="AB435" s="152">
        <f t="shared" si="45"/>
        <v>-1.8588667999999999E-2</v>
      </c>
      <c r="AC435" s="122" t="s">
        <v>1837</v>
      </c>
    </row>
    <row r="436" spans="1:29" ht="12.75" hidden="1" customHeight="1">
      <c r="A436" s="125" t="str">
        <f t="shared" si="46"/>
        <v>LIC164R&amp;T - OTHER CHARGES</v>
      </c>
      <c r="B436" s="125">
        <f>+IFERROR(VLOOKUP(L436,'DB Mapping'!A:D,4,0),0)</f>
        <v>0</v>
      </c>
      <c r="C436" s="125">
        <f>+IFERROR(VLOOKUP(L436,'DB Mapping'!A:C,3,0),0)</f>
        <v>6.3</v>
      </c>
      <c r="D436" s="125" t="str">
        <f t="shared" si="47"/>
        <v>LIC1640</v>
      </c>
      <c r="E436" s="125" t="str">
        <f t="shared" si="48"/>
        <v>LIC1646.3</v>
      </c>
      <c r="F436" s="150" t="s">
        <v>36</v>
      </c>
      <c r="G436" s="127" t="s">
        <v>453</v>
      </c>
      <c r="L436" s="212" t="s">
        <v>1770</v>
      </c>
      <c r="N436" s="212" t="s">
        <v>1685</v>
      </c>
      <c r="Z436" s="213">
        <v>409.16</v>
      </c>
      <c r="AA436" s="213">
        <v>0</v>
      </c>
      <c r="AB436" s="152">
        <f t="shared" si="45"/>
        <v>4.0915999999999999E-5</v>
      </c>
      <c r="AC436" s="122" t="s">
        <v>1837</v>
      </c>
    </row>
    <row r="437" spans="1:29" ht="12.75" hidden="1" customHeight="1">
      <c r="A437" s="125" t="str">
        <f t="shared" si="46"/>
        <v>LIC164AUDIT FEES</v>
      </c>
      <c r="B437" s="125">
        <f>+IFERROR(VLOOKUP(L437,'DB Mapping'!A:D,4,0),0)</f>
        <v>0</v>
      </c>
      <c r="C437" s="125">
        <f>+IFERROR(VLOOKUP(L437,'DB Mapping'!A:C,3,0),0)</f>
        <v>6.3</v>
      </c>
      <c r="D437" s="125" t="str">
        <f t="shared" si="47"/>
        <v>LIC1640</v>
      </c>
      <c r="E437" s="125" t="str">
        <f t="shared" si="48"/>
        <v>LIC1646.3</v>
      </c>
      <c r="F437" s="150" t="s">
        <v>36</v>
      </c>
      <c r="G437" s="127" t="s">
        <v>453</v>
      </c>
      <c r="L437" s="212" t="s">
        <v>1771</v>
      </c>
      <c r="N437" s="212" t="s">
        <v>1686</v>
      </c>
      <c r="Z437" s="213">
        <v>531.48</v>
      </c>
      <c r="AA437" s="213">
        <v>0</v>
      </c>
      <c r="AB437" s="152">
        <f t="shared" si="45"/>
        <v>5.3148E-5</v>
      </c>
      <c r="AC437" s="122" t="s">
        <v>1837</v>
      </c>
    </row>
    <row r="438" spans="1:29" ht="12.75" hidden="1" customHeight="1">
      <c r="A438" s="125" t="str">
        <f t="shared" si="46"/>
        <v>LIC164CUSTODIAN FEE</v>
      </c>
      <c r="B438" s="125">
        <f>+IFERROR(VLOOKUP(L438,'DB Mapping'!A:D,4,0),0)</f>
        <v>0</v>
      </c>
      <c r="C438" s="125">
        <f>+IFERROR(VLOOKUP(L438,'DB Mapping'!A:C,3,0),0)</f>
        <v>6.3</v>
      </c>
      <c r="D438" s="125" t="str">
        <f t="shared" si="47"/>
        <v>LIC1640</v>
      </c>
      <c r="E438" s="125" t="str">
        <f t="shared" si="48"/>
        <v>LIC1646.3</v>
      </c>
      <c r="F438" s="150" t="s">
        <v>36</v>
      </c>
      <c r="G438" s="127" t="s">
        <v>453</v>
      </c>
      <c r="L438" s="212" t="s">
        <v>1772</v>
      </c>
      <c r="N438" s="212" t="s">
        <v>1687</v>
      </c>
      <c r="Z438" s="213">
        <v>16787.21</v>
      </c>
      <c r="AA438" s="213">
        <v>0</v>
      </c>
      <c r="AB438" s="152">
        <f t="shared" si="45"/>
        <v>1.678721E-3</v>
      </c>
      <c r="AC438" s="122" t="s">
        <v>1837</v>
      </c>
    </row>
    <row r="439" spans="1:29" ht="12.75" hidden="1" customHeight="1">
      <c r="A439" s="125" t="str">
        <f t="shared" si="46"/>
        <v>LIC164TRUSTEE FEES</v>
      </c>
      <c r="B439" s="125">
        <f>+IFERROR(VLOOKUP(L439,'DB Mapping'!A:D,4,0),0)</f>
        <v>6.2</v>
      </c>
      <c r="C439" s="125">
        <f>+IFERROR(VLOOKUP(L439,'DB Mapping'!A:C,3,0),0)</f>
        <v>6.3</v>
      </c>
      <c r="D439" s="125" t="str">
        <f t="shared" si="47"/>
        <v>LIC1646.2</v>
      </c>
      <c r="E439" s="125" t="str">
        <f t="shared" si="48"/>
        <v>LIC1646.3</v>
      </c>
      <c r="F439" s="150" t="s">
        <v>36</v>
      </c>
      <c r="G439" s="127" t="s">
        <v>453</v>
      </c>
      <c r="L439" s="212" t="s">
        <v>1773</v>
      </c>
      <c r="N439" s="212" t="s">
        <v>1688</v>
      </c>
      <c r="Z439" s="213">
        <v>5240.6899999999996</v>
      </c>
      <c r="AA439" s="213">
        <v>0</v>
      </c>
      <c r="AB439" s="152">
        <f t="shared" si="45"/>
        <v>5.2406899999999995E-4</v>
      </c>
      <c r="AC439" s="122" t="s">
        <v>1837</v>
      </c>
    </row>
    <row r="440" spans="1:29" ht="12.75" hidden="1" customHeight="1">
      <c r="A440" s="125" t="str">
        <f t="shared" si="46"/>
        <v>LIC164OTHER OPERATING EXPENSES</v>
      </c>
      <c r="B440" s="125">
        <f>+IFERROR(VLOOKUP(L440,'DB Mapping'!A:D,4,0),0)</f>
        <v>0</v>
      </c>
      <c r="C440" s="125">
        <f>+IFERROR(VLOOKUP(L440,'DB Mapping'!A:C,3,0),0)</f>
        <v>6.3</v>
      </c>
      <c r="D440" s="125" t="str">
        <f t="shared" si="47"/>
        <v>LIC1640</v>
      </c>
      <c r="E440" s="125" t="str">
        <f t="shared" si="48"/>
        <v>LIC1646.3</v>
      </c>
      <c r="F440" s="150" t="s">
        <v>36</v>
      </c>
      <c r="G440" s="127" t="s">
        <v>453</v>
      </c>
      <c r="L440" s="212" t="s">
        <v>1774</v>
      </c>
      <c r="N440" s="212" t="s">
        <v>1689</v>
      </c>
      <c r="Z440" s="213">
        <v>31.37</v>
      </c>
      <c r="AA440" s="213">
        <v>0</v>
      </c>
      <c r="AB440" s="152">
        <f t="shared" si="45"/>
        <v>3.1370000000000002E-6</v>
      </c>
      <c r="AC440" s="122" t="s">
        <v>1837</v>
      </c>
    </row>
    <row r="441" spans="1:29" ht="12.75" hidden="1" customHeight="1">
      <c r="A441" s="125" t="str">
        <f t="shared" si="46"/>
        <v>LIC164SEBI ANNUAL FEES EXPENSE</v>
      </c>
      <c r="B441" s="125">
        <f>+IFERROR(VLOOKUP(L441,'DB Mapping'!A:D,4,0),0)</f>
        <v>0</v>
      </c>
      <c r="C441" s="125">
        <f>+IFERROR(VLOOKUP(L441,'DB Mapping'!A:C,3,0),0)</f>
        <v>6.3</v>
      </c>
      <c r="D441" s="125" t="str">
        <f t="shared" si="47"/>
        <v>LIC1640</v>
      </c>
      <c r="E441" s="125" t="str">
        <f t="shared" si="48"/>
        <v>LIC1646.3</v>
      </c>
      <c r="F441" s="150" t="s">
        <v>36</v>
      </c>
      <c r="G441" s="127" t="s">
        <v>453</v>
      </c>
      <c r="L441" s="212" t="s">
        <v>1775</v>
      </c>
      <c r="N441" s="212" t="s">
        <v>1690</v>
      </c>
      <c r="Z441" s="213">
        <v>9946.93</v>
      </c>
      <c r="AA441" s="213">
        <v>0</v>
      </c>
      <c r="AB441" s="152">
        <f t="shared" si="45"/>
        <v>9.9469300000000005E-4</v>
      </c>
      <c r="AC441" s="122" t="s">
        <v>1837</v>
      </c>
    </row>
    <row r="442" spans="1:29" ht="12.75" hidden="1" customHeight="1">
      <c r="A442" s="125" t="str">
        <f t="shared" si="46"/>
        <v>LIC164CCIL CHARGES</v>
      </c>
      <c r="B442" s="125">
        <f>+IFERROR(VLOOKUP(L442,'DB Mapping'!A:D,4,0),0)</f>
        <v>0</v>
      </c>
      <c r="C442" s="125">
        <f>+IFERROR(VLOOKUP(L442,'DB Mapping'!A:C,3,0),0)</f>
        <v>6.3</v>
      </c>
      <c r="D442" s="125" t="str">
        <f t="shared" si="47"/>
        <v>LIC1640</v>
      </c>
      <c r="E442" s="125" t="str">
        <f t="shared" si="48"/>
        <v>LIC1646.3</v>
      </c>
      <c r="F442" s="150" t="s">
        <v>36</v>
      </c>
      <c r="G442" s="127" t="s">
        <v>453</v>
      </c>
      <c r="L442" s="212" t="s">
        <v>1777</v>
      </c>
      <c r="N442" s="212" t="s">
        <v>1691</v>
      </c>
      <c r="Z442" s="213">
        <v>44157.77</v>
      </c>
      <c r="AA442" s="213">
        <v>0</v>
      </c>
      <c r="AB442" s="152">
        <f t="shared" si="45"/>
        <v>4.4157770000000001E-3</v>
      </c>
      <c r="AC442" s="122" t="s">
        <v>1837</v>
      </c>
    </row>
    <row r="443" spans="1:29" ht="12.75" hidden="1" customHeight="1">
      <c r="A443" s="125" t="str">
        <f t="shared" si="46"/>
        <v>LIC164INTERNAL AUDIT FEES</v>
      </c>
      <c r="B443" s="125">
        <f>+IFERROR(VLOOKUP(L443,'DB Mapping'!A:D,4,0),0)</f>
        <v>0</v>
      </c>
      <c r="C443" s="125">
        <f>+IFERROR(VLOOKUP(L443,'DB Mapping'!A:C,3,0),0)</f>
        <v>6.3</v>
      </c>
      <c r="D443" s="125" t="str">
        <f t="shared" si="47"/>
        <v>LIC1640</v>
      </c>
      <c r="E443" s="125" t="str">
        <f t="shared" si="48"/>
        <v>LIC1646.3</v>
      </c>
      <c r="F443" s="150" t="s">
        <v>36</v>
      </c>
      <c r="G443" s="127" t="s">
        <v>453</v>
      </c>
      <c r="L443" s="212" t="s">
        <v>1778</v>
      </c>
      <c r="N443" s="212" t="s">
        <v>1692</v>
      </c>
      <c r="Z443" s="213">
        <v>6247.69</v>
      </c>
      <c r="AA443" s="213">
        <v>0</v>
      </c>
      <c r="AB443" s="152">
        <f t="shared" si="45"/>
        <v>6.2476899999999995E-4</v>
      </c>
      <c r="AC443" s="122" t="s">
        <v>1837</v>
      </c>
    </row>
    <row r="444" spans="1:29" ht="12.75" hidden="1" customHeight="1">
      <c r="A444" s="125" t="str">
        <f t="shared" si="46"/>
        <v>LIC164INVESTOR EDUCATION FUND EXPENSE</v>
      </c>
      <c r="B444" s="125">
        <f>+IFERROR(VLOOKUP(L444,'DB Mapping'!A:D,4,0),0)</f>
        <v>0</v>
      </c>
      <c r="C444" s="125">
        <f>+IFERROR(VLOOKUP(L444,'DB Mapping'!A:C,3,0),0)</f>
        <v>6.3</v>
      </c>
      <c r="D444" s="125" t="str">
        <f t="shared" si="47"/>
        <v>LIC1640</v>
      </c>
      <c r="E444" s="125" t="str">
        <f t="shared" si="48"/>
        <v>LIC1646.3</v>
      </c>
      <c r="F444" s="150" t="s">
        <v>36</v>
      </c>
      <c r="G444" s="127" t="s">
        <v>453</v>
      </c>
      <c r="L444" s="212" t="s">
        <v>1780</v>
      </c>
      <c r="N444" s="212" t="s">
        <v>1694</v>
      </c>
      <c r="Z444" s="213">
        <v>51267.19</v>
      </c>
      <c r="AA444" s="213">
        <v>0</v>
      </c>
      <c r="AB444" s="152">
        <f t="shared" si="45"/>
        <v>5.1267190000000001E-3</v>
      </c>
      <c r="AC444" s="122" t="s">
        <v>1837</v>
      </c>
    </row>
    <row r="445" spans="1:29" ht="12.75" hidden="1" customHeight="1">
      <c r="A445" s="125" t="str">
        <f t="shared" si="46"/>
        <v>LIC164INVESTOR EDUCATION FUND EXPENSE - AMFI</v>
      </c>
      <c r="B445" s="125">
        <f>+IFERROR(VLOOKUP(L445,'DB Mapping'!A:D,4,0),0)</f>
        <v>0</v>
      </c>
      <c r="C445" s="125">
        <f>+IFERROR(VLOOKUP(L445,'DB Mapping'!A:C,3,0),0)</f>
        <v>6.3</v>
      </c>
      <c r="D445" s="125" t="str">
        <f t="shared" si="47"/>
        <v>LIC1640</v>
      </c>
      <c r="E445" s="125" t="str">
        <f t="shared" si="48"/>
        <v>LIC1646.3</v>
      </c>
      <c r="F445" s="150" t="s">
        <v>36</v>
      </c>
      <c r="G445" s="127" t="s">
        <v>453</v>
      </c>
      <c r="L445" s="212" t="s">
        <v>1781</v>
      </c>
      <c r="N445" s="212" t="s">
        <v>1695</v>
      </c>
      <c r="Z445" s="213">
        <v>51267.19</v>
      </c>
      <c r="AA445" s="213">
        <v>0</v>
      </c>
      <c r="AB445" s="152">
        <f t="shared" si="45"/>
        <v>5.1267190000000001E-3</v>
      </c>
      <c r="AC445" s="122" t="s">
        <v>1837</v>
      </c>
    </row>
    <row r="446" spans="1:29" ht="12.75" hidden="1" customHeight="1">
      <c r="A446" s="125" t="str">
        <f t="shared" ref="A446:A509" si="49">+F446&amp;N446</f>
        <v/>
      </c>
      <c r="B446" s="125">
        <f>+IFERROR(VLOOKUP(L446,'DB Mapping'!A:D,4,0),0)</f>
        <v>0</v>
      </c>
      <c r="C446" s="125">
        <f>+IFERROR(VLOOKUP(L446,'DB Mapping'!A:C,3,0),0)</f>
        <v>0</v>
      </c>
      <c r="D446" s="125" t="str">
        <f t="shared" ref="D446:D509" si="50">+F446&amp;B446</f>
        <v>0</v>
      </c>
      <c r="E446" s="125" t="str">
        <f t="shared" ref="E446:E509" si="51">+F446&amp;C446</f>
        <v>0</v>
      </c>
      <c r="F446" s="150"/>
      <c r="L446" s="155"/>
      <c r="N446" s="156"/>
      <c r="Z446" s="154"/>
      <c r="AA446" s="154"/>
      <c r="AB446" s="152"/>
      <c r="AC446" s="122" t="s">
        <v>1837</v>
      </c>
    </row>
    <row r="447" spans="1:29" ht="12.75" hidden="1" customHeight="1">
      <c r="A447" s="125" t="str">
        <f t="shared" si="49"/>
        <v>LIC165INVESTMENTS - CBLO</v>
      </c>
      <c r="B447" s="125">
        <f>+IFERROR(VLOOKUP(L447,'DB Mapping'!A:D,4,0),0)</f>
        <v>0</v>
      </c>
      <c r="C447" s="125">
        <f>+IFERROR(VLOOKUP(L447,'DB Mapping'!A:C,3,0),0)</f>
        <v>0</v>
      </c>
      <c r="D447" s="125" t="str">
        <f t="shared" si="50"/>
        <v>LIC1650</v>
      </c>
      <c r="E447" s="125" t="str">
        <f t="shared" si="51"/>
        <v>LIC1650</v>
      </c>
      <c r="F447" s="150" t="s">
        <v>37</v>
      </c>
      <c r="G447" s="127" t="s">
        <v>453</v>
      </c>
      <c r="L447" s="212" t="s">
        <v>1711</v>
      </c>
      <c r="M447" s="212"/>
      <c r="N447" s="212" t="s">
        <v>1606</v>
      </c>
      <c r="Z447" s="213">
        <v>403149956.82999998</v>
      </c>
      <c r="AA447" s="213">
        <v>0</v>
      </c>
      <c r="AB447" s="152">
        <f t="shared" si="45"/>
        <v>40.314995682999999</v>
      </c>
      <c r="AC447" s="122" t="s">
        <v>1837</v>
      </c>
    </row>
    <row r="448" spans="1:29" ht="12.75" hidden="1" customHeight="1">
      <c r="A448" s="125" t="str">
        <f t="shared" si="49"/>
        <v>LIC165INVESTMENTS - EQUITIES</v>
      </c>
      <c r="B448" s="125">
        <f>+IFERROR(VLOOKUP(L448,'DB Mapping'!A:D,4,0),0)</f>
        <v>0</v>
      </c>
      <c r="C448" s="125">
        <f>+IFERROR(VLOOKUP(L448,'DB Mapping'!A:C,3,0),0)</f>
        <v>0</v>
      </c>
      <c r="D448" s="125" t="str">
        <f t="shared" si="50"/>
        <v>LIC1650</v>
      </c>
      <c r="E448" s="125" t="str">
        <f t="shared" si="51"/>
        <v>LIC1650</v>
      </c>
      <c r="F448" s="150" t="s">
        <v>37</v>
      </c>
      <c r="G448" s="127" t="s">
        <v>453</v>
      </c>
      <c r="L448" s="212" t="s">
        <v>1826</v>
      </c>
      <c r="M448" s="212"/>
      <c r="N448" s="212" t="s">
        <v>1607</v>
      </c>
      <c r="Z448" s="213">
        <v>0</v>
      </c>
      <c r="AA448" s="213">
        <v>0</v>
      </c>
      <c r="AB448" s="152">
        <f t="shared" si="45"/>
        <v>0</v>
      </c>
      <c r="AC448" s="122" t="s">
        <v>1837</v>
      </c>
    </row>
    <row r="449" spans="1:29" ht="12.75" hidden="1" customHeight="1">
      <c r="A449" s="125" t="str">
        <f t="shared" si="49"/>
        <v>LIC165INVESTMENTS - MUTUAL FUND UNITS</v>
      </c>
      <c r="B449" s="125">
        <f>+IFERROR(VLOOKUP(L449,'DB Mapping'!A:D,4,0),0)</f>
        <v>0</v>
      </c>
      <c r="C449" s="125">
        <f>+IFERROR(VLOOKUP(L449,'DB Mapping'!A:C,3,0),0)</f>
        <v>0</v>
      </c>
      <c r="D449" s="125" t="str">
        <f t="shared" si="50"/>
        <v>LIC1650</v>
      </c>
      <c r="E449" s="125" t="str">
        <f t="shared" si="51"/>
        <v>LIC1650</v>
      </c>
      <c r="F449" s="150" t="s">
        <v>37</v>
      </c>
      <c r="G449" s="127" t="s">
        <v>453</v>
      </c>
      <c r="L449" s="212" t="s">
        <v>1827</v>
      </c>
      <c r="M449" s="212"/>
      <c r="N449" s="212" t="s">
        <v>1703</v>
      </c>
      <c r="Z449" s="213">
        <v>0</v>
      </c>
      <c r="AA449" s="213">
        <v>0</v>
      </c>
      <c r="AB449" s="152">
        <f t="shared" si="45"/>
        <v>0</v>
      </c>
      <c r="AC449" s="122" t="s">
        <v>1837</v>
      </c>
    </row>
    <row r="450" spans="1:29" ht="12.75" hidden="1" customHeight="1">
      <c r="A450" s="125" t="str">
        <f t="shared" si="49"/>
        <v>LIC165UNREALISED APP/DEP - EQUITIES</v>
      </c>
      <c r="B450" s="125">
        <f>+IFERROR(VLOOKUP(L450,'DB Mapping'!A:D,4,0),0)</f>
        <v>0</v>
      </c>
      <c r="C450" s="125">
        <f>+IFERROR(VLOOKUP(L450,'DB Mapping'!A:C,3,0),0)</f>
        <v>0</v>
      </c>
      <c r="D450" s="125" t="str">
        <f t="shared" si="50"/>
        <v>LIC1650</v>
      </c>
      <c r="E450" s="125" t="str">
        <f t="shared" si="51"/>
        <v>LIC1650</v>
      </c>
      <c r="F450" s="150" t="s">
        <v>37</v>
      </c>
      <c r="G450" s="127" t="s">
        <v>453</v>
      </c>
      <c r="L450" s="212" t="s">
        <v>1828</v>
      </c>
      <c r="M450" s="212"/>
      <c r="N450" s="212" t="s">
        <v>1609</v>
      </c>
      <c r="Z450" s="213">
        <v>0</v>
      </c>
      <c r="AA450" s="213">
        <v>0</v>
      </c>
      <c r="AB450" s="152">
        <f t="shared" si="45"/>
        <v>0</v>
      </c>
      <c r="AC450" s="122" t="s">
        <v>1837</v>
      </c>
    </row>
    <row r="451" spans="1:29" ht="12.75" hidden="1" customHeight="1">
      <c r="A451" s="125" t="str">
        <f t="shared" si="49"/>
        <v>LIC165HDFC BANK CURRENT ACCOUNT</v>
      </c>
      <c r="B451" s="125">
        <f>+IFERROR(VLOOKUP(L451,'DB Mapping'!A:D,4,0),0)</f>
        <v>0</v>
      </c>
      <c r="C451" s="125">
        <f>+IFERROR(VLOOKUP(L451,'DB Mapping'!A:C,3,0),0)</f>
        <v>0</v>
      </c>
      <c r="D451" s="125" t="str">
        <f t="shared" si="50"/>
        <v>LIC1650</v>
      </c>
      <c r="E451" s="125" t="str">
        <f t="shared" si="51"/>
        <v>LIC1650</v>
      </c>
      <c r="F451" s="150" t="s">
        <v>37</v>
      </c>
      <c r="G451" s="127" t="s">
        <v>453</v>
      </c>
      <c r="L451" s="212" t="s">
        <v>1712</v>
      </c>
      <c r="M451" s="212"/>
      <c r="N451" s="212" t="s">
        <v>1612</v>
      </c>
      <c r="Z451" s="213">
        <v>0</v>
      </c>
      <c r="AA451" s="213">
        <v>0.18</v>
      </c>
      <c r="AB451" s="152">
        <f t="shared" si="45"/>
        <v>-1.7999999999999999E-8</v>
      </c>
      <c r="AC451" s="122" t="s">
        <v>1837</v>
      </c>
    </row>
    <row r="452" spans="1:29" ht="12.75" hidden="1" customHeight="1">
      <c r="A452" s="125" t="str">
        <f t="shared" si="49"/>
        <v>LIC165HDFC BANK</v>
      </c>
      <c r="B452" s="125">
        <f>+IFERROR(VLOOKUP(L452,'DB Mapping'!A:D,4,0),0)</f>
        <v>0</v>
      </c>
      <c r="C452" s="125">
        <f>+IFERROR(VLOOKUP(L452,'DB Mapping'!A:C,3,0),0)</f>
        <v>0</v>
      </c>
      <c r="D452" s="125" t="str">
        <f t="shared" si="50"/>
        <v>LIC1650</v>
      </c>
      <c r="E452" s="125" t="str">
        <f t="shared" si="51"/>
        <v>LIC1650</v>
      </c>
      <c r="F452" s="150" t="s">
        <v>37</v>
      </c>
      <c r="G452" s="127" t="s">
        <v>453</v>
      </c>
      <c r="L452" s="212" t="s">
        <v>1793</v>
      </c>
      <c r="M452" s="212"/>
      <c r="N452" s="212" t="s">
        <v>1613</v>
      </c>
      <c r="Z452" s="213">
        <v>0</v>
      </c>
      <c r="AA452" s="213">
        <v>7.38</v>
      </c>
      <c r="AB452" s="152">
        <f t="shared" si="45"/>
        <v>-7.3799999999999996E-7</v>
      </c>
      <c r="AC452" s="122" t="s">
        <v>1837</v>
      </c>
    </row>
    <row r="453" spans="1:29" ht="12.75" hidden="1" customHeight="1">
      <c r="A453" s="125" t="str">
        <f t="shared" si="49"/>
        <v>LIC165SETTLEMENT RECEIVABLE</v>
      </c>
      <c r="B453" s="125">
        <f>+IFERROR(VLOOKUP(L453,'DB Mapping'!A:D,4,0),0)</f>
        <v>0</v>
      </c>
      <c r="C453" s="125">
        <f>+IFERROR(VLOOKUP(L453,'DB Mapping'!A:C,3,0),0)</f>
        <v>0</v>
      </c>
      <c r="D453" s="125" t="str">
        <f t="shared" si="50"/>
        <v>LIC1650</v>
      </c>
      <c r="E453" s="125" t="str">
        <f t="shared" si="51"/>
        <v>LIC1650</v>
      </c>
      <c r="F453" s="150" t="s">
        <v>37</v>
      </c>
      <c r="G453" s="127" t="s">
        <v>453</v>
      </c>
      <c r="L453" s="212" t="s">
        <v>1829</v>
      </c>
      <c r="M453" s="212"/>
      <c r="N453" s="212" t="s">
        <v>1614</v>
      </c>
      <c r="Z453" s="213">
        <v>0</v>
      </c>
      <c r="AA453" s="213">
        <v>0</v>
      </c>
      <c r="AB453" s="152">
        <f t="shared" si="45"/>
        <v>0</v>
      </c>
      <c r="AC453" s="122" t="s">
        <v>1837</v>
      </c>
    </row>
    <row r="454" spans="1:29" ht="12.75" hidden="1" customHeight="1">
      <c r="A454" s="125" t="str">
        <f t="shared" si="49"/>
        <v>LIC165REDEMPTION RECEIVABLE - CBLO</v>
      </c>
      <c r="B454" s="125">
        <f>+IFERROR(VLOOKUP(L454,'DB Mapping'!A:D,4,0),0)</f>
        <v>0</v>
      </c>
      <c r="C454" s="125">
        <f>+IFERROR(VLOOKUP(L454,'DB Mapping'!A:C,3,0),0)</f>
        <v>0</v>
      </c>
      <c r="D454" s="125" t="str">
        <f t="shared" si="50"/>
        <v>LIC1650</v>
      </c>
      <c r="E454" s="125" t="str">
        <f t="shared" si="51"/>
        <v>LIC1650</v>
      </c>
      <c r="F454" s="150" t="s">
        <v>37</v>
      </c>
      <c r="G454" s="127" t="s">
        <v>453</v>
      </c>
      <c r="L454" s="212" t="s">
        <v>1713</v>
      </c>
      <c r="M454" s="212"/>
      <c r="N454" s="212" t="s">
        <v>1615</v>
      </c>
      <c r="Z454" s="213">
        <v>0</v>
      </c>
      <c r="AA454" s="213">
        <v>0</v>
      </c>
      <c r="AB454" s="152">
        <f t="shared" si="45"/>
        <v>0</v>
      </c>
      <c r="AC454" s="122" t="s">
        <v>1837</v>
      </c>
    </row>
    <row r="455" spans="1:29" ht="12.75" hidden="1" customHeight="1">
      <c r="A455" s="125" t="str">
        <f t="shared" si="49"/>
        <v>LIC165DIVIDEND RECEIVABLE - EQUITIES</v>
      </c>
      <c r="B455" s="125">
        <f>+IFERROR(VLOOKUP(L455,'DB Mapping'!A:D,4,0),0)</f>
        <v>0</v>
      </c>
      <c r="C455" s="125">
        <f>+IFERROR(VLOOKUP(L455,'DB Mapping'!A:C,3,0),0)</f>
        <v>0</v>
      </c>
      <c r="D455" s="125" t="str">
        <f t="shared" si="50"/>
        <v>LIC1650</v>
      </c>
      <c r="E455" s="125" t="str">
        <f t="shared" si="51"/>
        <v>LIC1650</v>
      </c>
      <c r="F455" s="150" t="s">
        <v>37</v>
      </c>
      <c r="G455" s="127" t="s">
        <v>453</v>
      </c>
      <c r="L455" s="212" t="s">
        <v>1830</v>
      </c>
      <c r="M455" s="212"/>
      <c r="N455" s="212" t="s">
        <v>1617</v>
      </c>
      <c r="Z455" s="213">
        <v>0</v>
      </c>
      <c r="AA455" s="213">
        <v>0</v>
      </c>
      <c r="AB455" s="152">
        <f t="shared" si="45"/>
        <v>0</v>
      </c>
      <c r="AC455" s="122" t="s">
        <v>1837</v>
      </c>
    </row>
    <row r="456" spans="1:29" ht="12.75" hidden="1" customHeight="1">
      <c r="A456" s="125" t="str">
        <f t="shared" si="49"/>
        <v>LIC165AMORTISATION RECEIVABLE - CBLO</v>
      </c>
      <c r="B456" s="125">
        <f>+IFERROR(VLOOKUP(L456,'DB Mapping'!A:D,4,0),0)</f>
        <v>0</v>
      </c>
      <c r="C456" s="125">
        <f>+IFERROR(VLOOKUP(L456,'DB Mapping'!A:C,3,0),0)</f>
        <v>0</v>
      </c>
      <c r="D456" s="125" t="str">
        <f t="shared" si="50"/>
        <v>LIC1650</v>
      </c>
      <c r="E456" s="125" t="str">
        <f t="shared" si="51"/>
        <v>LIC1650</v>
      </c>
      <c r="F456" s="150" t="s">
        <v>37</v>
      </c>
      <c r="G456" s="127" t="s">
        <v>453</v>
      </c>
      <c r="L456" s="212" t="s">
        <v>1715</v>
      </c>
      <c r="M456" s="212"/>
      <c r="N456" s="212" t="s">
        <v>1621</v>
      </c>
      <c r="Z456" s="213">
        <v>61670.9</v>
      </c>
      <c r="AA456" s="213">
        <v>0</v>
      </c>
      <c r="AB456" s="152">
        <f t="shared" si="45"/>
        <v>6.1670900000000001E-3</v>
      </c>
      <c r="AC456" s="122" t="s">
        <v>1837</v>
      </c>
    </row>
    <row r="457" spans="1:29" ht="12.75" hidden="1" customHeight="1">
      <c r="A457" s="125" t="str">
        <f t="shared" si="49"/>
        <v>LIC165AMC RECEIVABLE / PAYABLE</v>
      </c>
      <c r="B457" s="125">
        <f>+IFERROR(VLOOKUP(L457,'DB Mapping'!A:D,4,0),0)</f>
        <v>0</v>
      </c>
      <c r="C457" s="125">
        <f>+IFERROR(VLOOKUP(L457,'DB Mapping'!A:C,3,0),0)</f>
        <v>0</v>
      </c>
      <c r="D457" s="125" t="str">
        <f t="shared" si="50"/>
        <v>LIC1650</v>
      </c>
      <c r="E457" s="125" t="str">
        <f t="shared" si="51"/>
        <v>LIC1650</v>
      </c>
      <c r="F457" s="150" t="s">
        <v>37</v>
      </c>
      <c r="G457" s="127" t="s">
        <v>453</v>
      </c>
      <c r="L457" s="212" t="s">
        <v>1716</v>
      </c>
      <c r="M457" s="212"/>
      <c r="N457" s="212" t="s">
        <v>1704</v>
      </c>
      <c r="Z457" s="213">
        <v>0</v>
      </c>
      <c r="AA457" s="213">
        <v>0</v>
      </c>
      <c r="AB457" s="152">
        <f t="shared" si="45"/>
        <v>0</v>
      </c>
      <c r="AC457" s="122" t="s">
        <v>1837</v>
      </c>
    </row>
    <row r="458" spans="1:29" ht="12.75" hidden="1" customHeight="1">
      <c r="A458" s="125" t="str">
        <f t="shared" si="49"/>
        <v>LIC165RECEIVABLE - OTHER INCOME</v>
      </c>
      <c r="B458" s="125">
        <f>+IFERROR(VLOOKUP(L458,'DB Mapping'!A:D,4,0),0)</f>
        <v>0</v>
      </c>
      <c r="C458" s="125">
        <f>+IFERROR(VLOOKUP(L458,'DB Mapping'!A:C,3,0),0)</f>
        <v>0</v>
      </c>
      <c r="D458" s="125" t="str">
        <f t="shared" si="50"/>
        <v>LIC1650</v>
      </c>
      <c r="E458" s="125" t="str">
        <f t="shared" si="51"/>
        <v>LIC1650</v>
      </c>
      <c r="F458" s="150" t="s">
        <v>37</v>
      </c>
      <c r="G458" s="127" t="s">
        <v>453</v>
      </c>
      <c r="L458" s="212" t="s">
        <v>1804</v>
      </c>
      <c r="M458" s="212"/>
      <c r="N458" s="212" t="s">
        <v>1623</v>
      </c>
      <c r="Z458" s="213">
        <v>0</v>
      </c>
      <c r="AA458" s="213">
        <v>0</v>
      </c>
      <c r="AB458" s="152">
        <f t="shared" si="45"/>
        <v>0</v>
      </c>
      <c r="AC458" s="122" t="s">
        <v>1837</v>
      </c>
    </row>
    <row r="459" spans="1:29" ht="12.75" hidden="1" customHeight="1">
      <c r="A459" s="125" t="str">
        <f t="shared" si="49"/>
        <v>LIC165CCIL SETTLEMENT A/C</v>
      </c>
      <c r="B459" s="125">
        <f>+IFERROR(VLOOKUP(L459,'DB Mapping'!A:D,4,0),0)</f>
        <v>0</v>
      </c>
      <c r="C459" s="125">
        <f>+IFERROR(VLOOKUP(L459,'DB Mapping'!A:C,3,0),0)</f>
        <v>0</v>
      </c>
      <c r="D459" s="125" t="str">
        <f t="shared" si="50"/>
        <v>LIC1650</v>
      </c>
      <c r="E459" s="125" t="str">
        <f t="shared" si="51"/>
        <v>LIC1650</v>
      </c>
      <c r="F459" s="150" t="s">
        <v>37</v>
      </c>
      <c r="G459" s="127" t="s">
        <v>453</v>
      </c>
      <c r="L459" s="212" t="s">
        <v>1717</v>
      </c>
      <c r="M459" s="212"/>
      <c r="N459" s="212" t="s">
        <v>1624</v>
      </c>
      <c r="Z459" s="213">
        <v>61670.89</v>
      </c>
      <c r="AA459" s="213">
        <v>0</v>
      </c>
      <c r="AB459" s="152">
        <f t="shared" si="45"/>
        <v>6.1670889999999997E-3</v>
      </c>
      <c r="AC459" s="122" t="s">
        <v>1837</v>
      </c>
    </row>
    <row r="460" spans="1:29" ht="12.75" hidden="1" customHeight="1">
      <c r="A460" s="125" t="str">
        <f t="shared" si="49"/>
        <v>LIC165SETTLEMENT PAYABLE</v>
      </c>
      <c r="B460" s="125">
        <f>+IFERROR(VLOOKUP(L460,'DB Mapping'!A:D,4,0),0)</f>
        <v>0</v>
      </c>
      <c r="C460" s="125">
        <f>+IFERROR(VLOOKUP(L460,'DB Mapping'!A:C,3,0),0)</f>
        <v>0</v>
      </c>
      <c r="D460" s="125" t="str">
        <f t="shared" si="50"/>
        <v>LIC1650</v>
      </c>
      <c r="E460" s="125" t="str">
        <f t="shared" si="51"/>
        <v>LIC1650</v>
      </c>
      <c r="F460" s="150" t="s">
        <v>37</v>
      </c>
      <c r="G460" s="127" t="s">
        <v>453</v>
      </c>
      <c r="L460" s="212" t="s">
        <v>1718</v>
      </c>
      <c r="M460" s="212"/>
      <c r="N460" s="212" t="s">
        <v>1625</v>
      </c>
      <c r="Z460" s="213">
        <v>0</v>
      </c>
      <c r="AA460" s="213">
        <v>0</v>
      </c>
      <c r="AB460" s="152">
        <f t="shared" si="45"/>
        <v>0</v>
      </c>
      <c r="AC460" s="122" t="s">
        <v>1837</v>
      </c>
    </row>
    <row r="461" spans="1:29" ht="12.75" hidden="1" customHeight="1">
      <c r="A461" s="125" t="str">
        <f t="shared" si="49"/>
        <v>LIC165EXPENSE ALLOCATION - LIABILITY ACCOUNT</v>
      </c>
      <c r="B461" s="125">
        <f>+IFERROR(VLOOKUP(L461,'DB Mapping'!A:D,4,0),0)</f>
        <v>0</v>
      </c>
      <c r="C461" s="125">
        <f>+IFERROR(VLOOKUP(L461,'DB Mapping'!A:C,3,0),0)</f>
        <v>0</v>
      </c>
      <c r="D461" s="125" t="str">
        <f t="shared" si="50"/>
        <v>LIC1650</v>
      </c>
      <c r="E461" s="125" t="str">
        <f t="shared" si="51"/>
        <v>LIC1650</v>
      </c>
      <c r="F461" s="150" t="s">
        <v>37</v>
      </c>
      <c r="G461" s="127" t="s">
        <v>453</v>
      </c>
      <c r="L461" s="212" t="s">
        <v>1720</v>
      </c>
      <c r="M461" s="212"/>
      <c r="N461" s="212" t="s">
        <v>1626</v>
      </c>
      <c r="Z461" s="213">
        <v>111708.75</v>
      </c>
      <c r="AA461" s="213">
        <v>0</v>
      </c>
      <c r="AB461" s="152">
        <f t="shared" si="45"/>
        <v>1.1170875E-2</v>
      </c>
      <c r="AC461" s="122" t="s">
        <v>1837</v>
      </c>
    </row>
    <row r="462" spans="1:29" ht="12.75" hidden="1" customHeight="1">
      <c r="A462" s="125" t="str">
        <f t="shared" si="49"/>
        <v>LIC165PAYABLE - AUDIT FEES</v>
      </c>
      <c r="B462" s="125">
        <f>+IFERROR(VLOOKUP(L462,'DB Mapping'!A:D,4,0),0)</f>
        <v>0</v>
      </c>
      <c r="C462" s="125">
        <f>+IFERROR(VLOOKUP(L462,'DB Mapping'!A:C,3,0),0)</f>
        <v>0</v>
      </c>
      <c r="D462" s="125" t="str">
        <f t="shared" si="50"/>
        <v>LIC1650</v>
      </c>
      <c r="E462" s="125" t="str">
        <f t="shared" si="51"/>
        <v>LIC1650</v>
      </c>
      <c r="F462" s="150" t="s">
        <v>37</v>
      </c>
      <c r="G462" s="127" t="s">
        <v>453</v>
      </c>
      <c r="L462" s="212" t="s">
        <v>1722</v>
      </c>
      <c r="M462" s="212"/>
      <c r="N462" s="212" t="s">
        <v>1628</v>
      </c>
      <c r="Z462" s="213">
        <v>237.3</v>
      </c>
      <c r="AA462" s="213">
        <v>0</v>
      </c>
      <c r="AB462" s="152">
        <f t="shared" si="45"/>
        <v>2.3730000000000001E-5</v>
      </c>
      <c r="AC462" s="122" t="s">
        <v>1837</v>
      </c>
    </row>
    <row r="463" spans="1:29" ht="12.75" hidden="1" customHeight="1">
      <c r="A463" s="125" t="str">
        <f t="shared" si="49"/>
        <v>LIC165PAYABLE - CUSTODIAN FEE - CUSTODY</v>
      </c>
      <c r="B463" s="125">
        <f>+IFERROR(VLOOKUP(L463,'DB Mapping'!A:D,4,0),0)</f>
        <v>0</v>
      </c>
      <c r="C463" s="125">
        <f>+IFERROR(VLOOKUP(L463,'DB Mapping'!A:C,3,0),0)</f>
        <v>0</v>
      </c>
      <c r="D463" s="125" t="str">
        <f t="shared" si="50"/>
        <v>LIC1650</v>
      </c>
      <c r="E463" s="125" t="str">
        <f t="shared" si="51"/>
        <v>LIC1650</v>
      </c>
      <c r="F463" s="150" t="s">
        <v>37</v>
      </c>
      <c r="G463" s="127" t="s">
        <v>453</v>
      </c>
      <c r="L463" s="212" t="s">
        <v>1723</v>
      </c>
      <c r="M463" s="212"/>
      <c r="N463" s="212" t="s">
        <v>1705</v>
      </c>
      <c r="Z463" s="213">
        <v>0</v>
      </c>
      <c r="AA463" s="213">
        <v>489</v>
      </c>
      <c r="AB463" s="152">
        <f t="shared" si="45"/>
        <v>-4.8900000000000003E-5</v>
      </c>
      <c r="AC463" s="122" t="s">
        <v>1837</v>
      </c>
    </row>
    <row r="464" spans="1:29" ht="12.75" hidden="1" customHeight="1">
      <c r="A464" s="125" t="str">
        <f t="shared" si="49"/>
        <v>LIC165PAYABLE - TDS ON EXPENSES</v>
      </c>
      <c r="B464" s="125">
        <f>+IFERROR(VLOOKUP(L464,'DB Mapping'!A:D,4,0),0)</f>
        <v>0</v>
      </c>
      <c r="C464" s="125">
        <f>+IFERROR(VLOOKUP(L464,'DB Mapping'!A:C,3,0),0)</f>
        <v>0</v>
      </c>
      <c r="D464" s="125" t="str">
        <f t="shared" si="50"/>
        <v>LIC1650</v>
      </c>
      <c r="E464" s="125" t="str">
        <f t="shared" si="51"/>
        <v>LIC1650</v>
      </c>
      <c r="F464" s="150" t="s">
        <v>37</v>
      </c>
      <c r="G464" s="127" t="s">
        <v>453</v>
      </c>
      <c r="L464" s="212" t="s">
        <v>1724</v>
      </c>
      <c r="M464" s="212"/>
      <c r="N464" s="212" t="s">
        <v>1629</v>
      </c>
      <c r="Z464" s="213">
        <v>0</v>
      </c>
      <c r="AA464" s="213">
        <v>153.07</v>
      </c>
      <c r="AB464" s="152">
        <f t="shared" si="45"/>
        <v>-1.5307000000000001E-5</v>
      </c>
      <c r="AC464" s="122" t="s">
        <v>1837</v>
      </c>
    </row>
    <row r="465" spans="1:29" ht="12.75" hidden="1" customHeight="1">
      <c r="A465" s="125" t="str">
        <f t="shared" si="49"/>
        <v>LIC165TRANSACTION CHARGES PAYABLE - UNIT CAPITAL</v>
      </c>
      <c r="B465" s="125">
        <f>+IFERROR(VLOOKUP(L465,'DB Mapping'!A:D,4,0),0)</f>
        <v>0</v>
      </c>
      <c r="C465" s="125">
        <f>+IFERROR(VLOOKUP(L465,'DB Mapping'!A:C,3,0),0)</f>
        <v>0</v>
      </c>
      <c r="D465" s="125" t="str">
        <f t="shared" si="50"/>
        <v>LIC1650</v>
      </c>
      <c r="E465" s="125" t="str">
        <f t="shared" si="51"/>
        <v>LIC1650</v>
      </c>
      <c r="F465" s="150" t="s">
        <v>37</v>
      </c>
      <c r="G465" s="127" t="s">
        <v>453</v>
      </c>
      <c r="L465" s="212" t="s">
        <v>1726</v>
      </c>
      <c r="M465" s="212"/>
      <c r="N465" s="212" t="s">
        <v>1630</v>
      </c>
      <c r="Z465" s="213">
        <v>0</v>
      </c>
      <c r="AA465" s="213">
        <v>300</v>
      </c>
      <c r="AB465" s="152">
        <f t="shared" si="45"/>
        <v>-3.0000000000000001E-5</v>
      </c>
      <c r="AC465" s="122" t="s">
        <v>1837</v>
      </c>
    </row>
    <row r="466" spans="1:29" ht="12.75" hidden="1" customHeight="1">
      <c r="A466" s="125" t="str">
        <f t="shared" si="49"/>
        <v>LIC165PAYABLE - TDS ON WORKS CONTRACT</v>
      </c>
      <c r="B466" s="125">
        <f>+IFERROR(VLOOKUP(L466,'DB Mapping'!A:D,4,0),0)</f>
        <v>0</v>
      </c>
      <c r="C466" s="125">
        <f>+IFERROR(VLOOKUP(L466,'DB Mapping'!A:C,3,0),0)</f>
        <v>0</v>
      </c>
      <c r="D466" s="125" t="str">
        <f t="shared" si="50"/>
        <v>LIC1650</v>
      </c>
      <c r="E466" s="125" t="str">
        <f t="shared" si="51"/>
        <v>LIC1650</v>
      </c>
      <c r="F466" s="150" t="s">
        <v>37</v>
      </c>
      <c r="G466" s="127" t="s">
        <v>453</v>
      </c>
      <c r="L466" s="212" t="s">
        <v>1795</v>
      </c>
      <c r="M466" s="212"/>
      <c r="N466" s="212" t="s">
        <v>1631</v>
      </c>
      <c r="Z466" s="213">
        <v>0</v>
      </c>
      <c r="AA466" s="213">
        <v>0</v>
      </c>
      <c r="AB466" s="152">
        <f t="shared" si="45"/>
        <v>0</v>
      </c>
      <c r="AC466" s="122" t="s">
        <v>1837</v>
      </c>
    </row>
    <row r="467" spans="1:29" ht="12.75" hidden="1" customHeight="1">
      <c r="A467" s="125" t="str">
        <f t="shared" si="49"/>
        <v>LIC165PAYABLE - MANAGEMENT FEES</v>
      </c>
      <c r="B467" s="125">
        <f>+IFERROR(VLOOKUP(L467,'DB Mapping'!A:D,4,0),0)</f>
        <v>0</v>
      </c>
      <c r="C467" s="125">
        <f>+IFERROR(VLOOKUP(L467,'DB Mapping'!A:C,3,0),0)</f>
        <v>0</v>
      </c>
      <c r="D467" s="125" t="str">
        <f t="shared" si="50"/>
        <v>LIC1650</v>
      </c>
      <c r="E467" s="125" t="str">
        <f t="shared" si="51"/>
        <v>LIC1650</v>
      </c>
      <c r="F467" s="150" t="s">
        <v>37</v>
      </c>
      <c r="G467" s="127" t="s">
        <v>453</v>
      </c>
      <c r="L467" s="212" t="s">
        <v>1727</v>
      </c>
      <c r="M467" s="212"/>
      <c r="N467" s="212" t="s">
        <v>1632</v>
      </c>
      <c r="Z467" s="213">
        <v>0</v>
      </c>
      <c r="AA467" s="213">
        <v>82023.56</v>
      </c>
      <c r="AB467" s="152">
        <f t="shared" si="45"/>
        <v>-8.2023559999999992E-3</v>
      </c>
      <c r="AC467" s="122" t="s">
        <v>1837</v>
      </c>
    </row>
    <row r="468" spans="1:29" ht="12.75" hidden="1" customHeight="1">
      <c r="A468" s="125" t="str">
        <f t="shared" si="49"/>
        <v>LIC165PAYABLE - OTHER FEES</v>
      </c>
      <c r="B468" s="125">
        <f>+IFERROR(VLOOKUP(L468,'DB Mapping'!A:D,4,0),0)</f>
        <v>0</v>
      </c>
      <c r="C468" s="125">
        <f>+IFERROR(VLOOKUP(L468,'DB Mapping'!A:C,3,0),0)</f>
        <v>0</v>
      </c>
      <c r="D468" s="125" t="str">
        <f t="shared" si="50"/>
        <v>LIC1650</v>
      </c>
      <c r="E468" s="125" t="str">
        <f t="shared" si="51"/>
        <v>LIC1650</v>
      </c>
      <c r="F468" s="150" t="s">
        <v>37</v>
      </c>
      <c r="G468" s="127" t="s">
        <v>453</v>
      </c>
      <c r="L468" s="212" t="s">
        <v>1728</v>
      </c>
      <c r="M468" s="212"/>
      <c r="N468" s="212" t="s">
        <v>1633</v>
      </c>
      <c r="Z468" s="213">
        <v>0</v>
      </c>
      <c r="AA468" s="213">
        <v>442599.22</v>
      </c>
      <c r="AB468" s="152">
        <f t="shared" si="45"/>
        <v>-4.4259922E-2</v>
      </c>
      <c r="AC468" s="122" t="s">
        <v>1837</v>
      </c>
    </row>
    <row r="469" spans="1:29" ht="12.75" hidden="1" customHeight="1">
      <c r="A469" s="125" t="str">
        <f t="shared" si="49"/>
        <v>LIC165PAYABLE - OTHER FEES (SELLING &amp; DISTRIBUTION)</v>
      </c>
      <c r="B469" s="125">
        <f>+IFERROR(VLOOKUP(L469,'DB Mapping'!A:D,4,0),0)</f>
        <v>0</v>
      </c>
      <c r="C469" s="125">
        <f>+IFERROR(VLOOKUP(L469,'DB Mapping'!A:C,3,0),0)</f>
        <v>0</v>
      </c>
      <c r="D469" s="125" t="str">
        <f t="shared" si="50"/>
        <v>LIC1650</v>
      </c>
      <c r="E469" s="125" t="str">
        <f t="shared" si="51"/>
        <v>LIC1650</v>
      </c>
      <c r="F469" s="150" t="s">
        <v>37</v>
      </c>
      <c r="G469" s="127" t="s">
        <v>453</v>
      </c>
      <c r="L469" s="212" t="s">
        <v>1729</v>
      </c>
      <c r="M469" s="212"/>
      <c r="N469" s="212" t="s">
        <v>1634</v>
      </c>
      <c r="Z469" s="213">
        <v>0</v>
      </c>
      <c r="AA469" s="213">
        <v>361540.65</v>
      </c>
      <c r="AB469" s="152">
        <f t="shared" si="45"/>
        <v>-3.6154064999999999E-2</v>
      </c>
      <c r="AC469" s="122" t="s">
        <v>1837</v>
      </c>
    </row>
    <row r="470" spans="1:29" ht="12.75" hidden="1" customHeight="1">
      <c r="A470" s="125" t="str">
        <f t="shared" si="49"/>
        <v>LIC165PAYABLE - SERVICE TAX</v>
      </c>
      <c r="B470" s="125">
        <f>+IFERROR(VLOOKUP(L470,'DB Mapping'!A:D,4,0),0)</f>
        <v>0</v>
      </c>
      <c r="C470" s="125">
        <f>+IFERROR(VLOOKUP(L470,'DB Mapping'!A:C,3,0),0)</f>
        <v>0</v>
      </c>
      <c r="D470" s="125" t="str">
        <f t="shared" si="50"/>
        <v>LIC1650</v>
      </c>
      <c r="E470" s="125" t="str">
        <f t="shared" si="51"/>
        <v>LIC1650</v>
      </c>
      <c r="F470" s="150" t="s">
        <v>37</v>
      </c>
      <c r="G470" s="127" t="s">
        <v>453</v>
      </c>
      <c r="L470" s="212" t="s">
        <v>1730</v>
      </c>
      <c r="M470" s="212"/>
      <c r="N470" s="212" t="s">
        <v>1635</v>
      </c>
      <c r="Z470" s="213">
        <v>0</v>
      </c>
      <c r="AA470" s="213">
        <v>0</v>
      </c>
      <c r="AB470" s="152">
        <f t="shared" si="45"/>
        <v>0</v>
      </c>
      <c r="AC470" s="122" t="s">
        <v>1837</v>
      </c>
    </row>
    <row r="471" spans="1:29" ht="12.75" hidden="1" customHeight="1">
      <c r="A471" s="125" t="str">
        <f t="shared" si="49"/>
        <v>LIC165PAYABLE - TRAIL BROKERAGE</v>
      </c>
      <c r="B471" s="125">
        <f>+IFERROR(VLOOKUP(L471,'DB Mapping'!A:D,4,0),0)</f>
        <v>0</v>
      </c>
      <c r="C471" s="125">
        <f>+IFERROR(VLOOKUP(L471,'DB Mapping'!A:C,3,0),0)</f>
        <v>0</v>
      </c>
      <c r="D471" s="125" t="str">
        <f t="shared" si="50"/>
        <v>LIC1650</v>
      </c>
      <c r="E471" s="125" t="str">
        <f t="shared" si="51"/>
        <v>LIC1650</v>
      </c>
      <c r="F471" s="150" t="s">
        <v>37</v>
      </c>
      <c r="G471" s="127" t="s">
        <v>453</v>
      </c>
      <c r="L471" s="212" t="s">
        <v>1731</v>
      </c>
      <c r="M471" s="212"/>
      <c r="N471" s="212" t="s">
        <v>1636</v>
      </c>
      <c r="Z471" s="213">
        <v>0</v>
      </c>
      <c r="AA471" s="213">
        <v>0</v>
      </c>
      <c r="AB471" s="152">
        <f t="shared" si="45"/>
        <v>0</v>
      </c>
      <c r="AC471" s="122" t="s">
        <v>1837</v>
      </c>
    </row>
    <row r="472" spans="1:29" ht="12.75" hidden="1" customHeight="1">
      <c r="A472" s="125" t="str">
        <f t="shared" si="49"/>
        <v>LIC165PAYABLE - INTERNAL AUDIT FEES</v>
      </c>
      <c r="B472" s="125">
        <f>+IFERROR(VLOOKUP(L472,'DB Mapping'!A:D,4,0),0)</f>
        <v>0</v>
      </c>
      <c r="C472" s="125">
        <f>+IFERROR(VLOOKUP(L472,'DB Mapping'!A:C,3,0),0)</f>
        <v>0</v>
      </c>
      <c r="D472" s="125" t="str">
        <f t="shared" si="50"/>
        <v>LIC1650</v>
      </c>
      <c r="E472" s="125" t="str">
        <f t="shared" si="51"/>
        <v>LIC1650</v>
      </c>
      <c r="F472" s="150" t="s">
        <v>37</v>
      </c>
      <c r="G472" s="127" t="s">
        <v>453</v>
      </c>
      <c r="L472" s="212" t="s">
        <v>1732</v>
      </c>
      <c r="M472" s="212"/>
      <c r="N472" s="212" t="s">
        <v>1637</v>
      </c>
      <c r="Z472" s="213">
        <v>0</v>
      </c>
      <c r="AA472" s="213">
        <v>5050.92</v>
      </c>
      <c r="AB472" s="152">
        <f t="shared" si="45"/>
        <v>-5.0509199999999995E-4</v>
      </c>
      <c r="AC472" s="122" t="s">
        <v>1837</v>
      </c>
    </row>
    <row r="473" spans="1:29" ht="12.75" hidden="1" customHeight="1">
      <c r="A473" s="125" t="str">
        <f t="shared" si="49"/>
        <v>LIC165CGST EXPS PAYABLE ON MFEES</v>
      </c>
      <c r="B473" s="125">
        <f>+IFERROR(VLOOKUP(L473,'DB Mapping'!A:D,4,0),0)</f>
        <v>0</v>
      </c>
      <c r="C473" s="125">
        <f>+IFERROR(VLOOKUP(L473,'DB Mapping'!A:C,3,0),0)</f>
        <v>0</v>
      </c>
      <c r="D473" s="125" t="str">
        <f t="shared" si="50"/>
        <v>LIC1650</v>
      </c>
      <c r="E473" s="125" t="str">
        <f t="shared" si="51"/>
        <v>LIC1650</v>
      </c>
      <c r="F473" s="150" t="s">
        <v>37</v>
      </c>
      <c r="G473" s="127" t="s">
        <v>453</v>
      </c>
      <c r="L473" s="212" t="s">
        <v>1733</v>
      </c>
      <c r="M473" s="212"/>
      <c r="N473" s="212" t="s">
        <v>1638</v>
      </c>
      <c r="Z473" s="213">
        <v>0</v>
      </c>
      <c r="AA473" s="213">
        <v>7381.99</v>
      </c>
      <c r="AB473" s="152">
        <f t="shared" si="45"/>
        <v>-7.3819899999999993E-4</v>
      </c>
      <c r="AC473" s="122" t="s">
        <v>1837</v>
      </c>
    </row>
    <row r="474" spans="1:29" ht="12.75" hidden="1" customHeight="1">
      <c r="A474" s="125" t="str">
        <f t="shared" si="49"/>
        <v>LIC165SGST EXPS PAYABLE ON MFEES</v>
      </c>
      <c r="B474" s="125">
        <f>+IFERROR(VLOOKUP(L474,'DB Mapping'!A:D,4,0),0)</f>
        <v>0</v>
      </c>
      <c r="C474" s="125">
        <f>+IFERROR(VLOOKUP(L474,'DB Mapping'!A:C,3,0),0)</f>
        <v>0</v>
      </c>
      <c r="D474" s="125" t="str">
        <f t="shared" si="50"/>
        <v>LIC1650</v>
      </c>
      <c r="E474" s="125" t="str">
        <f t="shared" si="51"/>
        <v>LIC1650</v>
      </c>
      <c r="F474" s="150" t="s">
        <v>37</v>
      </c>
      <c r="G474" s="127" t="s">
        <v>453</v>
      </c>
      <c r="L474" s="212" t="s">
        <v>1734</v>
      </c>
      <c r="M474" s="212"/>
      <c r="N474" s="212" t="s">
        <v>1639</v>
      </c>
      <c r="Z474" s="213">
        <v>0</v>
      </c>
      <c r="AA474" s="213">
        <v>7381.99</v>
      </c>
      <c r="AB474" s="152">
        <f t="shared" si="45"/>
        <v>-7.3819899999999993E-4</v>
      </c>
      <c r="AC474" s="122" t="s">
        <v>1837</v>
      </c>
    </row>
    <row r="475" spans="1:29" ht="12.75" hidden="1" customHeight="1">
      <c r="A475" s="125" t="str">
        <f t="shared" si="49"/>
        <v>LIC165PAYABLE - INVESTOR EDUCATION FUND</v>
      </c>
      <c r="B475" s="125">
        <f>+IFERROR(VLOOKUP(L475,'DB Mapping'!A:D,4,0),0)</f>
        <v>0</v>
      </c>
      <c r="C475" s="125">
        <f>+IFERROR(VLOOKUP(L475,'DB Mapping'!A:C,3,0),0)</f>
        <v>0</v>
      </c>
      <c r="D475" s="125" t="str">
        <f t="shared" si="50"/>
        <v>LIC1650</v>
      </c>
      <c r="E475" s="125" t="str">
        <f t="shared" si="51"/>
        <v>LIC1650</v>
      </c>
      <c r="F475" s="150" t="s">
        <v>37</v>
      </c>
      <c r="G475" s="127" t="s">
        <v>453</v>
      </c>
      <c r="L475" s="212" t="s">
        <v>1735</v>
      </c>
      <c r="M475" s="212"/>
      <c r="N475" s="212" t="s">
        <v>1640</v>
      </c>
      <c r="Z475" s="213">
        <v>0</v>
      </c>
      <c r="AA475" s="213">
        <v>441.01</v>
      </c>
      <c r="AB475" s="152">
        <f t="shared" si="45"/>
        <v>-4.4100999999999997E-5</v>
      </c>
      <c r="AC475" s="122" t="s">
        <v>1837</v>
      </c>
    </row>
    <row r="476" spans="1:29" ht="12.75" hidden="1" customHeight="1">
      <c r="A476" s="125" t="str">
        <f t="shared" si="49"/>
        <v>LIC165PAYABLE - INVESTOR EDUCATION FUND - AMFI</v>
      </c>
      <c r="B476" s="125">
        <f>+IFERROR(VLOOKUP(L476,'DB Mapping'!A:D,4,0),0)</f>
        <v>0</v>
      </c>
      <c r="C476" s="125">
        <f>+IFERROR(VLOOKUP(L476,'DB Mapping'!A:C,3,0),0)</f>
        <v>0</v>
      </c>
      <c r="D476" s="125" t="str">
        <f t="shared" si="50"/>
        <v>LIC1650</v>
      </c>
      <c r="E476" s="125" t="str">
        <f t="shared" si="51"/>
        <v>LIC1650</v>
      </c>
      <c r="F476" s="150" t="s">
        <v>37</v>
      </c>
      <c r="G476" s="127" t="s">
        <v>453</v>
      </c>
      <c r="L476" s="212" t="s">
        <v>1737</v>
      </c>
      <c r="M476" s="212"/>
      <c r="N476" s="212" t="s">
        <v>1641</v>
      </c>
      <c r="Z476" s="213">
        <v>0</v>
      </c>
      <c r="AA476" s="213">
        <v>441.01</v>
      </c>
      <c r="AB476" s="152">
        <f t="shared" si="45"/>
        <v>-4.4100999999999997E-5</v>
      </c>
      <c r="AC476" s="122" t="s">
        <v>1837</v>
      </c>
    </row>
    <row r="477" spans="1:29" ht="12.75" hidden="1" customHeight="1">
      <c r="A477" s="125" t="str">
        <f t="shared" si="49"/>
        <v>LIC165Other Liability – CGST on Brokerage A/C</v>
      </c>
      <c r="B477" s="125">
        <f>+IFERROR(VLOOKUP(L477,'DB Mapping'!A:D,4,0),0)</f>
        <v>0</v>
      </c>
      <c r="C477" s="125">
        <f>+IFERROR(VLOOKUP(L477,'DB Mapping'!A:C,3,0),0)</f>
        <v>0</v>
      </c>
      <c r="D477" s="125" t="str">
        <f t="shared" si="50"/>
        <v>LIC1650</v>
      </c>
      <c r="E477" s="125" t="str">
        <f t="shared" si="51"/>
        <v>LIC1650</v>
      </c>
      <c r="F477" s="150" t="s">
        <v>37</v>
      </c>
      <c r="G477" s="127" t="s">
        <v>453</v>
      </c>
      <c r="L477" s="212" t="s">
        <v>1738</v>
      </c>
      <c r="M477" s="212"/>
      <c r="N477" s="212" t="s">
        <v>1642</v>
      </c>
      <c r="Z477" s="213">
        <v>0</v>
      </c>
      <c r="AA477" s="213">
        <v>0</v>
      </c>
      <c r="AB477" s="152">
        <f t="shared" si="45"/>
        <v>0</v>
      </c>
      <c r="AC477" s="122" t="s">
        <v>1837</v>
      </c>
    </row>
    <row r="478" spans="1:29" ht="12.75" hidden="1" customHeight="1">
      <c r="A478" s="125" t="str">
        <f t="shared" si="49"/>
        <v>LIC165Other Liability – SGST on Brokerage A/C</v>
      </c>
      <c r="B478" s="125">
        <f>+IFERROR(VLOOKUP(L478,'DB Mapping'!A:D,4,0),0)</f>
        <v>0</v>
      </c>
      <c r="C478" s="125">
        <f>+IFERROR(VLOOKUP(L478,'DB Mapping'!A:C,3,0),0)</f>
        <v>0</v>
      </c>
      <c r="D478" s="125" t="str">
        <f t="shared" si="50"/>
        <v>LIC1650</v>
      </c>
      <c r="E478" s="125" t="str">
        <f t="shared" si="51"/>
        <v>LIC1650</v>
      </c>
      <c r="F478" s="150" t="s">
        <v>37</v>
      </c>
      <c r="G478" s="127" t="s">
        <v>453</v>
      </c>
      <c r="L478" s="212" t="s">
        <v>1739</v>
      </c>
      <c r="M478" s="212"/>
      <c r="N478" s="212" t="s">
        <v>1643</v>
      </c>
      <c r="Z478" s="213">
        <v>0</v>
      </c>
      <c r="AA478" s="213">
        <v>0</v>
      </c>
      <c r="AB478" s="152">
        <f t="shared" si="45"/>
        <v>0</v>
      </c>
      <c r="AC478" s="122" t="s">
        <v>1837</v>
      </c>
    </row>
    <row r="479" spans="1:29" ht="12.75" hidden="1" customHeight="1">
      <c r="A479" s="125" t="str">
        <f t="shared" si="49"/>
        <v>LIC165Other Liability – IGST on Brokerage A/C</v>
      </c>
      <c r="B479" s="125">
        <f>+IFERROR(VLOOKUP(L479,'DB Mapping'!A:D,4,0),0)</f>
        <v>0</v>
      </c>
      <c r="C479" s="125">
        <f>+IFERROR(VLOOKUP(L479,'DB Mapping'!A:C,3,0),0)</f>
        <v>0</v>
      </c>
      <c r="D479" s="125" t="str">
        <f t="shared" si="50"/>
        <v>LIC1650</v>
      </c>
      <c r="E479" s="125" t="str">
        <f t="shared" si="51"/>
        <v>LIC1650</v>
      </c>
      <c r="F479" s="150" t="s">
        <v>37</v>
      </c>
      <c r="G479" s="127" t="s">
        <v>453</v>
      </c>
      <c r="L479" s="212" t="s">
        <v>1740</v>
      </c>
      <c r="M479" s="212"/>
      <c r="N479" s="212" t="s">
        <v>1644</v>
      </c>
      <c r="Z479" s="213">
        <v>0</v>
      </c>
      <c r="AA479" s="213">
        <v>0</v>
      </c>
      <c r="AB479" s="152">
        <f t="shared" si="45"/>
        <v>0</v>
      </c>
      <c r="AC479" s="122" t="s">
        <v>1837</v>
      </c>
    </row>
    <row r="480" spans="1:29" ht="12.75" hidden="1" customHeight="1">
      <c r="A480" s="125" t="str">
        <f t="shared" si="49"/>
        <v>LIC165CLIENT SERVICING FEES PAYABLE</v>
      </c>
      <c r="B480" s="125">
        <f>+IFERROR(VLOOKUP(L480,'DB Mapping'!A:D,4,0),0)</f>
        <v>0</v>
      </c>
      <c r="C480" s="125">
        <f>+IFERROR(VLOOKUP(L480,'DB Mapping'!A:C,3,0),0)</f>
        <v>0</v>
      </c>
      <c r="D480" s="125" t="str">
        <f t="shared" si="50"/>
        <v>LIC1650</v>
      </c>
      <c r="E480" s="125" t="str">
        <f t="shared" si="51"/>
        <v>LIC1650</v>
      </c>
      <c r="F480" s="150" t="s">
        <v>37</v>
      </c>
      <c r="G480" s="127" t="s">
        <v>453</v>
      </c>
      <c r="L480" s="212" t="s">
        <v>1742</v>
      </c>
      <c r="M480" s="212"/>
      <c r="N480" s="212" t="s">
        <v>1646</v>
      </c>
      <c r="Z480" s="213">
        <v>0</v>
      </c>
      <c r="AA480" s="213">
        <v>41546.46</v>
      </c>
      <c r="AB480" s="152">
        <f t="shared" si="45"/>
        <v>-4.1546459999999997E-3</v>
      </c>
      <c r="AC480" s="122" t="s">
        <v>1837</v>
      </c>
    </row>
    <row r="481" spans="1:29" ht="12.75" hidden="1" customHeight="1">
      <c r="A481" s="125" t="str">
        <f t="shared" si="49"/>
        <v>LIC165PROVISION FOR OPERATING EXPENSES</v>
      </c>
      <c r="B481" s="125">
        <f>+IFERROR(VLOOKUP(L481,'DB Mapping'!A:D,4,0),0)</f>
        <v>0</v>
      </c>
      <c r="C481" s="125">
        <f>+IFERROR(VLOOKUP(L481,'DB Mapping'!A:C,3,0),0)</f>
        <v>0</v>
      </c>
      <c r="D481" s="125" t="str">
        <f t="shared" si="50"/>
        <v>LIC1650</v>
      </c>
      <c r="E481" s="125" t="str">
        <f t="shared" si="51"/>
        <v>LIC1650</v>
      </c>
      <c r="F481" s="150" t="s">
        <v>37</v>
      </c>
      <c r="G481" s="127" t="s">
        <v>453</v>
      </c>
      <c r="L481" s="212" t="s">
        <v>1798</v>
      </c>
      <c r="M481" s="212"/>
      <c r="N481" s="212" t="s">
        <v>1647</v>
      </c>
      <c r="Z481" s="213">
        <v>0</v>
      </c>
      <c r="AA481" s="213">
        <v>6946.69</v>
      </c>
      <c r="AB481" s="152">
        <f t="shared" si="45"/>
        <v>-6.9466899999999997E-4</v>
      </c>
      <c r="AC481" s="122" t="s">
        <v>1837</v>
      </c>
    </row>
    <row r="482" spans="1:29" ht="12.75" hidden="1" customHeight="1">
      <c r="A482" s="125" t="str">
        <f t="shared" si="49"/>
        <v>LIC165PROVISION FOR WITHHOLDING BROKERAGE</v>
      </c>
      <c r="B482" s="125">
        <f>+IFERROR(VLOOKUP(L482,'DB Mapping'!A:D,4,0),0)</f>
        <v>0</v>
      </c>
      <c r="C482" s="125">
        <f>+IFERROR(VLOOKUP(L482,'DB Mapping'!A:C,3,0),0)</f>
        <v>0</v>
      </c>
      <c r="D482" s="125" t="str">
        <f t="shared" si="50"/>
        <v>LIC1650</v>
      </c>
      <c r="E482" s="125" t="str">
        <f t="shared" si="51"/>
        <v>LIC1650</v>
      </c>
      <c r="F482" s="150" t="s">
        <v>37</v>
      </c>
      <c r="G482" s="127" t="s">
        <v>453</v>
      </c>
      <c r="L482" s="212" t="s">
        <v>1743</v>
      </c>
      <c r="M482" s="212"/>
      <c r="N482" s="212" t="s">
        <v>1648</v>
      </c>
      <c r="Z482" s="213">
        <v>0</v>
      </c>
      <c r="AA482" s="213">
        <v>25681.119999999999</v>
      </c>
      <c r="AB482" s="152">
        <f t="shared" si="45"/>
        <v>-2.568112E-3</v>
      </c>
      <c r="AC482" s="122" t="s">
        <v>1837</v>
      </c>
    </row>
    <row r="483" spans="1:29" ht="12.75" hidden="1" customHeight="1">
      <c r="A483" s="125" t="str">
        <f t="shared" si="49"/>
        <v>LIC165PROV FOR WITHHOLDING BROKERAGE FY 2016-17</v>
      </c>
      <c r="B483" s="125">
        <f>+IFERROR(VLOOKUP(L483,'DB Mapping'!A:D,4,0),0)</f>
        <v>0</v>
      </c>
      <c r="C483" s="125">
        <f>+IFERROR(VLOOKUP(L483,'DB Mapping'!A:C,3,0),0)</f>
        <v>0</v>
      </c>
      <c r="D483" s="125" t="str">
        <f t="shared" si="50"/>
        <v>LIC1650</v>
      </c>
      <c r="E483" s="125" t="str">
        <f t="shared" si="51"/>
        <v>LIC1650</v>
      </c>
      <c r="F483" s="150" t="s">
        <v>37</v>
      </c>
      <c r="G483" s="127" t="s">
        <v>453</v>
      </c>
      <c r="L483" s="212" t="s">
        <v>1744</v>
      </c>
      <c r="M483" s="212"/>
      <c r="N483" s="212" t="s">
        <v>1649</v>
      </c>
      <c r="Z483" s="213">
        <v>10442.91</v>
      </c>
      <c r="AA483" s="213">
        <v>0</v>
      </c>
      <c r="AB483" s="152">
        <f t="shared" si="45"/>
        <v>1.0442909999999999E-3</v>
      </c>
      <c r="AC483" s="122" t="s">
        <v>1837</v>
      </c>
    </row>
    <row r="484" spans="1:29" ht="12.75" hidden="1" customHeight="1">
      <c r="A484" s="125" t="str">
        <f t="shared" si="49"/>
        <v>LIC165PAYABLE - WITHHOLD BROKERAGE</v>
      </c>
      <c r="B484" s="125">
        <f>+IFERROR(VLOOKUP(L484,'DB Mapping'!A:D,4,0),0)</f>
        <v>0</v>
      </c>
      <c r="C484" s="125">
        <f>+IFERROR(VLOOKUP(L484,'DB Mapping'!A:C,3,0),0)</f>
        <v>0</v>
      </c>
      <c r="D484" s="125" t="str">
        <f t="shared" si="50"/>
        <v>LIC1650</v>
      </c>
      <c r="E484" s="125" t="str">
        <f t="shared" si="51"/>
        <v>LIC1650</v>
      </c>
      <c r="F484" s="150" t="s">
        <v>37</v>
      </c>
      <c r="G484" s="127" t="s">
        <v>453</v>
      </c>
      <c r="L484" s="212" t="s">
        <v>1745</v>
      </c>
      <c r="M484" s="212"/>
      <c r="N484" s="212" t="s">
        <v>1650</v>
      </c>
      <c r="Z484" s="213">
        <v>0</v>
      </c>
      <c r="AA484" s="213">
        <v>3600.3</v>
      </c>
      <c r="AB484" s="152">
        <f t="shared" si="45"/>
        <v>-3.6003000000000001E-4</v>
      </c>
      <c r="AC484" s="122" t="s">
        <v>1837</v>
      </c>
    </row>
    <row r="485" spans="1:29" ht="12.75" hidden="1" customHeight="1">
      <c r="A485" s="125" t="str">
        <f t="shared" si="49"/>
        <v>LIC165UNIT CAPITAL - REGULAR DIV</v>
      </c>
      <c r="B485" s="125">
        <f>+IFERROR(VLOOKUP(L485,'DB Mapping'!A:D,4,0),0)</f>
        <v>0</v>
      </c>
      <c r="C485" s="125" t="str">
        <f>+IFERROR(VLOOKUP(L485,'DB Mapping'!A:C,3,0),0)</f>
        <v>Unit Capital</v>
      </c>
      <c r="D485" s="125" t="str">
        <f t="shared" si="50"/>
        <v>LIC1650</v>
      </c>
      <c r="E485" s="125" t="str">
        <f t="shared" si="51"/>
        <v>LIC165Unit Capital</v>
      </c>
      <c r="F485" s="150" t="s">
        <v>37</v>
      </c>
      <c r="G485" s="127" t="s">
        <v>453</v>
      </c>
      <c r="L485" s="212" t="s">
        <v>1746</v>
      </c>
      <c r="M485" s="212"/>
      <c r="N485" s="212" t="s">
        <v>1651</v>
      </c>
      <c r="Z485" s="213">
        <v>0</v>
      </c>
      <c r="AA485" s="213">
        <v>25160611.899999999</v>
      </c>
      <c r="AB485" s="152">
        <f t="shared" si="45"/>
        <v>-2.5160611899999998</v>
      </c>
      <c r="AC485" s="122" t="s">
        <v>1837</v>
      </c>
    </row>
    <row r="486" spans="1:29" ht="12.75" hidden="1" customHeight="1">
      <c r="A486" s="125" t="str">
        <f t="shared" si="49"/>
        <v>LIC165UNIT CAPITAL - REGULAR GROWTH</v>
      </c>
      <c r="B486" s="125">
        <f>+IFERROR(VLOOKUP(L486,'DB Mapping'!A:D,4,0),0)</f>
        <v>0</v>
      </c>
      <c r="C486" s="125" t="str">
        <f>+IFERROR(VLOOKUP(L486,'DB Mapping'!A:C,3,0),0)</f>
        <v>Unit Capital</v>
      </c>
      <c r="D486" s="125" t="str">
        <f t="shared" si="50"/>
        <v>LIC1650</v>
      </c>
      <c r="E486" s="125" t="str">
        <f t="shared" si="51"/>
        <v>LIC165Unit Capital</v>
      </c>
      <c r="F486" s="150" t="s">
        <v>37</v>
      </c>
      <c r="G486" s="127" t="s">
        <v>453</v>
      </c>
      <c r="L486" s="212" t="s">
        <v>1747</v>
      </c>
      <c r="M486" s="212"/>
      <c r="N486" s="212" t="s">
        <v>1652</v>
      </c>
      <c r="Z486" s="213">
        <v>0</v>
      </c>
      <c r="AA486" s="213">
        <v>219051042.94999999</v>
      </c>
      <c r="AB486" s="152">
        <f t="shared" si="45"/>
        <v>-21.905104294999997</v>
      </c>
      <c r="AC486" s="122" t="s">
        <v>1837</v>
      </c>
    </row>
    <row r="487" spans="1:29" ht="12.75" hidden="1" customHeight="1">
      <c r="A487" s="125" t="str">
        <f t="shared" si="49"/>
        <v>LIC165UNIT CAPITAL - DIRECT DIVIDEND</v>
      </c>
      <c r="B487" s="125">
        <f>+IFERROR(VLOOKUP(L487,'DB Mapping'!A:D,4,0),0)</f>
        <v>0</v>
      </c>
      <c r="C487" s="125" t="str">
        <f>+IFERROR(VLOOKUP(L487,'DB Mapping'!A:C,3,0),0)</f>
        <v>Unit Capital</v>
      </c>
      <c r="D487" s="125" t="str">
        <f t="shared" si="50"/>
        <v>LIC1650</v>
      </c>
      <c r="E487" s="125" t="str">
        <f t="shared" si="51"/>
        <v>LIC165Unit Capital</v>
      </c>
      <c r="F487" s="150" t="s">
        <v>37</v>
      </c>
      <c r="G487" s="127" t="s">
        <v>453</v>
      </c>
      <c r="L487" s="212" t="s">
        <v>1748</v>
      </c>
      <c r="M487" s="212"/>
      <c r="N487" s="212" t="s">
        <v>1653</v>
      </c>
      <c r="Z487" s="213">
        <v>0</v>
      </c>
      <c r="AA487" s="213">
        <v>3250226.34</v>
      </c>
      <c r="AB487" s="152">
        <f t="shared" si="45"/>
        <v>-0.32502263399999998</v>
      </c>
      <c r="AC487" s="122" t="s">
        <v>1837</v>
      </c>
    </row>
    <row r="488" spans="1:29" ht="12.75" hidden="1" customHeight="1">
      <c r="A488" s="125" t="str">
        <f t="shared" si="49"/>
        <v>LIC165UNIT CAPITAL - DIRECT GROWTH</v>
      </c>
      <c r="B488" s="125">
        <f>+IFERROR(VLOOKUP(L488,'DB Mapping'!A:D,4,0),0)</f>
        <v>0</v>
      </c>
      <c r="C488" s="125" t="str">
        <f>+IFERROR(VLOOKUP(L488,'DB Mapping'!A:C,3,0),0)</f>
        <v>Unit Capital</v>
      </c>
      <c r="D488" s="125" t="str">
        <f t="shared" si="50"/>
        <v>LIC1650</v>
      </c>
      <c r="E488" s="125" t="str">
        <f t="shared" si="51"/>
        <v>LIC165Unit Capital</v>
      </c>
      <c r="F488" s="150" t="s">
        <v>37</v>
      </c>
      <c r="G488" s="127" t="s">
        <v>453</v>
      </c>
      <c r="L488" s="212" t="s">
        <v>1749</v>
      </c>
      <c r="M488" s="212"/>
      <c r="N488" s="212" t="s">
        <v>1654</v>
      </c>
      <c r="Z488" s="213">
        <v>0</v>
      </c>
      <c r="AA488" s="213">
        <v>101358945.12</v>
      </c>
      <c r="AB488" s="152">
        <f t="shared" si="45"/>
        <v>-10.135894512</v>
      </c>
      <c r="AC488" s="122" t="s">
        <v>1837</v>
      </c>
    </row>
    <row r="489" spans="1:29" ht="12.75" hidden="1" customHeight="1">
      <c r="A489" s="125" t="str">
        <f t="shared" si="49"/>
        <v>LIC165UPR - REGULAR GROWTH</v>
      </c>
      <c r="B489" s="125">
        <f>+IFERROR(VLOOKUP(L489,'DB Mapping'!A:D,4,0),0)</f>
        <v>0</v>
      </c>
      <c r="C489" s="125">
        <f>+IFERROR(VLOOKUP(L489,'DB Mapping'!A:C,3,0),0)</f>
        <v>0</v>
      </c>
      <c r="D489" s="125" t="str">
        <f t="shared" si="50"/>
        <v>LIC1650</v>
      </c>
      <c r="E489" s="125" t="str">
        <f t="shared" si="51"/>
        <v>LIC1650</v>
      </c>
      <c r="F489" s="150" t="s">
        <v>37</v>
      </c>
      <c r="G489" s="127" t="s">
        <v>453</v>
      </c>
      <c r="L489" s="212" t="s">
        <v>1750</v>
      </c>
      <c r="M489" s="212"/>
      <c r="N489" s="212" t="s">
        <v>1655</v>
      </c>
      <c r="Z489" s="213">
        <v>0</v>
      </c>
      <c r="AA489" s="213">
        <v>23809.18</v>
      </c>
      <c r="AB489" s="152">
        <f t="shared" si="45"/>
        <v>-2.3809180000000001E-3</v>
      </c>
      <c r="AC489" s="122" t="s">
        <v>1837</v>
      </c>
    </row>
    <row r="490" spans="1:29" ht="12.75" hidden="1" customHeight="1">
      <c r="A490" s="125" t="str">
        <f t="shared" si="49"/>
        <v>LIC165RESERVES &amp; SURPLUS</v>
      </c>
      <c r="B490" s="125">
        <f>+IFERROR(VLOOKUP(L490,'DB Mapping'!A:D,4,0),0)</f>
        <v>0</v>
      </c>
      <c r="C490" s="125">
        <f>+IFERROR(VLOOKUP(L490,'DB Mapping'!A:C,3,0),0)</f>
        <v>0</v>
      </c>
      <c r="D490" s="125" t="str">
        <f t="shared" si="50"/>
        <v>LIC1650</v>
      </c>
      <c r="E490" s="125" t="str">
        <f t="shared" si="51"/>
        <v>LIC1650</v>
      </c>
      <c r="F490" s="150" t="s">
        <v>37</v>
      </c>
      <c r="G490" s="127" t="s">
        <v>453</v>
      </c>
      <c r="L490" s="212" t="s">
        <v>1752</v>
      </c>
      <c r="M490" s="212"/>
      <c r="N490" s="212" t="s">
        <v>1656</v>
      </c>
      <c r="Z490" s="213">
        <v>0</v>
      </c>
      <c r="AA490" s="213">
        <v>4391687.75</v>
      </c>
      <c r="AB490" s="152">
        <f t="shared" si="45"/>
        <v>-0.43916877500000001</v>
      </c>
      <c r="AC490" s="122" t="s">
        <v>1837</v>
      </c>
    </row>
    <row r="491" spans="1:29" ht="12.75" hidden="1" customHeight="1">
      <c r="A491" s="125" t="str">
        <f t="shared" si="49"/>
        <v>LIC165UNREALISED GAIN/LOSS - EQUITIES</v>
      </c>
      <c r="B491" s="125">
        <f>+IFERROR(VLOOKUP(L491,'DB Mapping'!A:D,4,0),0)</f>
        <v>0</v>
      </c>
      <c r="C491" s="125">
        <f>+IFERROR(VLOOKUP(L491,'DB Mapping'!A:C,3,0),0)</f>
        <v>0</v>
      </c>
      <c r="D491" s="125" t="str">
        <f t="shared" si="50"/>
        <v>LIC1650</v>
      </c>
      <c r="E491" s="125" t="str">
        <f t="shared" si="51"/>
        <v>LIC1650</v>
      </c>
      <c r="F491" s="150" t="s">
        <v>37</v>
      </c>
      <c r="G491" s="127" t="s">
        <v>453</v>
      </c>
      <c r="L491" s="212" t="s">
        <v>1831</v>
      </c>
      <c r="M491" s="212"/>
      <c r="N491" s="212" t="s">
        <v>1661</v>
      </c>
      <c r="Z491" s="213">
        <v>0</v>
      </c>
      <c r="AA491" s="213">
        <v>0</v>
      </c>
      <c r="AB491" s="152">
        <f t="shared" si="45"/>
        <v>0</v>
      </c>
      <c r="AC491" s="122" t="s">
        <v>1837</v>
      </c>
    </row>
    <row r="492" spans="1:29" ht="12.75" hidden="1" customHeight="1">
      <c r="A492" s="125" t="str">
        <f t="shared" si="49"/>
        <v>LIC165DIVIDEND INCOME - EQUITIES</v>
      </c>
      <c r="B492" s="125">
        <f>+IFERROR(VLOOKUP(L492,'DB Mapping'!A:D,4,0),0)</f>
        <v>0</v>
      </c>
      <c r="C492" s="125">
        <f>+IFERROR(VLOOKUP(L492,'DB Mapping'!A:C,3,0),0)</f>
        <v>5.0999999999999996</v>
      </c>
      <c r="D492" s="125" t="str">
        <f t="shared" si="50"/>
        <v>LIC1650</v>
      </c>
      <c r="E492" s="125" t="str">
        <f t="shared" si="51"/>
        <v>LIC1655.1</v>
      </c>
      <c r="F492" s="150" t="s">
        <v>37</v>
      </c>
      <c r="G492" s="127" t="s">
        <v>453</v>
      </c>
      <c r="L492" s="212" t="s">
        <v>1832</v>
      </c>
      <c r="M492" s="212"/>
      <c r="N492" s="212" t="s">
        <v>1663</v>
      </c>
      <c r="Z492" s="213">
        <v>0</v>
      </c>
      <c r="AA492" s="213">
        <v>3334486.4</v>
      </c>
      <c r="AB492" s="152">
        <f t="shared" si="45"/>
        <v>-0.33344864000000002</v>
      </c>
      <c r="AC492" s="122" t="s">
        <v>1837</v>
      </c>
    </row>
    <row r="493" spans="1:29" ht="12.75" hidden="1" customHeight="1">
      <c r="A493" s="125" t="str">
        <f t="shared" si="49"/>
        <v>LIC165PROFIT ON SALE - EQUITIES</v>
      </c>
      <c r="B493" s="125">
        <f>+IFERROR(VLOOKUP(L493,'DB Mapping'!A:D,4,0),0)</f>
        <v>0</v>
      </c>
      <c r="C493" s="125">
        <f>+IFERROR(VLOOKUP(L493,'DB Mapping'!A:C,3,0),0)</f>
        <v>5.3</v>
      </c>
      <c r="D493" s="125" t="str">
        <f t="shared" si="50"/>
        <v>LIC1650</v>
      </c>
      <c r="E493" s="125" t="str">
        <f t="shared" si="51"/>
        <v>LIC1655.3</v>
      </c>
      <c r="F493" s="150" t="s">
        <v>37</v>
      </c>
      <c r="G493" s="127" t="s">
        <v>453</v>
      </c>
      <c r="L493" s="212" t="s">
        <v>1833</v>
      </c>
      <c r="M493" s="212"/>
      <c r="N493" s="212" t="s">
        <v>1666</v>
      </c>
      <c r="Z493" s="213">
        <v>0</v>
      </c>
      <c r="AA493" s="213">
        <v>70439820.189999998</v>
      </c>
      <c r="AB493" s="152">
        <f t="shared" si="45"/>
        <v>-7.0439820189999995</v>
      </c>
      <c r="AC493" s="122" t="s">
        <v>1837</v>
      </c>
    </row>
    <row r="494" spans="1:29" ht="12.75" hidden="1" customHeight="1">
      <c r="A494" s="125" t="str">
        <f t="shared" si="49"/>
        <v>LIC165PROFIT ON SALE - MUTUAL FUND UNITS</v>
      </c>
      <c r="B494" s="125">
        <f>+IFERROR(VLOOKUP(L494,'DB Mapping'!A:D,4,0),0)</f>
        <v>0</v>
      </c>
      <c r="C494" s="125">
        <f>+IFERROR(VLOOKUP(L494,'DB Mapping'!A:C,3,0),0)</f>
        <v>5.3</v>
      </c>
      <c r="D494" s="125" t="str">
        <f t="shared" si="50"/>
        <v>LIC1650</v>
      </c>
      <c r="E494" s="125" t="str">
        <f t="shared" si="51"/>
        <v>LIC1655.3</v>
      </c>
      <c r="F494" s="150" t="s">
        <v>37</v>
      </c>
      <c r="G494" s="127" t="s">
        <v>453</v>
      </c>
      <c r="L494" s="212" t="s">
        <v>1834</v>
      </c>
      <c r="M494" s="212"/>
      <c r="N494" s="212" t="s">
        <v>1706</v>
      </c>
      <c r="Z494" s="213">
        <v>0</v>
      </c>
      <c r="AA494" s="213">
        <v>369449.37</v>
      </c>
      <c r="AB494" s="152">
        <f t="shared" ref="AB494:AB559" si="52">+(Z494-AA494)/10000000</f>
        <v>-3.6944936999999997E-2</v>
      </c>
      <c r="AC494" s="122" t="s">
        <v>1837</v>
      </c>
    </row>
    <row r="495" spans="1:29" ht="12.75" hidden="1" customHeight="1">
      <c r="A495" s="125" t="str">
        <f t="shared" si="49"/>
        <v>LIC165AMORTISATION INCOME - CBLO</v>
      </c>
      <c r="B495" s="125">
        <f>+IFERROR(VLOOKUP(L495,'DB Mapping'!A:D,4,0),0)</f>
        <v>0</v>
      </c>
      <c r="C495" s="125">
        <f>+IFERROR(VLOOKUP(L495,'DB Mapping'!A:C,3,0),0)</f>
        <v>5.2</v>
      </c>
      <c r="D495" s="125" t="str">
        <f t="shared" si="50"/>
        <v>LIC1650</v>
      </c>
      <c r="E495" s="125" t="str">
        <f t="shared" si="51"/>
        <v>LIC1655.2</v>
      </c>
      <c r="F495" s="150" t="s">
        <v>37</v>
      </c>
      <c r="G495" s="127" t="s">
        <v>453</v>
      </c>
      <c r="L495" s="212" t="s">
        <v>1757</v>
      </c>
      <c r="M495" s="212"/>
      <c r="N495" s="212" t="s">
        <v>1667</v>
      </c>
      <c r="Z495" s="213">
        <v>0</v>
      </c>
      <c r="AA495" s="213">
        <v>558987.24</v>
      </c>
      <c r="AB495" s="152">
        <f t="shared" si="52"/>
        <v>-5.5898723999999997E-2</v>
      </c>
      <c r="AC495" s="122" t="s">
        <v>1837</v>
      </c>
    </row>
    <row r="496" spans="1:29" ht="12.75" hidden="1" customHeight="1">
      <c r="A496" s="125" t="str">
        <f t="shared" si="49"/>
        <v>LIC165MISCELLEANOUS INCOME</v>
      </c>
      <c r="B496" s="125">
        <f>+IFERROR(VLOOKUP(L496,'DB Mapping'!A:D,4,0),0)</f>
        <v>0</v>
      </c>
      <c r="C496" s="125">
        <f>+IFERROR(VLOOKUP(L496,'DB Mapping'!A:C,3,0),0)</f>
        <v>5.5</v>
      </c>
      <c r="D496" s="125" t="str">
        <f t="shared" si="50"/>
        <v>LIC1650</v>
      </c>
      <c r="E496" s="125" t="str">
        <f t="shared" si="51"/>
        <v>LIC1655.5</v>
      </c>
      <c r="F496" s="150" t="s">
        <v>37</v>
      </c>
      <c r="G496" s="127" t="s">
        <v>453</v>
      </c>
      <c r="L496" s="212" t="s">
        <v>1759</v>
      </c>
      <c r="M496" s="212"/>
      <c r="N496" s="212" t="s">
        <v>1668</v>
      </c>
      <c r="Z496" s="213">
        <v>0</v>
      </c>
      <c r="AA496" s="213">
        <v>1122.8599999999999</v>
      </c>
      <c r="AB496" s="152">
        <f t="shared" si="52"/>
        <v>-1.1228599999999999E-4</v>
      </c>
      <c r="AC496" s="122" t="s">
        <v>1837</v>
      </c>
    </row>
    <row r="497" spans="1:29" ht="12.75" hidden="1" customHeight="1">
      <c r="A497" s="125" t="str">
        <f t="shared" si="49"/>
        <v>LIC165LOSS ON SALE - EQUITIES</v>
      </c>
      <c r="B497" s="125">
        <f>+IFERROR(VLOOKUP(L497,'DB Mapping'!A:D,4,0),0)</f>
        <v>0</v>
      </c>
      <c r="C497" s="125">
        <f>+IFERROR(VLOOKUP(L497,'DB Mapping'!A:C,3,0),0)</f>
        <v>5.3</v>
      </c>
      <c r="D497" s="125" t="str">
        <f t="shared" si="50"/>
        <v>LIC1650</v>
      </c>
      <c r="E497" s="125" t="str">
        <f t="shared" si="51"/>
        <v>LIC1655.3</v>
      </c>
      <c r="F497" s="150" t="s">
        <v>37</v>
      </c>
      <c r="G497" s="127" t="s">
        <v>453</v>
      </c>
      <c r="L497" s="212" t="s">
        <v>1835</v>
      </c>
      <c r="M497" s="212"/>
      <c r="N497" s="212" t="s">
        <v>1669</v>
      </c>
      <c r="Z497" s="213">
        <v>18896235.48</v>
      </c>
      <c r="AA497" s="213">
        <v>0</v>
      </c>
      <c r="AB497" s="152">
        <f t="shared" si="52"/>
        <v>1.8896235480000001</v>
      </c>
      <c r="AC497" s="122" t="s">
        <v>1837</v>
      </c>
    </row>
    <row r="498" spans="1:29" ht="12.75" hidden="1" customHeight="1">
      <c r="A498" s="125" t="str">
        <f t="shared" si="49"/>
        <v>LIC165MANAGEMENT FEES</v>
      </c>
      <c r="B498" s="125">
        <f>+IFERROR(VLOOKUP(L498,'DB Mapping'!A:D,4,0),0)</f>
        <v>6.1</v>
      </c>
      <c r="C498" s="125">
        <f>+IFERROR(VLOOKUP(L498,'DB Mapping'!A:C,3,0),0)</f>
        <v>6.3</v>
      </c>
      <c r="D498" s="125" t="str">
        <f t="shared" si="50"/>
        <v>LIC1656.1</v>
      </c>
      <c r="E498" s="125" t="str">
        <f t="shared" si="51"/>
        <v>LIC1656.3</v>
      </c>
      <c r="F498" s="150" t="s">
        <v>37</v>
      </c>
      <c r="G498" s="127" t="s">
        <v>453</v>
      </c>
      <c r="L498" s="212" t="s">
        <v>1760</v>
      </c>
      <c r="M498" s="212"/>
      <c r="N498" s="212" t="s">
        <v>1702</v>
      </c>
      <c r="Z498" s="213">
        <v>169492</v>
      </c>
      <c r="AA498" s="213">
        <v>0</v>
      </c>
      <c r="AB498" s="152">
        <f t="shared" si="52"/>
        <v>1.6949200000000001E-2</v>
      </c>
      <c r="AC498" s="122" t="s">
        <v>1837</v>
      </c>
    </row>
    <row r="499" spans="1:29" ht="12.75" hidden="1" customHeight="1">
      <c r="A499" s="125" t="str">
        <f t="shared" si="49"/>
        <v>LIC165MANAGEMENT FEES - REGULAR DIV</v>
      </c>
      <c r="B499" s="125">
        <f>+IFERROR(VLOOKUP(L499,'DB Mapping'!A:D,4,0),0)</f>
        <v>6.1</v>
      </c>
      <c r="C499" s="125">
        <f>+IFERROR(VLOOKUP(L499,'DB Mapping'!A:C,3,0),0)</f>
        <v>6.3</v>
      </c>
      <c r="D499" s="125" t="str">
        <f t="shared" si="50"/>
        <v>LIC1656.1</v>
      </c>
      <c r="E499" s="125" t="str">
        <f t="shared" si="51"/>
        <v>LIC1656.3</v>
      </c>
      <c r="F499" s="150" t="s">
        <v>37</v>
      </c>
      <c r="G499" s="127" t="s">
        <v>453</v>
      </c>
      <c r="L499" s="212" t="s">
        <v>1805</v>
      </c>
      <c r="M499" s="212"/>
      <c r="N499" s="212" t="s">
        <v>1672</v>
      </c>
      <c r="Z499" s="213">
        <v>328358.32</v>
      </c>
      <c r="AA499" s="213">
        <v>0</v>
      </c>
      <c r="AB499" s="152">
        <f t="shared" si="52"/>
        <v>3.2835832000000002E-2</v>
      </c>
      <c r="AC499" s="122" t="s">
        <v>1837</v>
      </c>
    </row>
    <row r="500" spans="1:29" ht="12.75" hidden="1" customHeight="1">
      <c r="A500" s="125" t="str">
        <f t="shared" si="49"/>
        <v>LIC165MANAGEMENT FEES - REGULAR GROWTH</v>
      </c>
      <c r="B500" s="125">
        <f>+IFERROR(VLOOKUP(L500,'DB Mapping'!A:D,4,0),0)</f>
        <v>6.1</v>
      </c>
      <c r="C500" s="125">
        <f>+IFERROR(VLOOKUP(L500,'DB Mapping'!A:C,3,0),0)</f>
        <v>6.3</v>
      </c>
      <c r="D500" s="125" t="str">
        <f t="shared" si="50"/>
        <v>LIC1656.1</v>
      </c>
      <c r="E500" s="125" t="str">
        <f t="shared" si="51"/>
        <v>LIC1656.3</v>
      </c>
      <c r="F500" s="150" t="s">
        <v>37</v>
      </c>
      <c r="G500" s="127" t="s">
        <v>453</v>
      </c>
      <c r="L500" s="212" t="s">
        <v>1806</v>
      </c>
      <c r="M500" s="212"/>
      <c r="N500" s="212" t="s">
        <v>1673</v>
      </c>
      <c r="Z500" s="213">
        <v>2858712.99</v>
      </c>
      <c r="AA500" s="213">
        <v>0</v>
      </c>
      <c r="AB500" s="152">
        <f t="shared" si="52"/>
        <v>0.28587129900000002</v>
      </c>
      <c r="AC500" s="122" t="s">
        <v>1837</v>
      </c>
    </row>
    <row r="501" spans="1:29" ht="12.75" hidden="1" customHeight="1">
      <c r="A501" s="125" t="str">
        <f t="shared" si="49"/>
        <v>LIC165MANAGEMENT FEES - DIRECT DIVIDEND</v>
      </c>
      <c r="B501" s="125">
        <f>+IFERROR(VLOOKUP(L501,'DB Mapping'!A:D,4,0),0)</f>
        <v>6.1</v>
      </c>
      <c r="C501" s="125">
        <f>+IFERROR(VLOOKUP(L501,'DB Mapping'!A:C,3,0),0)</f>
        <v>6.3</v>
      </c>
      <c r="D501" s="125" t="str">
        <f t="shared" si="50"/>
        <v>LIC1656.1</v>
      </c>
      <c r="E501" s="125" t="str">
        <f t="shared" si="51"/>
        <v>LIC1656.3</v>
      </c>
      <c r="F501" s="150" t="s">
        <v>37</v>
      </c>
      <c r="G501" s="127" t="s">
        <v>453</v>
      </c>
      <c r="L501" s="212" t="s">
        <v>1807</v>
      </c>
      <c r="M501" s="212"/>
      <c r="N501" s="212" t="s">
        <v>1674</v>
      </c>
      <c r="Z501" s="213">
        <v>42980.5</v>
      </c>
      <c r="AA501" s="213">
        <v>0</v>
      </c>
      <c r="AB501" s="152">
        <f t="shared" si="52"/>
        <v>4.2980500000000003E-3</v>
      </c>
      <c r="AC501" s="122" t="s">
        <v>1837</v>
      </c>
    </row>
    <row r="502" spans="1:29" ht="12.75" hidden="1" customHeight="1">
      <c r="A502" s="125" t="str">
        <f t="shared" si="49"/>
        <v>LIC165MANAGEMENT FEES - DIRECT GROWTH</v>
      </c>
      <c r="B502" s="125">
        <f>+IFERROR(VLOOKUP(L502,'DB Mapping'!A:D,4,0),0)</f>
        <v>6.1</v>
      </c>
      <c r="C502" s="125">
        <f>+IFERROR(VLOOKUP(L502,'DB Mapping'!A:C,3,0),0)</f>
        <v>6.3</v>
      </c>
      <c r="D502" s="125" t="str">
        <f t="shared" si="50"/>
        <v>LIC1656.1</v>
      </c>
      <c r="E502" s="125" t="str">
        <f t="shared" si="51"/>
        <v>LIC1656.3</v>
      </c>
      <c r="F502" s="150" t="s">
        <v>37</v>
      </c>
      <c r="G502" s="127" t="s">
        <v>453</v>
      </c>
      <c r="L502" s="212" t="s">
        <v>1808</v>
      </c>
      <c r="M502" s="212"/>
      <c r="N502" s="212" t="s">
        <v>1675</v>
      </c>
      <c r="Z502" s="213">
        <v>1340364.1299999999</v>
      </c>
      <c r="AA502" s="213">
        <v>0</v>
      </c>
      <c r="AB502" s="152">
        <f t="shared" si="52"/>
        <v>0.13403641299999999</v>
      </c>
      <c r="AC502" s="122" t="s">
        <v>1837</v>
      </c>
    </row>
    <row r="503" spans="1:29" ht="12.75" hidden="1" customHeight="1">
      <c r="A503" s="125" t="str">
        <f t="shared" si="49"/>
        <v>LIC165OTHER FEES - REGULAR DIV</v>
      </c>
      <c r="B503" s="125">
        <f>+IFERROR(VLOOKUP(L503,'DB Mapping'!A:D,4,0),0)</f>
        <v>0</v>
      </c>
      <c r="C503" s="125">
        <f>+IFERROR(VLOOKUP(L503,'DB Mapping'!A:C,3,0),0)</f>
        <v>6.3</v>
      </c>
      <c r="D503" s="125" t="str">
        <f t="shared" si="50"/>
        <v>LIC1650</v>
      </c>
      <c r="E503" s="125" t="str">
        <f t="shared" si="51"/>
        <v>LIC1656.3</v>
      </c>
      <c r="F503" s="150" t="s">
        <v>37</v>
      </c>
      <c r="G503" s="127" t="s">
        <v>453</v>
      </c>
      <c r="L503" s="212" t="s">
        <v>1762</v>
      </c>
      <c r="M503" s="212"/>
      <c r="N503" s="212" t="s">
        <v>1676</v>
      </c>
      <c r="Z503" s="213">
        <v>31798.71</v>
      </c>
      <c r="AA503" s="213">
        <v>0</v>
      </c>
      <c r="AB503" s="152">
        <f t="shared" si="52"/>
        <v>3.1798709999999999E-3</v>
      </c>
      <c r="AC503" s="122" t="s">
        <v>1837</v>
      </c>
    </row>
    <row r="504" spans="1:29" ht="12.75" hidden="1" customHeight="1">
      <c r="A504" s="125" t="str">
        <f t="shared" si="49"/>
        <v>LIC165OTHER FEES - REGULAR GROWTH</v>
      </c>
      <c r="B504" s="125">
        <f>+IFERROR(VLOOKUP(L504,'DB Mapping'!A:D,4,0),0)</f>
        <v>0</v>
      </c>
      <c r="C504" s="125">
        <f>+IFERROR(VLOOKUP(L504,'DB Mapping'!A:C,3,0),0)</f>
        <v>6.3</v>
      </c>
      <c r="D504" s="125" t="str">
        <f t="shared" si="50"/>
        <v>LIC1650</v>
      </c>
      <c r="E504" s="125" t="str">
        <f t="shared" si="51"/>
        <v>LIC1656.3</v>
      </c>
      <c r="F504" s="150" t="s">
        <v>37</v>
      </c>
      <c r="G504" s="127" t="s">
        <v>453</v>
      </c>
      <c r="L504" s="212" t="s">
        <v>1763</v>
      </c>
      <c r="M504" s="212"/>
      <c r="N504" s="212" t="s">
        <v>1677</v>
      </c>
      <c r="Z504" s="213">
        <v>276841.56</v>
      </c>
      <c r="AA504" s="213">
        <v>0</v>
      </c>
      <c r="AB504" s="152">
        <f t="shared" si="52"/>
        <v>2.7684156000000001E-2</v>
      </c>
      <c r="AC504" s="122" t="s">
        <v>1837</v>
      </c>
    </row>
    <row r="505" spans="1:29" ht="12.75" hidden="1" customHeight="1">
      <c r="A505" s="125" t="str">
        <f t="shared" si="49"/>
        <v>LIC165OTHER FEES - DIRECT DIVIDEND</v>
      </c>
      <c r="B505" s="125">
        <f>+IFERROR(VLOOKUP(L505,'DB Mapping'!A:D,4,0),0)</f>
        <v>0</v>
      </c>
      <c r="C505" s="125">
        <f>+IFERROR(VLOOKUP(L505,'DB Mapping'!A:C,3,0),0)</f>
        <v>6.3</v>
      </c>
      <c r="D505" s="125" t="str">
        <f t="shared" si="50"/>
        <v>LIC1650</v>
      </c>
      <c r="E505" s="125" t="str">
        <f t="shared" si="51"/>
        <v>LIC1656.3</v>
      </c>
      <c r="F505" s="150" t="s">
        <v>37</v>
      </c>
      <c r="G505" s="127" t="s">
        <v>453</v>
      </c>
      <c r="L505" s="212" t="s">
        <v>1764</v>
      </c>
      <c r="M505" s="212"/>
      <c r="N505" s="212" t="s">
        <v>1678</v>
      </c>
      <c r="Z505" s="213">
        <v>4162.0600000000004</v>
      </c>
      <c r="AA505" s="213">
        <v>0</v>
      </c>
      <c r="AB505" s="152">
        <f t="shared" si="52"/>
        <v>4.1620600000000002E-4</v>
      </c>
      <c r="AC505" s="122" t="s">
        <v>1837</v>
      </c>
    </row>
    <row r="506" spans="1:29" ht="12.75" hidden="1" customHeight="1">
      <c r="A506" s="125" t="str">
        <f t="shared" si="49"/>
        <v>LIC165OTHER FEES - DIRECT GROWTH</v>
      </c>
      <c r="B506" s="125">
        <f>+IFERROR(VLOOKUP(L506,'DB Mapping'!A:D,4,0),0)</f>
        <v>0</v>
      </c>
      <c r="C506" s="125">
        <f>+IFERROR(VLOOKUP(L506,'DB Mapping'!A:C,3,0),0)</f>
        <v>6.3</v>
      </c>
      <c r="D506" s="125" t="str">
        <f t="shared" si="50"/>
        <v>LIC1650</v>
      </c>
      <c r="E506" s="125" t="str">
        <f t="shared" si="51"/>
        <v>LIC1656.3</v>
      </c>
      <c r="F506" s="150" t="s">
        <v>37</v>
      </c>
      <c r="G506" s="127" t="s">
        <v>453</v>
      </c>
      <c r="L506" s="212" t="s">
        <v>1765</v>
      </c>
      <c r="M506" s="212"/>
      <c r="N506" s="212" t="s">
        <v>1679</v>
      </c>
      <c r="Z506" s="213">
        <v>129796.88</v>
      </c>
      <c r="AA506" s="213">
        <v>0</v>
      </c>
      <c r="AB506" s="152">
        <f t="shared" si="52"/>
        <v>1.2979688E-2</v>
      </c>
      <c r="AC506" s="122" t="s">
        <v>1837</v>
      </c>
    </row>
    <row r="507" spans="1:29" ht="12.75" hidden="1" customHeight="1">
      <c r="A507" s="125" t="str">
        <f t="shared" si="49"/>
        <v>LIC165OTHER FEES (SELLING &amp; DISTRIBUTION)</v>
      </c>
      <c r="B507" s="125">
        <f>+IFERROR(VLOOKUP(L507,'DB Mapping'!A:D,4,0),0)</f>
        <v>0</v>
      </c>
      <c r="C507" s="125">
        <f>+IFERROR(VLOOKUP(L507,'DB Mapping'!A:C,3,0),0)</f>
        <v>6.3</v>
      </c>
      <c r="D507" s="125" t="str">
        <f t="shared" si="50"/>
        <v>LIC1650</v>
      </c>
      <c r="E507" s="125" t="str">
        <f t="shared" si="51"/>
        <v>LIC1656.3</v>
      </c>
      <c r="F507" s="150" t="s">
        <v>37</v>
      </c>
      <c r="G507" s="127" t="s">
        <v>453</v>
      </c>
      <c r="L507" s="212" t="s">
        <v>1766</v>
      </c>
      <c r="M507" s="212"/>
      <c r="N507" s="212" t="s">
        <v>1680</v>
      </c>
      <c r="Z507" s="213">
        <v>361540.65</v>
      </c>
      <c r="AA507" s="213">
        <v>0</v>
      </c>
      <c r="AB507" s="152">
        <f t="shared" si="52"/>
        <v>3.6154064999999999E-2</v>
      </c>
      <c r="AC507" s="122" t="s">
        <v>1837</v>
      </c>
    </row>
    <row r="508" spans="1:29" ht="12.75" hidden="1" customHeight="1">
      <c r="A508" s="125" t="str">
        <f t="shared" si="49"/>
        <v>LIC165SERVICE TAX - MANAGEMENT FEES</v>
      </c>
      <c r="B508" s="125">
        <f>+IFERROR(VLOOKUP(L508,'DB Mapping'!A:D,4,0),0)</f>
        <v>6.1</v>
      </c>
      <c r="C508" s="125">
        <f>+IFERROR(VLOOKUP(L508,'DB Mapping'!A:C,3,0),0)</f>
        <v>6.3</v>
      </c>
      <c r="D508" s="125" t="str">
        <f t="shared" si="50"/>
        <v>LIC1656.1</v>
      </c>
      <c r="E508" s="125" t="str">
        <f t="shared" si="51"/>
        <v>LIC1656.3</v>
      </c>
      <c r="F508" s="150" t="s">
        <v>37</v>
      </c>
      <c r="G508" s="127" t="s">
        <v>453</v>
      </c>
      <c r="L508" s="212" t="s">
        <v>1809</v>
      </c>
      <c r="M508" s="212"/>
      <c r="N508" s="212" t="s">
        <v>1681</v>
      </c>
      <c r="Z508" s="213">
        <v>250373.56</v>
      </c>
      <c r="AA508" s="213">
        <v>0</v>
      </c>
      <c r="AB508" s="152">
        <f t="shared" si="52"/>
        <v>2.5037356E-2</v>
      </c>
      <c r="AC508" s="122" t="s">
        <v>1837</v>
      </c>
    </row>
    <row r="509" spans="1:29" ht="12.75" hidden="1" customHeight="1">
      <c r="A509" s="125" t="str">
        <f t="shared" si="49"/>
        <v>LIC165CGST EXPENSE</v>
      </c>
      <c r="B509" s="125">
        <f>+IFERROR(VLOOKUP(L509,'DB Mapping'!A:D,4,0),0)</f>
        <v>6.1</v>
      </c>
      <c r="C509" s="125">
        <f>+IFERROR(VLOOKUP(L509,'DB Mapping'!A:C,3,0),0)</f>
        <v>6.3</v>
      </c>
      <c r="D509" s="125" t="str">
        <f t="shared" si="50"/>
        <v>LIC1656.1</v>
      </c>
      <c r="E509" s="125" t="str">
        <f t="shared" si="51"/>
        <v>LIC1656.3</v>
      </c>
      <c r="F509" s="150" t="s">
        <v>37</v>
      </c>
      <c r="G509" s="127" t="s">
        <v>453</v>
      </c>
      <c r="L509" s="212" t="s">
        <v>1767</v>
      </c>
      <c r="M509" s="212"/>
      <c r="N509" s="212" t="s">
        <v>1682</v>
      </c>
      <c r="Z509" s="213">
        <v>276367.21000000002</v>
      </c>
      <c r="AA509" s="213">
        <v>0</v>
      </c>
      <c r="AB509" s="152">
        <f t="shared" si="52"/>
        <v>2.7636721000000003E-2</v>
      </c>
      <c r="AC509" s="122" t="s">
        <v>1837</v>
      </c>
    </row>
    <row r="510" spans="1:29" ht="12.75" hidden="1" customHeight="1">
      <c r="A510" s="125" t="str">
        <f t="shared" ref="A510:A522" si="53">+F510&amp;N510</f>
        <v>LIC165SGST EXPENSE</v>
      </c>
      <c r="B510" s="125">
        <f>+IFERROR(VLOOKUP(L510,'DB Mapping'!A:D,4,0),0)</f>
        <v>6.1</v>
      </c>
      <c r="C510" s="125">
        <f>+IFERROR(VLOOKUP(L510,'DB Mapping'!A:C,3,0),0)</f>
        <v>6.3</v>
      </c>
      <c r="D510" s="125" t="str">
        <f t="shared" ref="D510:D522" si="54">+F510&amp;B510</f>
        <v>LIC1656.1</v>
      </c>
      <c r="E510" s="125" t="str">
        <f t="shared" ref="E510:E522" si="55">+F510&amp;C510</f>
        <v>LIC1656.3</v>
      </c>
      <c r="F510" s="150" t="s">
        <v>37</v>
      </c>
      <c r="G510" s="127" t="s">
        <v>453</v>
      </c>
      <c r="L510" s="212" t="s">
        <v>1768</v>
      </c>
      <c r="M510" s="212"/>
      <c r="N510" s="212" t="s">
        <v>1683</v>
      </c>
      <c r="Z510" s="213">
        <v>276367.21000000002</v>
      </c>
      <c r="AA510" s="213">
        <v>0</v>
      </c>
      <c r="AB510" s="152">
        <f t="shared" si="52"/>
        <v>2.7636721000000003E-2</v>
      </c>
      <c r="AC510" s="122" t="s">
        <v>1837</v>
      </c>
    </row>
    <row r="511" spans="1:29" ht="12.75" hidden="1" customHeight="1">
      <c r="A511" s="125" t="str">
        <f t="shared" si="53"/>
        <v>LIC165EXPENSE ALLOCATION ACCOUNT</v>
      </c>
      <c r="B511" s="125">
        <f>+IFERROR(VLOOKUP(L511,'DB Mapping'!A:D,4,0),0)</f>
        <v>0</v>
      </c>
      <c r="C511" s="125">
        <f>+IFERROR(VLOOKUP(L511,'DB Mapping'!A:C,3,0),0)</f>
        <v>6.3</v>
      </c>
      <c r="D511" s="125" t="str">
        <f t="shared" si="54"/>
        <v>LIC1650</v>
      </c>
      <c r="E511" s="125" t="str">
        <f t="shared" si="55"/>
        <v>LIC1656.3</v>
      </c>
      <c r="F511" s="150" t="s">
        <v>37</v>
      </c>
      <c r="G511" s="127" t="s">
        <v>453</v>
      </c>
      <c r="L511" s="212" t="s">
        <v>1769</v>
      </c>
      <c r="M511" s="212"/>
      <c r="N511" s="212" t="s">
        <v>1684</v>
      </c>
      <c r="Z511" s="213">
        <v>0</v>
      </c>
      <c r="AA511" s="213">
        <v>111708.75</v>
      </c>
      <c r="AB511" s="152">
        <f t="shared" si="52"/>
        <v>-1.1170875E-2</v>
      </c>
      <c r="AC511" s="122" t="s">
        <v>1837</v>
      </c>
    </row>
    <row r="512" spans="1:29" ht="12.75" hidden="1" customHeight="1">
      <c r="A512" s="125" t="str">
        <f t="shared" si="53"/>
        <v>LIC165R&amp;T - OTHER CHARGES</v>
      </c>
      <c r="B512" s="125">
        <f>+IFERROR(VLOOKUP(L512,'DB Mapping'!A:D,4,0),0)</f>
        <v>0</v>
      </c>
      <c r="C512" s="125">
        <f>+IFERROR(VLOOKUP(L512,'DB Mapping'!A:C,3,0),0)</f>
        <v>6.3</v>
      </c>
      <c r="D512" s="125" t="str">
        <f t="shared" si="54"/>
        <v>LIC1650</v>
      </c>
      <c r="E512" s="125" t="str">
        <f t="shared" si="55"/>
        <v>LIC1656.3</v>
      </c>
      <c r="F512" s="150" t="s">
        <v>37</v>
      </c>
      <c r="G512" s="127" t="s">
        <v>453</v>
      </c>
      <c r="L512" s="212" t="s">
        <v>1770</v>
      </c>
      <c r="M512" s="212"/>
      <c r="N512" s="212" t="s">
        <v>1685</v>
      </c>
      <c r="Z512" s="213">
        <v>8447.2800000000007</v>
      </c>
      <c r="AA512" s="213">
        <v>0</v>
      </c>
      <c r="AB512" s="152">
        <f t="shared" si="52"/>
        <v>8.447280000000001E-4</v>
      </c>
      <c r="AC512" s="122" t="s">
        <v>1837</v>
      </c>
    </row>
    <row r="513" spans="1:29" ht="12.75" hidden="1" customHeight="1">
      <c r="A513" s="125" t="str">
        <f t="shared" si="53"/>
        <v>LIC165AUDIT FEES</v>
      </c>
      <c r="B513" s="125">
        <f>+IFERROR(VLOOKUP(L513,'DB Mapping'!A:D,4,0),0)</f>
        <v>0</v>
      </c>
      <c r="C513" s="125">
        <f>+IFERROR(VLOOKUP(L513,'DB Mapping'!A:C,3,0),0)</f>
        <v>6.3</v>
      </c>
      <c r="D513" s="125" t="str">
        <f t="shared" si="54"/>
        <v>LIC1650</v>
      </c>
      <c r="E513" s="125" t="str">
        <f t="shared" si="55"/>
        <v>LIC1656.3</v>
      </c>
      <c r="F513" s="150" t="s">
        <v>37</v>
      </c>
      <c r="G513" s="127" t="s">
        <v>453</v>
      </c>
      <c r="L513" s="212" t="s">
        <v>1771</v>
      </c>
      <c r="M513" s="212"/>
      <c r="N513" s="212" t="s">
        <v>1686</v>
      </c>
      <c r="Z513" s="213">
        <v>531.48</v>
      </c>
      <c r="AA513" s="213">
        <v>0</v>
      </c>
      <c r="AB513" s="152">
        <f t="shared" si="52"/>
        <v>5.3148E-5</v>
      </c>
      <c r="AC513" s="122" t="s">
        <v>1837</v>
      </c>
    </row>
    <row r="514" spans="1:29" ht="12.75" hidden="1" customHeight="1">
      <c r="A514" s="125" t="str">
        <f t="shared" si="53"/>
        <v>LIC165CUSTODIAN FEE</v>
      </c>
      <c r="B514" s="125">
        <f>+IFERROR(VLOOKUP(L514,'DB Mapping'!A:D,4,0),0)</f>
        <v>0</v>
      </c>
      <c r="C514" s="125">
        <f>+IFERROR(VLOOKUP(L514,'DB Mapping'!A:C,3,0),0)</f>
        <v>6.3</v>
      </c>
      <c r="D514" s="125" t="str">
        <f t="shared" si="54"/>
        <v>LIC1650</v>
      </c>
      <c r="E514" s="125" t="str">
        <f t="shared" si="55"/>
        <v>LIC1656.3</v>
      </c>
      <c r="F514" s="150" t="s">
        <v>37</v>
      </c>
      <c r="G514" s="127" t="s">
        <v>453</v>
      </c>
      <c r="L514" s="212" t="s">
        <v>1772</v>
      </c>
      <c r="M514" s="212"/>
      <c r="N514" s="212" t="s">
        <v>1687</v>
      </c>
      <c r="Z514" s="213">
        <v>34826.61</v>
      </c>
      <c r="AA514" s="213">
        <v>0</v>
      </c>
      <c r="AB514" s="152">
        <f t="shared" si="52"/>
        <v>3.4826610000000002E-3</v>
      </c>
      <c r="AC514" s="122" t="s">
        <v>1837</v>
      </c>
    </row>
    <row r="515" spans="1:29" ht="12.75" hidden="1" customHeight="1">
      <c r="A515" s="125" t="str">
        <f t="shared" si="53"/>
        <v>LIC165TRUSTEE FEES</v>
      </c>
      <c r="B515" s="125">
        <f>+IFERROR(VLOOKUP(L515,'DB Mapping'!A:D,4,0),0)</f>
        <v>6.2</v>
      </c>
      <c r="C515" s="125">
        <f>+IFERROR(VLOOKUP(L515,'DB Mapping'!A:C,3,0),0)</f>
        <v>6.3</v>
      </c>
      <c r="D515" s="125" t="str">
        <f t="shared" si="54"/>
        <v>LIC1656.2</v>
      </c>
      <c r="E515" s="125" t="str">
        <f t="shared" si="55"/>
        <v>LIC1656.3</v>
      </c>
      <c r="F515" s="150" t="s">
        <v>37</v>
      </c>
      <c r="G515" s="127" t="s">
        <v>453</v>
      </c>
      <c r="L515" s="212" t="s">
        <v>1773</v>
      </c>
      <c r="M515" s="212"/>
      <c r="N515" s="212" t="s">
        <v>1688</v>
      </c>
      <c r="Z515" s="213">
        <v>2543.1799999999998</v>
      </c>
      <c r="AA515" s="213">
        <v>0</v>
      </c>
      <c r="AB515" s="152">
        <f t="shared" si="52"/>
        <v>2.5431799999999996E-4</v>
      </c>
      <c r="AC515" s="122" t="s">
        <v>1837</v>
      </c>
    </row>
    <row r="516" spans="1:29" ht="12.75" hidden="1" customHeight="1">
      <c r="A516" s="125" t="str">
        <f t="shared" si="53"/>
        <v>LIC165OTHER OPERATING EXPENSES</v>
      </c>
      <c r="B516" s="125">
        <f>+IFERROR(VLOOKUP(L516,'DB Mapping'!A:D,4,0),0)</f>
        <v>0</v>
      </c>
      <c r="C516" s="125">
        <f>+IFERROR(VLOOKUP(L516,'DB Mapping'!A:C,3,0),0)</f>
        <v>6.3</v>
      </c>
      <c r="D516" s="125" t="str">
        <f t="shared" si="54"/>
        <v>LIC1650</v>
      </c>
      <c r="E516" s="125" t="str">
        <f t="shared" si="55"/>
        <v>LIC1656.3</v>
      </c>
      <c r="F516" s="150" t="s">
        <v>37</v>
      </c>
      <c r="G516" s="127" t="s">
        <v>453</v>
      </c>
      <c r="L516" s="212" t="s">
        <v>1774</v>
      </c>
      <c r="M516" s="212"/>
      <c r="N516" s="212" t="s">
        <v>1689</v>
      </c>
      <c r="Z516" s="213">
        <v>795.28</v>
      </c>
      <c r="AA516" s="213">
        <v>0</v>
      </c>
      <c r="AB516" s="152">
        <f t="shared" si="52"/>
        <v>7.9528000000000002E-5</v>
      </c>
      <c r="AC516" s="122" t="s">
        <v>1837</v>
      </c>
    </row>
    <row r="517" spans="1:29" ht="12.75" hidden="1" customHeight="1">
      <c r="A517" s="125" t="str">
        <f t="shared" si="53"/>
        <v>LIC165SEBI ANNUAL FEES EXPENSE</v>
      </c>
      <c r="B517" s="125">
        <f>+IFERROR(VLOOKUP(L517,'DB Mapping'!A:D,4,0),0)</f>
        <v>0</v>
      </c>
      <c r="C517" s="125">
        <f>+IFERROR(VLOOKUP(L517,'DB Mapping'!A:C,3,0),0)</f>
        <v>6.3</v>
      </c>
      <c r="D517" s="125" t="str">
        <f t="shared" si="54"/>
        <v>LIC1650</v>
      </c>
      <c r="E517" s="125" t="str">
        <f t="shared" si="55"/>
        <v>LIC1656.3</v>
      </c>
      <c r="F517" s="150" t="s">
        <v>37</v>
      </c>
      <c r="G517" s="127" t="s">
        <v>453</v>
      </c>
      <c r="L517" s="212" t="s">
        <v>1775</v>
      </c>
      <c r="M517" s="212"/>
      <c r="N517" s="212" t="s">
        <v>1690</v>
      </c>
      <c r="Z517" s="213">
        <v>4341.92</v>
      </c>
      <c r="AA517" s="213">
        <v>0</v>
      </c>
      <c r="AB517" s="152">
        <f t="shared" si="52"/>
        <v>4.3419200000000002E-4</v>
      </c>
      <c r="AC517" s="122" t="s">
        <v>1837</v>
      </c>
    </row>
    <row r="518" spans="1:29" ht="12.75" hidden="1" customHeight="1">
      <c r="A518" s="125" t="str">
        <f t="shared" si="53"/>
        <v>LIC165CCIL CHARGES</v>
      </c>
      <c r="B518" s="125">
        <f>+IFERROR(VLOOKUP(L518,'DB Mapping'!A:D,4,0),0)</f>
        <v>0</v>
      </c>
      <c r="C518" s="125">
        <f>+IFERROR(VLOOKUP(L518,'DB Mapping'!A:C,3,0),0)</f>
        <v>6.3</v>
      </c>
      <c r="D518" s="125" t="str">
        <f t="shared" si="54"/>
        <v>LIC1650</v>
      </c>
      <c r="E518" s="125" t="str">
        <f t="shared" si="55"/>
        <v>LIC1656.3</v>
      </c>
      <c r="F518" s="150" t="s">
        <v>37</v>
      </c>
      <c r="G518" s="127" t="s">
        <v>453</v>
      </c>
      <c r="L518" s="212" t="s">
        <v>1777</v>
      </c>
      <c r="M518" s="212"/>
      <c r="N518" s="212" t="s">
        <v>1691</v>
      </c>
      <c r="Z518" s="213">
        <v>2790.3</v>
      </c>
      <c r="AA518" s="213">
        <v>0</v>
      </c>
      <c r="AB518" s="152">
        <f t="shared" si="52"/>
        <v>2.7903000000000004E-4</v>
      </c>
      <c r="AC518" s="122" t="s">
        <v>1837</v>
      </c>
    </row>
    <row r="519" spans="1:29" ht="12.75" hidden="1" customHeight="1">
      <c r="A519" s="125" t="str">
        <f t="shared" si="53"/>
        <v>LIC165INTERNAL AUDIT FEES</v>
      </c>
      <c r="B519" s="125">
        <f>+IFERROR(VLOOKUP(L519,'DB Mapping'!A:D,4,0),0)</f>
        <v>0</v>
      </c>
      <c r="C519" s="125">
        <f>+IFERROR(VLOOKUP(L519,'DB Mapping'!A:C,3,0),0)</f>
        <v>6.3</v>
      </c>
      <c r="D519" s="125" t="str">
        <f t="shared" si="54"/>
        <v>LIC1650</v>
      </c>
      <c r="E519" s="125" t="str">
        <f t="shared" si="55"/>
        <v>LIC1656.3</v>
      </c>
      <c r="F519" s="150" t="s">
        <v>37</v>
      </c>
      <c r="G519" s="127" t="s">
        <v>453</v>
      </c>
      <c r="L519" s="212" t="s">
        <v>1778</v>
      </c>
      <c r="M519" s="212"/>
      <c r="N519" s="212" t="s">
        <v>1692</v>
      </c>
      <c r="Z519" s="213">
        <v>6747.88</v>
      </c>
      <c r="AA519" s="213">
        <v>0</v>
      </c>
      <c r="AB519" s="152">
        <f t="shared" si="52"/>
        <v>6.7478800000000006E-4</v>
      </c>
      <c r="AC519" s="122" t="s">
        <v>1837</v>
      </c>
    </row>
    <row r="520" spans="1:29" ht="12.75" hidden="1" customHeight="1">
      <c r="A520" s="125" t="str">
        <f t="shared" si="53"/>
        <v>LIC165CLIENT SERVICING EXPENES</v>
      </c>
      <c r="B520" s="125">
        <f>+IFERROR(VLOOKUP(L520,'DB Mapping'!A:D,4,0),0)</f>
        <v>0</v>
      </c>
      <c r="C520" s="125">
        <f>+IFERROR(VLOOKUP(L520,'DB Mapping'!A:C,3,0),0)</f>
        <v>6.3</v>
      </c>
      <c r="D520" s="125" t="str">
        <f t="shared" si="54"/>
        <v>LIC1650</v>
      </c>
      <c r="E520" s="125" t="str">
        <f t="shared" si="55"/>
        <v>LIC1656.3</v>
      </c>
      <c r="F520" s="150" t="s">
        <v>37</v>
      </c>
      <c r="G520" s="127" t="s">
        <v>453</v>
      </c>
      <c r="L520" s="212" t="s">
        <v>1779</v>
      </c>
      <c r="M520" s="212"/>
      <c r="N520" s="212" t="s">
        <v>1693</v>
      </c>
      <c r="Z520" s="213">
        <v>286695.01</v>
      </c>
      <c r="AA520" s="213">
        <v>0</v>
      </c>
      <c r="AB520" s="152">
        <f t="shared" si="52"/>
        <v>2.8669501E-2</v>
      </c>
      <c r="AC520" s="122" t="s">
        <v>1837</v>
      </c>
    </row>
    <row r="521" spans="1:29" ht="12.75" hidden="1" customHeight="1">
      <c r="A521" s="125" t="str">
        <f t="shared" si="53"/>
        <v>LIC165INVESTOR EDUCATION FUND EXPENSE</v>
      </c>
      <c r="B521" s="125">
        <f>+IFERROR(VLOOKUP(L521,'DB Mapping'!A:D,4,0),0)</f>
        <v>0</v>
      </c>
      <c r="C521" s="125">
        <f>+IFERROR(VLOOKUP(L521,'DB Mapping'!A:C,3,0),0)</f>
        <v>6.3</v>
      </c>
      <c r="D521" s="125" t="str">
        <f t="shared" si="54"/>
        <v>LIC1650</v>
      </c>
      <c r="E521" s="125" t="str">
        <f t="shared" si="55"/>
        <v>LIC1656.3</v>
      </c>
      <c r="F521" s="150" t="s">
        <v>37</v>
      </c>
      <c r="G521" s="127" t="s">
        <v>453</v>
      </c>
      <c r="L521" s="212" t="s">
        <v>1780</v>
      </c>
      <c r="M521" s="212"/>
      <c r="N521" s="212" t="s">
        <v>1694</v>
      </c>
      <c r="Z521" s="213">
        <v>25342.41</v>
      </c>
      <c r="AA521" s="213">
        <v>0</v>
      </c>
      <c r="AB521" s="152">
        <f t="shared" si="52"/>
        <v>2.534241E-3</v>
      </c>
      <c r="AC521" s="122" t="s">
        <v>1837</v>
      </c>
    </row>
    <row r="522" spans="1:29" ht="12.75" hidden="1" customHeight="1">
      <c r="A522" s="125" t="str">
        <f t="shared" si="53"/>
        <v>LIC165INVESTOR EDUCATION FUND EXPENSE - AMFI</v>
      </c>
      <c r="B522" s="125">
        <f>+IFERROR(VLOOKUP(L522,'DB Mapping'!A:D,4,0),0)</f>
        <v>0</v>
      </c>
      <c r="C522" s="125">
        <f>+IFERROR(VLOOKUP(L522,'DB Mapping'!A:C,3,0),0)</f>
        <v>6.3</v>
      </c>
      <c r="D522" s="125" t="str">
        <f t="shared" si="54"/>
        <v>LIC1650</v>
      </c>
      <c r="E522" s="125" t="str">
        <f t="shared" si="55"/>
        <v>LIC1656.3</v>
      </c>
      <c r="F522" s="150" t="s">
        <v>37</v>
      </c>
      <c r="G522" s="127" t="s">
        <v>453</v>
      </c>
      <c r="L522" s="212" t="s">
        <v>1781</v>
      </c>
      <c r="M522" s="212"/>
      <c r="N522" s="212" t="s">
        <v>1695</v>
      </c>
      <c r="Z522" s="213">
        <v>25342.41</v>
      </c>
      <c r="AA522" s="213">
        <v>0</v>
      </c>
      <c r="AB522" s="152">
        <f t="shared" si="52"/>
        <v>2.534241E-3</v>
      </c>
      <c r="AC522" s="122" t="s">
        <v>1837</v>
      </c>
    </row>
    <row r="523" spans="1:29" ht="12.75" hidden="1" customHeight="1">
      <c r="A523" s="125" t="str">
        <f t="shared" ref="A523:A586" si="56">+F523&amp;N523</f>
        <v/>
      </c>
      <c r="B523" s="125">
        <f>+IFERROR(VLOOKUP(L523,'DB Mapping'!A:D,4,0),0)</f>
        <v>0</v>
      </c>
      <c r="C523" s="125">
        <f>+IFERROR(VLOOKUP(L523,'DB Mapping'!A:C,3,0),0)</f>
        <v>0</v>
      </c>
      <c r="D523" s="125" t="str">
        <f t="shared" ref="D523:D586" si="57">+F523&amp;B523</f>
        <v>0</v>
      </c>
      <c r="E523" s="125" t="str">
        <f t="shared" ref="E523:E586" si="58">+F523&amp;C523</f>
        <v>0</v>
      </c>
      <c r="F523" s="150"/>
      <c r="L523" s="155"/>
      <c r="N523" s="156"/>
      <c r="Z523" s="154"/>
      <c r="AA523" s="154"/>
      <c r="AB523" s="152"/>
      <c r="AC523" s="122" t="s">
        <v>1837</v>
      </c>
    </row>
    <row r="524" spans="1:29" ht="12.75" hidden="1" customHeight="1">
      <c r="A524" s="125" t="str">
        <f t="shared" si="56"/>
        <v/>
      </c>
      <c r="B524" s="125">
        <f>+IFERROR(VLOOKUP(L524,'DB Mapping'!A:D,4,0),0)</f>
        <v>0</v>
      </c>
      <c r="C524" s="125">
        <f>+IFERROR(VLOOKUP(L524,'DB Mapping'!A:C,3,0),0)</f>
        <v>0</v>
      </c>
      <c r="D524" s="125" t="str">
        <f t="shared" si="57"/>
        <v>0</v>
      </c>
      <c r="E524" s="125" t="str">
        <f t="shared" si="58"/>
        <v>0</v>
      </c>
      <c r="F524" s="150"/>
      <c r="L524" s="155"/>
      <c r="N524" s="156"/>
      <c r="Z524" s="154"/>
      <c r="AA524" s="154"/>
      <c r="AB524" s="152"/>
      <c r="AC524" s="122" t="s">
        <v>1837</v>
      </c>
    </row>
    <row r="525" spans="1:29" ht="12.75" hidden="1" customHeight="1">
      <c r="A525" s="125" t="str">
        <f t="shared" si="56"/>
        <v>LIC167INVESTMENTS - CBLO</v>
      </c>
      <c r="B525" s="125">
        <f>+IFERROR(VLOOKUP(L525,'DB Mapping'!A:D,4,0),0)</f>
        <v>0</v>
      </c>
      <c r="C525" s="125">
        <f>+IFERROR(VLOOKUP(L525,'DB Mapping'!A:C,3,0),0)</f>
        <v>0</v>
      </c>
      <c r="D525" s="125" t="str">
        <f t="shared" si="57"/>
        <v>LIC1670</v>
      </c>
      <c r="E525" s="125" t="str">
        <f t="shared" si="58"/>
        <v>LIC1670</v>
      </c>
      <c r="F525" s="150" t="s">
        <v>38</v>
      </c>
      <c r="G525" s="127" t="s">
        <v>453</v>
      </c>
      <c r="L525" s="212" t="s">
        <v>1711</v>
      </c>
      <c r="M525" s="212"/>
      <c r="N525" s="212" t="s">
        <v>1606</v>
      </c>
      <c r="Z525" s="213">
        <v>274280882.44999999</v>
      </c>
      <c r="AA525" s="213">
        <v>0</v>
      </c>
      <c r="AB525" s="152">
        <f t="shared" si="52"/>
        <v>27.428088244999998</v>
      </c>
      <c r="AC525" s="122" t="s">
        <v>1837</v>
      </c>
    </row>
    <row r="526" spans="1:29" ht="12.75" hidden="1" customHeight="1">
      <c r="A526" s="125" t="str">
        <f t="shared" si="56"/>
        <v>LIC167INVESTMENTS - DEBENTURES</v>
      </c>
      <c r="B526" s="125">
        <f>+IFERROR(VLOOKUP(L526,'DB Mapping'!A:D,4,0),0)</f>
        <v>0</v>
      </c>
      <c r="C526" s="125">
        <f>+IFERROR(VLOOKUP(L526,'DB Mapping'!A:C,3,0),0)</f>
        <v>0</v>
      </c>
      <c r="D526" s="125" t="str">
        <f t="shared" si="57"/>
        <v>LIC1670</v>
      </c>
      <c r="E526" s="125" t="str">
        <f t="shared" si="58"/>
        <v>LIC1670</v>
      </c>
      <c r="F526" s="150" t="s">
        <v>38</v>
      </c>
      <c r="G526" s="127" t="s">
        <v>453</v>
      </c>
      <c r="L526" s="212" t="s">
        <v>1810</v>
      </c>
      <c r="M526" s="212"/>
      <c r="N526" s="212" t="s">
        <v>1608</v>
      </c>
      <c r="Z526" s="213">
        <v>0</v>
      </c>
      <c r="AA526" s="213">
        <v>0</v>
      </c>
      <c r="AB526" s="152">
        <f t="shared" si="52"/>
        <v>0</v>
      </c>
      <c r="AC526" s="122" t="s">
        <v>1837</v>
      </c>
    </row>
    <row r="527" spans="1:29" ht="12.75" hidden="1" customHeight="1">
      <c r="A527" s="125" t="str">
        <f t="shared" si="56"/>
        <v>LIC167INVESTMENTS - ZERO COUPON BOND</v>
      </c>
      <c r="B527" s="125">
        <f>+IFERROR(VLOOKUP(L527,'DB Mapping'!A:D,4,0),0)</f>
        <v>0</v>
      </c>
      <c r="C527" s="125">
        <f>+IFERROR(VLOOKUP(L527,'DB Mapping'!A:C,3,0),0)</f>
        <v>0</v>
      </c>
      <c r="D527" s="125" t="str">
        <f t="shared" si="57"/>
        <v>LIC1670</v>
      </c>
      <c r="E527" s="125" t="str">
        <f t="shared" si="58"/>
        <v>LIC1670</v>
      </c>
      <c r="F527" s="150" t="s">
        <v>38</v>
      </c>
      <c r="G527" s="127" t="s">
        <v>453</v>
      </c>
      <c r="L527" s="212" t="s">
        <v>1811</v>
      </c>
      <c r="M527" s="212"/>
      <c r="N527" s="212" t="s">
        <v>1696</v>
      </c>
      <c r="Z527" s="213">
        <v>0</v>
      </c>
      <c r="AA527" s="213">
        <v>0</v>
      </c>
      <c r="AB527" s="152">
        <f t="shared" si="52"/>
        <v>0</v>
      </c>
      <c r="AC527" s="122" t="s">
        <v>1837</v>
      </c>
    </row>
    <row r="528" spans="1:29" ht="12.75" hidden="1" customHeight="1">
      <c r="A528" s="125" t="str">
        <f t="shared" si="56"/>
        <v>LIC167UNREALISED APP/DEP - DEBENTURES</v>
      </c>
      <c r="B528" s="125">
        <f>+IFERROR(VLOOKUP(L528,'DB Mapping'!A:D,4,0),0)</f>
        <v>0</v>
      </c>
      <c r="C528" s="125">
        <f>+IFERROR(VLOOKUP(L528,'DB Mapping'!A:C,3,0),0)</f>
        <v>0</v>
      </c>
      <c r="D528" s="125" t="str">
        <f t="shared" si="57"/>
        <v>LIC1670</v>
      </c>
      <c r="E528" s="125" t="str">
        <f t="shared" si="58"/>
        <v>LIC1670</v>
      </c>
      <c r="F528" s="150" t="s">
        <v>38</v>
      </c>
      <c r="G528" s="127" t="s">
        <v>453</v>
      </c>
      <c r="L528" s="212" t="s">
        <v>1812</v>
      </c>
      <c r="M528" s="212"/>
      <c r="N528" s="212" t="s">
        <v>1610</v>
      </c>
      <c r="Z528" s="213">
        <v>0</v>
      </c>
      <c r="AA528" s="213">
        <v>0</v>
      </c>
      <c r="AB528" s="152">
        <f t="shared" si="52"/>
        <v>0</v>
      </c>
      <c r="AC528" s="122" t="s">
        <v>1837</v>
      </c>
    </row>
    <row r="529" spans="1:29" ht="12.75" hidden="1" customHeight="1">
      <c r="A529" s="125" t="str">
        <f t="shared" si="56"/>
        <v>LIC167UNREALISED APP/DEP - ZERO COUPON BOND</v>
      </c>
      <c r="B529" s="125">
        <f>+IFERROR(VLOOKUP(L529,'DB Mapping'!A:D,4,0),0)</f>
        <v>0</v>
      </c>
      <c r="C529" s="125">
        <f>+IFERROR(VLOOKUP(L529,'DB Mapping'!A:C,3,0),0)</f>
        <v>0</v>
      </c>
      <c r="D529" s="125" t="str">
        <f t="shared" si="57"/>
        <v>LIC1670</v>
      </c>
      <c r="E529" s="125" t="str">
        <f t="shared" si="58"/>
        <v>LIC1670</v>
      </c>
      <c r="F529" s="150" t="s">
        <v>38</v>
      </c>
      <c r="G529" s="127" t="s">
        <v>453</v>
      </c>
      <c r="L529" s="212" t="s">
        <v>1813</v>
      </c>
      <c r="M529" s="212"/>
      <c r="N529" s="212" t="s">
        <v>1697</v>
      </c>
      <c r="Z529" s="213">
        <v>0</v>
      </c>
      <c r="AA529" s="213">
        <v>0</v>
      </c>
      <c r="AB529" s="152">
        <f t="shared" si="52"/>
        <v>0</v>
      </c>
      <c r="AC529" s="122" t="s">
        <v>1837</v>
      </c>
    </row>
    <row r="530" spans="1:29" ht="12.75" hidden="1" customHeight="1">
      <c r="A530" s="125" t="str">
        <f t="shared" si="56"/>
        <v>LIC167HDFC BANK CURRENT ACCOUNT</v>
      </c>
      <c r="B530" s="125">
        <f>+IFERROR(VLOOKUP(L530,'DB Mapping'!A:D,4,0),0)</f>
        <v>0</v>
      </c>
      <c r="C530" s="125">
        <f>+IFERROR(VLOOKUP(L530,'DB Mapping'!A:C,3,0),0)</f>
        <v>0</v>
      </c>
      <c r="D530" s="125" t="str">
        <f t="shared" si="57"/>
        <v>LIC1670</v>
      </c>
      <c r="E530" s="125" t="str">
        <f t="shared" si="58"/>
        <v>LIC1670</v>
      </c>
      <c r="F530" s="150" t="s">
        <v>38</v>
      </c>
      <c r="G530" s="127" t="s">
        <v>453</v>
      </c>
      <c r="L530" s="212" t="s">
        <v>1712</v>
      </c>
      <c r="M530" s="212"/>
      <c r="N530" s="212" t="s">
        <v>1612</v>
      </c>
      <c r="Z530" s="213">
        <v>0.55000000000000004</v>
      </c>
      <c r="AA530" s="213">
        <v>0</v>
      </c>
      <c r="AB530" s="152">
        <f t="shared" si="52"/>
        <v>5.5000000000000003E-8</v>
      </c>
      <c r="AC530" s="122" t="s">
        <v>1837</v>
      </c>
    </row>
    <row r="531" spans="1:29" ht="12.75" hidden="1" customHeight="1">
      <c r="A531" s="125" t="str">
        <f t="shared" si="56"/>
        <v>LIC167HDFC BANK</v>
      </c>
      <c r="B531" s="125">
        <f>+IFERROR(VLOOKUP(L531,'DB Mapping'!A:D,4,0),0)</f>
        <v>0</v>
      </c>
      <c r="C531" s="125">
        <f>+IFERROR(VLOOKUP(L531,'DB Mapping'!A:C,3,0),0)</f>
        <v>0</v>
      </c>
      <c r="D531" s="125" t="str">
        <f t="shared" si="57"/>
        <v>LIC1670</v>
      </c>
      <c r="E531" s="125" t="str">
        <f t="shared" si="58"/>
        <v>LIC1670</v>
      </c>
      <c r="F531" s="150" t="s">
        <v>38</v>
      </c>
      <c r="G531" s="127" t="s">
        <v>453</v>
      </c>
      <c r="L531" s="212" t="s">
        <v>1793</v>
      </c>
      <c r="M531" s="212"/>
      <c r="N531" s="212" t="s">
        <v>1613</v>
      </c>
      <c r="Z531" s="213">
        <v>0</v>
      </c>
      <c r="AA531" s="213">
        <v>2.48</v>
      </c>
      <c r="AB531" s="152">
        <f t="shared" si="52"/>
        <v>-2.48E-7</v>
      </c>
      <c r="AC531" s="122" t="s">
        <v>1837</v>
      </c>
    </row>
    <row r="532" spans="1:29" ht="12.75" hidden="1" customHeight="1">
      <c r="A532" s="125" t="str">
        <f t="shared" si="56"/>
        <v>LIC167SETTLEMENT RECEIVABLE</v>
      </c>
      <c r="B532" s="125">
        <f>+IFERROR(VLOOKUP(L532,'DB Mapping'!A:D,4,0),0)</f>
        <v>0</v>
      </c>
      <c r="C532" s="125">
        <f>+IFERROR(VLOOKUP(L532,'DB Mapping'!A:C,3,0),0)</f>
        <v>0</v>
      </c>
      <c r="D532" s="125" t="str">
        <f t="shared" si="57"/>
        <v>LIC1670</v>
      </c>
      <c r="E532" s="125" t="str">
        <f t="shared" si="58"/>
        <v>LIC1670</v>
      </c>
      <c r="F532" s="150" t="s">
        <v>38</v>
      </c>
      <c r="G532" s="127" t="s">
        <v>453</v>
      </c>
      <c r="L532" s="212" t="s">
        <v>1829</v>
      </c>
      <c r="M532" s="212"/>
      <c r="N532" s="212" t="s">
        <v>1614</v>
      </c>
      <c r="Z532" s="213">
        <v>0</v>
      </c>
      <c r="AA532" s="213">
        <v>0</v>
      </c>
      <c r="AB532" s="152">
        <f t="shared" si="52"/>
        <v>0</v>
      </c>
      <c r="AC532" s="122" t="s">
        <v>1837</v>
      </c>
    </row>
    <row r="533" spans="1:29" ht="12.75" hidden="1" customHeight="1">
      <c r="A533" s="125" t="str">
        <f t="shared" si="56"/>
        <v>LIC167REDEMPTION RECEIVABLE - CBLO</v>
      </c>
      <c r="B533" s="125">
        <f>+IFERROR(VLOOKUP(L533,'DB Mapping'!A:D,4,0),0)</f>
        <v>0</v>
      </c>
      <c r="C533" s="125">
        <f>+IFERROR(VLOOKUP(L533,'DB Mapping'!A:C,3,0),0)</f>
        <v>0</v>
      </c>
      <c r="D533" s="125" t="str">
        <f t="shared" si="57"/>
        <v>LIC1670</v>
      </c>
      <c r="E533" s="125" t="str">
        <f t="shared" si="58"/>
        <v>LIC1670</v>
      </c>
      <c r="F533" s="150" t="s">
        <v>38</v>
      </c>
      <c r="G533" s="127" t="s">
        <v>453</v>
      </c>
      <c r="L533" s="212" t="s">
        <v>1713</v>
      </c>
      <c r="M533" s="212"/>
      <c r="N533" s="212" t="s">
        <v>1615</v>
      </c>
      <c r="Z533" s="213">
        <v>0</v>
      </c>
      <c r="AA533" s="213">
        <v>0</v>
      </c>
      <c r="AB533" s="152">
        <f t="shared" si="52"/>
        <v>0</v>
      </c>
      <c r="AC533" s="122" t="s">
        <v>1837</v>
      </c>
    </row>
    <row r="534" spans="1:29" ht="12.75" hidden="1" customHeight="1">
      <c r="A534" s="125" t="str">
        <f t="shared" si="56"/>
        <v>LIC167REDEMPTION RECEIVABLE - DEBENTURES</v>
      </c>
      <c r="B534" s="125">
        <f>+IFERROR(VLOOKUP(L534,'DB Mapping'!A:D,4,0),0)</f>
        <v>0</v>
      </c>
      <c r="C534" s="125">
        <f>+IFERROR(VLOOKUP(L534,'DB Mapping'!A:C,3,0),0)</f>
        <v>0</v>
      </c>
      <c r="D534" s="125" t="str">
        <f t="shared" si="57"/>
        <v>LIC1670</v>
      </c>
      <c r="E534" s="125" t="str">
        <f t="shared" si="58"/>
        <v>LIC1670</v>
      </c>
      <c r="F534" s="150" t="s">
        <v>38</v>
      </c>
      <c r="G534" s="127" t="s">
        <v>453</v>
      </c>
      <c r="L534" s="212" t="s">
        <v>1814</v>
      </c>
      <c r="M534" s="212"/>
      <c r="N534" s="212" t="s">
        <v>1616</v>
      </c>
      <c r="Z534" s="213">
        <v>0</v>
      </c>
      <c r="AA534" s="213">
        <v>0</v>
      </c>
      <c r="AB534" s="152">
        <f t="shared" si="52"/>
        <v>0</v>
      </c>
      <c r="AC534" s="122" t="s">
        <v>1837</v>
      </c>
    </row>
    <row r="535" spans="1:29" ht="12.75" hidden="1" customHeight="1">
      <c r="A535" s="125" t="str">
        <f t="shared" si="56"/>
        <v>LIC167REDEMPTION RECEIVABLE - ZERO COUPON BOND</v>
      </c>
      <c r="B535" s="125">
        <f>+IFERROR(VLOOKUP(L535,'DB Mapping'!A:D,4,0),0)</f>
        <v>0</v>
      </c>
      <c r="C535" s="125">
        <f>+IFERROR(VLOOKUP(L535,'DB Mapping'!A:C,3,0),0)</f>
        <v>0</v>
      </c>
      <c r="D535" s="125" t="str">
        <f t="shared" si="57"/>
        <v>LIC1670</v>
      </c>
      <c r="E535" s="125" t="str">
        <f t="shared" si="58"/>
        <v>LIC1670</v>
      </c>
      <c r="F535" s="150" t="s">
        <v>38</v>
      </c>
      <c r="G535" s="127" t="s">
        <v>453</v>
      </c>
      <c r="L535" s="212" t="s">
        <v>1815</v>
      </c>
      <c r="M535" s="212"/>
      <c r="N535" s="212" t="s">
        <v>1698</v>
      </c>
      <c r="Z535" s="213">
        <v>0</v>
      </c>
      <c r="AA535" s="213">
        <v>0</v>
      </c>
      <c r="AB535" s="152">
        <f t="shared" si="52"/>
        <v>0</v>
      </c>
      <c r="AC535" s="122" t="s">
        <v>1837</v>
      </c>
    </row>
    <row r="536" spans="1:29" ht="12.75" hidden="1" customHeight="1">
      <c r="A536" s="125" t="str">
        <f t="shared" si="56"/>
        <v>LIC167INTEREST ACCRUED/NOT DUE - DEBENTURES</v>
      </c>
      <c r="B536" s="125">
        <f>+IFERROR(VLOOKUP(L536,'DB Mapping'!A:D,4,0),0)</f>
        <v>0</v>
      </c>
      <c r="C536" s="125">
        <f>+IFERROR(VLOOKUP(L536,'DB Mapping'!A:C,3,0),0)</f>
        <v>0</v>
      </c>
      <c r="D536" s="125" t="str">
        <f t="shared" si="57"/>
        <v>LIC1670</v>
      </c>
      <c r="E536" s="125" t="str">
        <f t="shared" si="58"/>
        <v>LIC1670</v>
      </c>
      <c r="F536" s="150" t="s">
        <v>38</v>
      </c>
      <c r="G536" s="127" t="s">
        <v>453</v>
      </c>
      <c r="L536" s="212" t="s">
        <v>1816</v>
      </c>
      <c r="M536" s="212"/>
      <c r="N536" s="212" t="s">
        <v>1618</v>
      </c>
      <c r="Z536" s="213">
        <v>0</v>
      </c>
      <c r="AA536" s="213">
        <v>0</v>
      </c>
      <c r="AB536" s="152">
        <f t="shared" si="52"/>
        <v>0</v>
      </c>
      <c r="AC536" s="122" t="s">
        <v>1837</v>
      </c>
    </row>
    <row r="537" spans="1:29" ht="12.75" hidden="1" customHeight="1">
      <c r="A537" s="125" t="str">
        <f t="shared" si="56"/>
        <v>LIC167INTEREST ACCRUED AND DUE - DEBENTURES</v>
      </c>
      <c r="B537" s="125">
        <f>+IFERROR(VLOOKUP(L537,'DB Mapping'!A:D,4,0),0)</f>
        <v>0</v>
      </c>
      <c r="C537" s="125">
        <f>+IFERROR(VLOOKUP(L537,'DB Mapping'!A:C,3,0),0)</f>
        <v>0</v>
      </c>
      <c r="D537" s="125" t="str">
        <f t="shared" si="57"/>
        <v>LIC1670</v>
      </c>
      <c r="E537" s="125" t="str">
        <f t="shared" si="58"/>
        <v>LIC1670</v>
      </c>
      <c r="F537" s="150" t="s">
        <v>38</v>
      </c>
      <c r="G537" s="127" t="s">
        <v>453</v>
      </c>
      <c r="L537" s="212" t="s">
        <v>1817</v>
      </c>
      <c r="M537" s="212"/>
      <c r="N537" s="212" t="s">
        <v>1619</v>
      </c>
      <c r="Z537" s="213">
        <v>0</v>
      </c>
      <c r="AA537" s="213">
        <v>0</v>
      </c>
      <c r="AB537" s="152">
        <f t="shared" si="52"/>
        <v>0</v>
      </c>
      <c r="AC537" s="122" t="s">
        <v>1837</v>
      </c>
    </row>
    <row r="538" spans="1:29" ht="12.75" hidden="1" customHeight="1">
      <c r="A538" s="125" t="str">
        <f t="shared" si="56"/>
        <v>LIC167AMORTISATION RECEIVABLE - CBLO</v>
      </c>
      <c r="B538" s="125">
        <f>+IFERROR(VLOOKUP(L538,'DB Mapping'!A:D,4,0),0)</f>
        <v>0</v>
      </c>
      <c r="C538" s="125">
        <f>+IFERROR(VLOOKUP(L538,'DB Mapping'!A:C,3,0),0)</f>
        <v>0</v>
      </c>
      <c r="D538" s="125" t="str">
        <f t="shared" si="57"/>
        <v>LIC1670</v>
      </c>
      <c r="E538" s="125" t="str">
        <f t="shared" si="58"/>
        <v>LIC1670</v>
      </c>
      <c r="F538" s="150" t="s">
        <v>38</v>
      </c>
      <c r="G538" s="127" t="s">
        <v>453</v>
      </c>
      <c r="L538" s="212" t="s">
        <v>1715</v>
      </c>
      <c r="M538" s="212"/>
      <c r="N538" s="212" t="s">
        <v>1621</v>
      </c>
      <c r="Z538" s="213">
        <v>43068.86</v>
      </c>
      <c r="AA538" s="213">
        <v>0</v>
      </c>
      <c r="AB538" s="152">
        <f t="shared" si="52"/>
        <v>4.3068860000000002E-3</v>
      </c>
      <c r="AC538" s="122" t="s">
        <v>1837</v>
      </c>
    </row>
    <row r="539" spans="1:29" ht="12.75" hidden="1" customHeight="1">
      <c r="A539" s="125" t="str">
        <f t="shared" si="56"/>
        <v>LIC167AMORTISATION RECEIVABLE - DEBENTURES</v>
      </c>
      <c r="B539" s="125">
        <f>+IFERROR(VLOOKUP(L539,'DB Mapping'!A:D,4,0),0)</f>
        <v>0</v>
      </c>
      <c r="C539" s="125">
        <f>+IFERROR(VLOOKUP(L539,'DB Mapping'!A:C,3,0),0)</f>
        <v>0</v>
      </c>
      <c r="D539" s="125" t="str">
        <f t="shared" si="57"/>
        <v>LIC1670</v>
      </c>
      <c r="E539" s="125" t="str">
        <f t="shared" si="58"/>
        <v>LIC1670</v>
      </c>
      <c r="F539" s="150" t="s">
        <v>38</v>
      </c>
      <c r="G539" s="127" t="s">
        <v>453</v>
      </c>
      <c r="L539" s="212" t="s">
        <v>1818</v>
      </c>
      <c r="M539" s="212"/>
      <c r="N539" s="212" t="s">
        <v>1622</v>
      </c>
      <c r="Z539" s="213">
        <v>0</v>
      </c>
      <c r="AA539" s="213">
        <v>0</v>
      </c>
      <c r="AB539" s="152">
        <f t="shared" si="52"/>
        <v>0</v>
      </c>
      <c r="AC539" s="122" t="s">
        <v>1837</v>
      </c>
    </row>
    <row r="540" spans="1:29" ht="12.75" hidden="1" customHeight="1">
      <c r="A540" s="125" t="str">
        <f t="shared" si="56"/>
        <v>LIC167AMORTISATION RECEIVABLE - ZERO COUPON BOND</v>
      </c>
      <c r="B540" s="125">
        <f>+IFERROR(VLOOKUP(L540,'DB Mapping'!A:D,4,0),0)</f>
        <v>0</v>
      </c>
      <c r="C540" s="125">
        <f>+IFERROR(VLOOKUP(L540,'DB Mapping'!A:C,3,0),0)</f>
        <v>0</v>
      </c>
      <c r="D540" s="125" t="str">
        <f t="shared" si="57"/>
        <v>LIC1670</v>
      </c>
      <c r="E540" s="125" t="str">
        <f t="shared" si="58"/>
        <v>LIC1670</v>
      </c>
      <c r="F540" s="150" t="s">
        <v>38</v>
      </c>
      <c r="G540" s="127" t="s">
        <v>453</v>
      </c>
      <c r="L540" s="212" t="s">
        <v>1819</v>
      </c>
      <c r="M540" s="212"/>
      <c r="N540" s="212" t="s">
        <v>1699</v>
      </c>
      <c r="Z540" s="213">
        <v>0</v>
      </c>
      <c r="AA540" s="213">
        <v>0</v>
      </c>
      <c r="AB540" s="152">
        <f t="shared" si="52"/>
        <v>0</v>
      </c>
      <c r="AC540" s="122" t="s">
        <v>1837</v>
      </c>
    </row>
    <row r="541" spans="1:29" ht="12.75" hidden="1" customHeight="1">
      <c r="A541" s="125" t="str">
        <f t="shared" si="56"/>
        <v>LIC167CCIL SETTLEMENT A/C</v>
      </c>
      <c r="B541" s="125">
        <f>+IFERROR(VLOOKUP(L541,'DB Mapping'!A:D,4,0),0)</f>
        <v>0</v>
      </c>
      <c r="C541" s="125">
        <f>+IFERROR(VLOOKUP(L541,'DB Mapping'!A:C,3,0),0)</f>
        <v>0</v>
      </c>
      <c r="D541" s="125" t="str">
        <f t="shared" si="57"/>
        <v>LIC1670</v>
      </c>
      <c r="E541" s="125" t="str">
        <f t="shared" si="58"/>
        <v>LIC1670</v>
      </c>
      <c r="F541" s="150" t="s">
        <v>38</v>
      </c>
      <c r="G541" s="127" t="s">
        <v>453</v>
      </c>
      <c r="L541" s="212" t="s">
        <v>1717</v>
      </c>
      <c r="M541" s="212"/>
      <c r="N541" s="212" t="s">
        <v>1624</v>
      </c>
      <c r="Z541" s="213">
        <v>43068.78</v>
      </c>
      <c r="AA541" s="213">
        <v>0</v>
      </c>
      <c r="AB541" s="152">
        <f t="shared" si="52"/>
        <v>4.3068780000000001E-3</v>
      </c>
      <c r="AC541" s="122" t="s">
        <v>1837</v>
      </c>
    </row>
    <row r="542" spans="1:29" ht="12.75" hidden="1" customHeight="1">
      <c r="A542" s="125" t="str">
        <f t="shared" si="56"/>
        <v>LIC167SETTLEMENT PAYABLE</v>
      </c>
      <c r="B542" s="125">
        <f>+IFERROR(VLOOKUP(L542,'DB Mapping'!A:D,4,0),0)</f>
        <v>0</v>
      </c>
      <c r="C542" s="125">
        <f>+IFERROR(VLOOKUP(L542,'DB Mapping'!A:C,3,0),0)</f>
        <v>0</v>
      </c>
      <c r="D542" s="125" t="str">
        <f t="shared" si="57"/>
        <v>LIC1670</v>
      </c>
      <c r="E542" s="125" t="str">
        <f t="shared" si="58"/>
        <v>LIC1670</v>
      </c>
      <c r="F542" s="150" t="s">
        <v>38</v>
      </c>
      <c r="G542" s="127" t="s">
        <v>453</v>
      </c>
      <c r="L542" s="212" t="s">
        <v>1718</v>
      </c>
      <c r="M542" s="212"/>
      <c r="N542" s="212" t="s">
        <v>1625</v>
      </c>
      <c r="Z542" s="213">
        <v>0</v>
      </c>
      <c r="AA542" s="213">
        <v>0</v>
      </c>
      <c r="AB542" s="152">
        <f t="shared" si="52"/>
        <v>0</v>
      </c>
      <c r="AC542" s="122" t="s">
        <v>1837</v>
      </c>
    </row>
    <row r="543" spans="1:29" ht="12.75" hidden="1" customHeight="1">
      <c r="A543" s="125" t="str">
        <f t="shared" si="56"/>
        <v>LIC167EXPENSE ALLOCATION - LIABILITY ACCOUNT</v>
      </c>
      <c r="B543" s="125">
        <f>+IFERROR(VLOOKUP(L543,'DB Mapping'!A:D,4,0),0)</f>
        <v>0</v>
      </c>
      <c r="C543" s="125">
        <f>+IFERROR(VLOOKUP(L543,'DB Mapping'!A:C,3,0),0)</f>
        <v>0</v>
      </c>
      <c r="D543" s="125" t="str">
        <f t="shared" si="57"/>
        <v>LIC1670</v>
      </c>
      <c r="E543" s="125" t="str">
        <f t="shared" si="58"/>
        <v>LIC1670</v>
      </c>
      <c r="F543" s="150" t="s">
        <v>38</v>
      </c>
      <c r="G543" s="127" t="s">
        <v>453</v>
      </c>
      <c r="L543" s="212" t="s">
        <v>1720</v>
      </c>
      <c r="M543" s="212"/>
      <c r="N543" s="212" t="s">
        <v>1626</v>
      </c>
      <c r="Z543" s="213">
        <v>72566.59</v>
      </c>
      <c r="AA543" s="213">
        <v>0</v>
      </c>
      <c r="AB543" s="152">
        <f t="shared" si="52"/>
        <v>7.2566589999999995E-3</v>
      </c>
      <c r="AC543" s="122" t="s">
        <v>1837</v>
      </c>
    </row>
    <row r="544" spans="1:29" ht="12.75" hidden="1" customHeight="1">
      <c r="A544" s="125" t="str">
        <f t="shared" si="56"/>
        <v>LIC167PAYABLE - UNITS DIVIDEND TAX</v>
      </c>
      <c r="B544" s="125">
        <f>+IFERROR(VLOOKUP(L544,'DB Mapping'!A:D,4,0),0)</f>
        <v>0</v>
      </c>
      <c r="C544" s="125">
        <f>+IFERROR(VLOOKUP(L544,'DB Mapping'!A:C,3,0),0)</f>
        <v>0</v>
      </c>
      <c r="D544" s="125" t="str">
        <f t="shared" si="57"/>
        <v>LIC1670</v>
      </c>
      <c r="E544" s="125" t="str">
        <f t="shared" si="58"/>
        <v>LIC1670</v>
      </c>
      <c r="F544" s="150" t="s">
        <v>38</v>
      </c>
      <c r="G544" s="127" t="s">
        <v>453</v>
      </c>
      <c r="L544" s="212" t="s">
        <v>1721</v>
      </c>
      <c r="M544" s="212"/>
      <c r="N544" s="212" t="s">
        <v>1627</v>
      </c>
      <c r="Z544" s="213">
        <v>0</v>
      </c>
      <c r="AA544" s="213">
        <v>7182</v>
      </c>
      <c r="AB544" s="152">
        <f t="shared" si="52"/>
        <v>-7.182E-4</v>
      </c>
      <c r="AC544" s="122" t="s">
        <v>1837</v>
      </c>
    </row>
    <row r="545" spans="1:29" ht="12.75" hidden="1" customHeight="1">
      <c r="A545" s="125" t="str">
        <f t="shared" si="56"/>
        <v>LIC167PAYABLE - AUDIT FEES</v>
      </c>
      <c r="B545" s="125">
        <f>+IFERROR(VLOOKUP(L545,'DB Mapping'!A:D,4,0),0)</f>
        <v>0</v>
      </c>
      <c r="C545" s="125">
        <f>+IFERROR(VLOOKUP(L545,'DB Mapping'!A:C,3,0),0)</f>
        <v>0</v>
      </c>
      <c r="D545" s="125" t="str">
        <f t="shared" si="57"/>
        <v>LIC1670</v>
      </c>
      <c r="E545" s="125" t="str">
        <f t="shared" si="58"/>
        <v>LIC1670</v>
      </c>
      <c r="F545" s="150" t="s">
        <v>38</v>
      </c>
      <c r="G545" s="127" t="s">
        <v>453</v>
      </c>
      <c r="L545" s="212" t="s">
        <v>1722</v>
      </c>
      <c r="M545" s="212"/>
      <c r="N545" s="212" t="s">
        <v>1628</v>
      </c>
      <c r="Z545" s="213">
        <v>237.3</v>
      </c>
      <c r="AA545" s="213">
        <v>0</v>
      </c>
      <c r="AB545" s="152">
        <f t="shared" si="52"/>
        <v>2.3730000000000001E-5</v>
      </c>
      <c r="AC545" s="122" t="s">
        <v>1837</v>
      </c>
    </row>
    <row r="546" spans="1:29" ht="12.75" hidden="1" customHeight="1">
      <c r="A546" s="125" t="str">
        <f t="shared" si="56"/>
        <v>LIC167PAYABLE - CUSTODIAN FEE - CUSTODY</v>
      </c>
      <c r="B546" s="125">
        <f>+IFERROR(VLOOKUP(L546,'DB Mapping'!A:D,4,0),0)</f>
        <v>0</v>
      </c>
      <c r="C546" s="125">
        <f>+IFERROR(VLOOKUP(L546,'DB Mapping'!A:C,3,0),0)</f>
        <v>0</v>
      </c>
      <c r="D546" s="125" t="str">
        <f t="shared" si="57"/>
        <v>LIC1670</v>
      </c>
      <c r="E546" s="125" t="str">
        <f t="shared" si="58"/>
        <v>LIC1670</v>
      </c>
      <c r="F546" s="150" t="s">
        <v>38</v>
      </c>
      <c r="G546" s="127" t="s">
        <v>453</v>
      </c>
      <c r="L546" s="212" t="s">
        <v>1723</v>
      </c>
      <c r="M546" s="212"/>
      <c r="N546" s="212" t="s">
        <v>1705</v>
      </c>
      <c r="Z546" s="213">
        <v>0</v>
      </c>
      <c r="AA546" s="213">
        <v>2659</v>
      </c>
      <c r="AB546" s="152">
        <f t="shared" si="52"/>
        <v>-2.6590000000000001E-4</v>
      </c>
      <c r="AC546" s="122" t="s">
        <v>1837</v>
      </c>
    </row>
    <row r="547" spans="1:29" ht="12.75" hidden="1" customHeight="1">
      <c r="A547" s="125" t="str">
        <f t="shared" si="56"/>
        <v>LIC167PAYABLE - TDS ON EXPENSES</v>
      </c>
      <c r="B547" s="125">
        <f>+IFERROR(VLOOKUP(L547,'DB Mapping'!A:D,4,0),0)</f>
        <v>0</v>
      </c>
      <c r="C547" s="125">
        <f>+IFERROR(VLOOKUP(L547,'DB Mapping'!A:C,3,0),0)</f>
        <v>0</v>
      </c>
      <c r="D547" s="125" t="str">
        <f t="shared" si="57"/>
        <v>LIC1670</v>
      </c>
      <c r="E547" s="125" t="str">
        <f t="shared" si="58"/>
        <v>LIC1670</v>
      </c>
      <c r="F547" s="150" t="s">
        <v>38</v>
      </c>
      <c r="G547" s="127" t="s">
        <v>453</v>
      </c>
      <c r="L547" s="212" t="s">
        <v>1724</v>
      </c>
      <c r="M547" s="212"/>
      <c r="N547" s="212" t="s">
        <v>1629</v>
      </c>
      <c r="Z547" s="213">
        <v>0</v>
      </c>
      <c r="AA547" s="213">
        <v>174.26</v>
      </c>
      <c r="AB547" s="152">
        <f t="shared" si="52"/>
        <v>-1.7425999999999999E-5</v>
      </c>
      <c r="AC547" s="122" t="s">
        <v>1837</v>
      </c>
    </row>
    <row r="548" spans="1:29" ht="12.75" hidden="1" customHeight="1">
      <c r="A548" s="125" t="str">
        <f t="shared" si="56"/>
        <v>LIC167PAYABLE - TDS ON WORKS CONTRACT</v>
      </c>
      <c r="B548" s="125">
        <f>+IFERROR(VLOOKUP(L548,'DB Mapping'!A:D,4,0),0)</f>
        <v>0</v>
      </c>
      <c r="C548" s="125">
        <f>+IFERROR(VLOOKUP(L548,'DB Mapping'!A:C,3,0),0)</f>
        <v>0</v>
      </c>
      <c r="D548" s="125" t="str">
        <f t="shared" si="57"/>
        <v>LIC1670</v>
      </c>
      <c r="E548" s="125" t="str">
        <f t="shared" si="58"/>
        <v>LIC1670</v>
      </c>
      <c r="F548" s="150" t="s">
        <v>38</v>
      </c>
      <c r="G548" s="127" t="s">
        <v>453</v>
      </c>
      <c r="L548" s="212" t="s">
        <v>1795</v>
      </c>
      <c r="M548" s="212"/>
      <c r="N548" s="212" t="s">
        <v>1631</v>
      </c>
      <c r="Z548" s="213">
        <v>14</v>
      </c>
      <c r="AA548" s="213">
        <v>0</v>
      </c>
      <c r="AB548" s="152">
        <f t="shared" si="52"/>
        <v>1.3999999999999999E-6</v>
      </c>
      <c r="AC548" s="122" t="s">
        <v>1837</v>
      </c>
    </row>
    <row r="549" spans="1:29" ht="12.75" hidden="1" customHeight="1">
      <c r="A549" s="125" t="str">
        <f t="shared" si="56"/>
        <v>LIC167PAYABLE - MANAGEMENT FEES</v>
      </c>
      <c r="B549" s="125">
        <f>+IFERROR(VLOOKUP(L549,'DB Mapping'!A:D,4,0),0)</f>
        <v>0</v>
      </c>
      <c r="C549" s="125">
        <f>+IFERROR(VLOOKUP(L549,'DB Mapping'!A:C,3,0),0)</f>
        <v>0</v>
      </c>
      <c r="D549" s="125" t="str">
        <f t="shared" si="57"/>
        <v>LIC1670</v>
      </c>
      <c r="E549" s="125" t="str">
        <f t="shared" si="58"/>
        <v>LIC1670</v>
      </c>
      <c r="F549" s="150" t="s">
        <v>38</v>
      </c>
      <c r="G549" s="127" t="s">
        <v>453</v>
      </c>
      <c r="L549" s="212" t="s">
        <v>1727</v>
      </c>
      <c r="M549" s="212"/>
      <c r="N549" s="212" t="s">
        <v>1632</v>
      </c>
      <c r="Z549" s="213">
        <v>0</v>
      </c>
      <c r="AA549" s="213">
        <v>1725.17</v>
      </c>
      <c r="AB549" s="152">
        <f t="shared" si="52"/>
        <v>-1.7251700000000002E-4</v>
      </c>
      <c r="AC549" s="122" t="s">
        <v>1837</v>
      </c>
    </row>
    <row r="550" spans="1:29" ht="12.75" hidden="1" customHeight="1">
      <c r="A550" s="125" t="str">
        <f t="shared" si="56"/>
        <v>LIC167PAYABLE - OTHER FEES</v>
      </c>
      <c r="B550" s="125">
        <f>+IFERROR(VLOOKUP(L550,'DB Mapping'!A:D,4,0),0)</f>
        <v>0</v>
      </c>
      <c r="C550" s="125">
        <f>+IFERROR(VLOOKUP(L550,'DB Mapping'!A:C,3,0),0)</f>
        <v>0</v>
      </c>
      <c r="D550" s="125" t="str">
        <f t="shared" si="57"/>
        <v>LIC1670</v>
      </c>
      <c r="E550" s="125" t="str">
        <f t="shared" si="58"/>
        <v>LIC1670</v>
      </c>
      <c r="F550" s="150" t="s">
        <v>38</v>
      </c>
      <c r="G550" s="127" t="s">
        <v>453</v>
      </c>
      <c r="L550" s="212" t="s">
        <v>1728</v>
      </c>
      <c r="M550" s="212"/>
      <c r="N550" s="212" t="s">
        <v>1633</v>
      </c>
      <c r="Z550" s="213">
        <v>0</v>
      </c>
      <c r="AA550" s="213">
        <v>162130.29</v>
      </c>
      <c r="AB550" s="152">
        <f t="shared" si="52"/>
        <v>-1.6213029E-2</v>
      </c>
      <c r="AC550" s="122" t="s">
        <v>1837</v>
      </c>
    </row>
    <row r="551" spans="1:29" ht="12.75" hidden="1" customHeight="1">
      <c r="A551" s="125" t="str">
        <f t="shared" si="56"/>
        <v>LIC167PAYABLE - OTHER FEES (SELLING &amp; DISTRIBUTION)</v>
      </c>
      <c r="B551" s="125">
        <f>+IFERROR(VLOOKUP(L551,'DB Mapping'!A:D,4,0),0)</f>
        <v>0</v>
      </c>
      <c r="C551" s="125">
        <f>+IFERROR(VLOOKUP(L551,'DB Mapping'!A:C,3,0),0)</f>
        <v>0</v>
      </c>
      <c r="D551" s="125" t="str">
        <f t="shared" si="57"/>
        <v>LIC1670</v>
      </c>
      <c r="E551" s="125" t="str">
        <f t="shared" si="58"/>
        <v>LIC1670</v>
      </c>
      <c r="F551" s="150" t="s">
        <v>38</v>
      </c>
      <c r="G551" s="127" t="s">
        <v>453</v>
      </c>
      <c r="L551" s="212" t="s">
        <v>1729</v>
      </c>
      <c r="M551" s="212"/>
      <c r="N551" s="212" t="s">
        <v>1634</v>
      </c>
      <c r="Z551" s="213">
        <v>0</v>
      </c>
      <c r="AA551" s="213">
        <v>192677.8</v>
      </c>
      <c r="AB551" s="152">
        <f t="shared" si="52"/>
        <v>-1.9267779999999998E-2</v>
      </c>
      <c r="AC551" s="122" t="s">
        <v>1837</v>
      </c>
    </row>
    <row r="552" spans="1:29" ht="12.75" hidden="1" customHeight="1">
      <c r="A552" s="125" t="str">
        <f t="shared" si="56"/>
        <v>LIC167PAYABLE - INTERNAL AUDIT FEES</v>
      </c>
      <c r="B552" s="125">
        <f>+IFERROR(VLOOKUP(L552,'DB Mapping'!A:D,4,0),0)</f>
        <v>0</v>
      </c>
      <c r="C552" s="125">
        <f>+IFERROR(VLOOKUP(L552,'DB Mapping'!A:C,3,0),0)</f>
        <v>0</v>
      </c>
      <c r="D552" s="125" t="str">
        <f t="shared" si="57"/>
        <v>LIC1670</v>
      </c>
      <c r="E552" s="125" t="str">
        <f t="shared" si="58"/>
        <v>LIC1670</v>
      </c>
      <c r="F552" s="150" t="s">
        <v>38</v>
      </c>
      <c r="G552" s="127" t="s">
        <v>453</v>
      </c>
      <c r="L552" s="212" t="s">
        <v>1732</v>
      </c>
      <c r="M552" s="212"/>
      <c r="N552" s="212" t="s">
        <v>1637</v>
      </c>
      <c r="Z552" s="213">
        <v>0</v>
      </c>
      <c r="AA552" s="213">
        <v>5702.03</v>
      </c>
      <c r="AB552" s="152">
        <f t="shared" si="52"/>
        <v>-5.7020299999999992E-4</v>
      </c>
      <c r="AC552" s="122" t="s">
        <v>1837</v>
      </c>
    </row>
    <row r="553" spans="1:29" ht="12.75" hidden="1" customHeight="1">
      <c r="A553" s="125" t="str">
        <f t="shared" si="56"/>
        <v>LIC167CGST EXPS PAYABLE ON MFEES</v>
      </c>
      <c r="B553" s="125">
        <f>+IFERROR(VLOOKUP(L553,'DB Mapping'!A:D,4,0),0)</f>
        <v>0</v>
      </c>
      <c r="C553" s="125">
        <f>+IFERROR(VLOOKUP(L553,'DB Mapping'!A:C,3,0),0)</f>
        <v>0</v>
      </c>
      <c r="D553" s="125" t="str">
        <f t="shared" si="57"/>
        <v>LIC1670</v>
      </c>
      <c r="E553" s="125" t="str">
        <f t="shared" si="58"/>
        <v>LIC1670</v>
      </c>
      <c r="F553" s="150" t="s">
        <v>38</v>
      </c>
      <c r="G553" s="127" t="s">
        <v>453</v>
      </c>
      <c r="L553" s="212" t="s">
        <v>1733</v>
      </c>
      <c r="M553" s="212"/>
      <c r="N553" s="212" t="s">
        <v>1638</v>
      </c>
      <c r="Z553" s="213">
        <v>0</v>
      </c>
      <c r="AA553" s="213">
        <v>155.25</v>
      </c>
      <c r="AB553" s="152">
        <f t="shared" si="52"/>
        <v>-1.5525000000000001E-5</v>
      </c>
      <c r="AC553" s="122" t="s">
        <v>1837</v>
      </c>
    </row>
    <row r="554" spans="1:29" ht="12.75" hidden="1" customHeight="1">
      <c r="A554" s="125" t="str">
        <f t="shared" si="56"/>
        <v>LIC167SGST EXPS PAYABLE ON MFEES</v>
      </c>
      <c r="B554" s="125">
        <f>+IFERROR(VLOOKUP(L554,'DB Mapping'!A:D,4,0),0)</f>
        <v>0</v>
      </c>
      <c r="C554" s="125">
        <f>+IFERROR(VLOOKUP(L554,'DB Mapping'!A:C,3,0),0)</f>
        <v>0</v>
      </c>
      <c r="D554" s="125" t="str">
        <f t="shared" si="57"/>
        <v>LIC1670</v>
      </c>
      <c r="E554" s="125" t="str">
        <f t="shared" si="58"/>
        <v>LIC1670</v>
      </c>
      <c r="F554" s="150" t="s">
        <v>38</v>
      </c>
      <c r="G554" s="127" t="s">
        <v>453</v>
      </c>
      <c r="L554" s="212" t="s">
        <v>1734</v>
      </c>
      <c r="M554" s="212"/>
      <c r="N554" s="212" t="s">
        <v>1639</v>
      </c>
      <c r="Z554" s="213">
        <v>0</v>
      </c>
      <c r="AA554" s="213">
        <v>155.25</v>
      </c>
      <c r="AB554" s="152">
        <f t="shared" si="52"/>
        <v>-1.5525000000000001E-5</v>
      </c>
      <c r="AC554" s="122" t="s">
        <v>1837</v>
      </c>
    </row>
    <row r="555" spans="1:29" ht="12.75" hidden="1" customHeight="1">
      <c r="A555" s="125" t="str">
        <f t="shared" si="56"/>
        <v>LIC167PAYABLE - INVESTOR EDUCATION FUND</v>
      </c>
      <c r="B555" s="125">
        <f>+IFERROR(VLOOKUP(L555,'DB Mapping'!A:D,4,0),0)</f>
        <v>0</v>
      </c>
      <c r="C555" s="125">
        <f>+IFERROR(VLOOKUP(L555,'DB Mapping'!A:C,3,0),0)</f>
        <v>0</v>
      </c>
      <c r="D555" s="125" t="str">
        <f t="shared" si="57"/>
        <v>LIC1670</v>
      </c>
      <c r="E555" s="125" t="str">
        <f t="shared" si="58"/>
        <v>LIC1670</v>
      </c>
      <c r="F555" s="150" t="s">
        <v>38</v>
      </c>
      <c r="G555" s="127" t="s">
        <v>453</v>
      </c>
      <c r="L555" s="212" t="s">
        <v>1735</v>
      </c>
      <c r="M555" s="212"/>
      <c r="N555" s="212" t="s">
        <v>1640</v>
      </c>
      <c r="Z555" s="213">
        <v>0</v>
      </c>
      <c r="AA555" s="213">
        <v>975.33</v>
      </c>
      <c r="AB555" s="152">
        <f t="shared" si="52"/>
        <v>-9.7533000000000003E-5</v>
      </c>
      <c r="AC555" s="122" t="s">
        <v>1837</v>
      </c>
    </row>
    <row r="556" spans="1:29" ht="12.75" hidden="1" customHeight="1">
      <c r="A556" s="125" t="str">
        <f t="shared" si="56"/>
        <v>LIC167PAYABLE - INVESTOR EDUCATION FUND - AMFI</v>
      </c>
      <c r="B556" s="125">
        <f>+IFERROR(VLOOKUP(L556,'DB Mapping'!A:D,4,0),0)</f>
        <v>0</v>
      </c>
      <c r="C556" s="125">
        <f>+IFERROR(VLOOKUP(L556,'DB Mapping'!A:C,3,0),0)</f>
        <v>0</v>
      </c>
      <c r="D556" s="125" t="str">
        <f t="shared" si="57"/>
        <v>LIC1670</v>
      </c>
      <c r="E556" s="125" t="str">
        <f t="shared" si="58"/>
        <v>LIC1670</v>
      </c>
      <c r="F556" s="150" t="s">
        <v>38</v>
      </c>
      <c r="G556" s="127" t="s">
        <v>453</v>
      </c>
      <c r="L556" s="212" t="s">
        <v>1737</v>
      </c>
      <c r="M556" s="212"/>
      <c r="N556" s="212" t="s">
        <v>1641</v>
      </c>
      <c r="Z556" s="213">
        <v>0</v>
      </c>
      <c r="AA556" s="213">
        <v>975.33</v>
      </c>
      <c r="AB556" s="152">
        <f t="shared" si="52"/>
        <v>-9.7533000000000003E-5</v>
      </c>
      <c r="AC556" s="122" t="s">
        <v>1837</v>
      </c>
    </row>
    <row r="557" spans="1:29" ht="12.75" hidden="1" customHeight="1">
      <c r="A557" s="125" t="str">
        <f t="shared" si="56"/>
        <v>LIC167DIVIDEND DISTRIBUTION PAYABLE</v>
      </c>
      <c r="B557" s="125">
        <f>+IFERROR(VLOOKUP(L557,'DB Mapping'!A:D,4,0),0)</f>
        <v>0</v>
      </c>
      <c r="C557" s="125">
        <f>+IFERROR(VLOOKUP(L557,'DB Mapping'!A:C,3,0),0)</f>
        <v>0</v>
      </c>
      <c r="D557" s="125" t="str">
        <f t="shared" si="57"/>
        <v>LIC1670</v>
      </c>
      <c r="E557" s="125" t="str">
        <f t="shared" si="58"/>
        <v>LIC1670</v>
      </c>
      <c r="F557" s="150" t="s">
        <v>38</v>
      </c>
      <c r="G557" s="127" t="s">
        <v>453</v>
      </c>
      <c r="L557" s="212" t="s">
        <v>1741</v>
      </c>
      <c r="M557" s="212"/>
      <c r="N557" s="212" t="s">
        <v>1645</v>
      </c>
      <c r="Z557" s="213">
        <v>0</v>
      </c>
      <c r="AA557" s="213">
        <v>18677.900000000001</v>
      </c>
      <c r="AB557" s="152">
        <f t="shared" si="52"/>
        <v>-1.8677900000000002E-3</v>
      </c>
      <c r="AC557" s="122" t="s">
        <v>1837</v>
      </c>
    </row>
    <row r="558" spans="1:29" ht="12.75" hidden="1" customHeight="1">
      <c r="A558" s="125" t="str">
        <f t="shared" si="56"/>
        <v>LIC167PROVISION FOR OPERATING EXPENSES</v>
      </c>
      <c r="B558" s="125">
        <f>+IFERROR(VLOOKUP(L558,'DB Mapping'!A:D,4,0),0)</f>
        <v>0</v>
      </c>
      <c r="C558" s="125">
        <f>+IFERROR(VLOOKUP(L558,'DB Mapping'!A:C,3,0),0)</f>
        <v>0</v>
      </c>
      <c r="D558" s="125" t="str">
        <f t="shared" si="57"/>
        <v>LIC1670</v>
      </c>
      <c r="E558" s="125" t="str">
        <f t="shared" si="58"/>
        <v>LIC1670</v>
      </c>
      <c r="F558" s="150" t="s">
        <v>38</v>
      </c>
      <c r="G558" s="127" t="s">
        <v>453</v>
      </c>
      <c r="L558" s="212" t="s">
        <v>1798</v>
      </c>
      <c r="M558" s="212"/>
      <c r="N558" s="212" t="s">
        <v>1647</v>
      </c>
      <c r="Z558" s="213">
        <v>0</v>
      </c>
      <c r="AA558" s="213">
        <v>395.85</v>
      </c>
      <c r="AB558" s="152">
        <f t="shared" si="52"/>
        <v>-3.9585000000000001E-5</v>
      </c>
      <c r="AC558" s="122" t="s">
        <v>1837</v>
      </c>
    </row>
    <row r="559" spans="1:29" ht="12.75" hidden="1" customHeight="1">
      <c r="A559" s="125" t="str">
        <f t="shared" si="56"/>
        <v>LIC167UNIT CAPITAL - REGULAR DIV</v>
      </c>
      <c r="B559" s="125">
        <f>+IFERROR(VLOOKUP(L559,'DB Mapping'!A:D,4,0),0)</f>
        <v>0</v>
      </c>
      <c r="C559" s="125" t="str">
        <f>+IFERROR(VLOOKUP(L559,'DB Mapping'!A:C,3,0),0)</f>
        <v>Unit Capital</v>
      </c>
      <c r="D559" s="125" t="str">
        <f t="shared" si="57"/>
        <v>LIC1670</v>
      </c>
      <c r="E559" s="125" t="str">
        <f t="shared" si="58"/>
        <v>LIC167Unit Capital</v>
      </c>
      <c r="F559" s="150" t="s">
        <v>38</v>
      </c>
      <c r="G559" s="127" t="s">
        <v>453</v>
      </c>
      <c r="L559" s="212" t="s">
        <v>1746</v>
      </c>
      <c r="M559" s="212"/>
      <c r="N559" s="212" t="s">
        <v>1651</v>
      </c>
      <c r="Z559" s="213">
        <v>0</v>
      </c>
      <c r="AA559" s="213">
        <v>100000</v>
      </c>
      <c r="AB559" s="152">
        <f t="shared" si="52"/>
        <v>-0.01</v>
      </c>
      <c r="AC559" s="122" t="s">
        <v>1837</v>
      </c>
    </row>
    <row r="560" spans="1:29" ht="12.75" hidden="1" customHeight="1">
      <c r="A560" s="125" t="str">
        <f t="shared" si="56"/>
        <v>LIC167UNIT CAPITAL - REGULAR GROWTH</v>
      </c>
      <c r="B560" s="125">
        <f>+IFERROR(VLOOKUP(L560,'DB Mapping'!A:D,4,0),0)</f>
        <v>0</v>
      </c>
      <c r="C560" s="125" t="str">
        <f>+IFERROR(VLOOKUP(L560,'DB Mapping'!A:C,3,0),0)</f>
        <v>Unit Capital</v>
      </c>
      <c r="D560" s="125" t="str">
        <f t="shared" si="57"/>
        <v>LIC1670</v>
      </c>
      <c r="E560" s="125" t="str">
        <f t="shared" si="58"/>
        <v>LIC167Unit Capital</v>
      </c>
      <c r="F560" s="150" t="s">
        <v>38</v>
      </c>
      <c r="G560" s="127" t="s">
        <v>453</v>
      </c>
      <c r="L560" s="212" t="s">
        <v>1747</v>
      </c>
      <c r="M560" s="212"/>
      <c r="N560" s="212" t="s">
        <v>1652</v>
      </c>
      <c r="Z560" s="213">
        <v>0</v>
      </c>
      <c r="AA560" s="213">
        <v>93223308.200000003</v>
      </c>
      <c r="AB560" s="152">
        <f t="shared" ref="AB560:AB595" si="59">+(Z560-AA560)/10000000</f>
        <v>-9.3223308199999995</v>
      </c>
      <c r="AC560" s="122" t="s">
        <v>1837</v>
      </c>
    </row>
    <row r="561" spans="1:29" ht="12.75" hidden="1" customHeight="1">
      <c r="A561" s="125" t="str">
        <f t="shared" si="56"/>
        <v>LIC167UNIT CAPITAL - DIRECT GROWTH</v>
      </c>
      <c r="B561" s="125">
        <f>+IFERROR(VLOOKUP(L561,'DB Mapping'!A:D,4,0),0)</f>
        <v>0</v>
      </c>
      <c r="C561" s="125" t="str">
        <f>+IFERROR(VLOOKUP(L561,'DB Mapping'!A:C,3,0),0)</f>
        <v>Unit Capital</v>
      </c>
      <c r="D561" s="125" t="str">
        <f t="shared" si="57"/>
        <v>LIC1670</v>
      </c>
      <c r="E561" s="125" t="str">
        <f t="shared" si="58"/>
        <v>LIC167Unit Capital</v>
      </c>
      <c r="F561" s="150" t="s">
        <v>38</v>
      </c>
      <c r="G561" s="127" t="s">
        <v>453</v>
      </c>
      <c r="L561" s="212" t="s">
        <v>1749</v>
      </c>
      <c r="M561" s="212"/>
      <c r="N561" s="212" t="s">
        <v>1654</v>
      </c>
      <c r="Z561" s="213">
        <v>0</v>
      </c>
      <c r="AA561" s="213">
        <v>122165089.43000001</v>
      </c>
      <c r="AB561" s="152">
        <f t="shared" si="59"/>
        <v>-12.216508943000001</v>
      </c>
      <c r="AC561" s="122" t="s">
        <v>1837</v>
      </c>
    </row>
    <row r="562" spans="1:29" ht="12.75" hidden="1" customHeight="1">
      <c r="A562" s="125" t="str">
        <f t="shared" si="56"/>
        <v>LIC167RESERVES &amp; SURPLUS</v>
      </c>
      <c r="B562" s="125">
        <f>+IFERROR(VLOOKUP(L562,'DB Mapping'!A:D,4,0),0)</f>
        <v>0</v>
      </c>
      <c r="C562" s="125">
        <f>+IFERROR(VLOOKUP(L562,'DB Mapping'!A:C,3,0),0)</f>
        <v>0</v>
      </c>
      <c r="D562" s="125" t="str">
        <f t="shared" si="57"/>
        <v>LIC1670</v>
      </c>
      <c r="E562" s="125" t="str">
        <f t="shared" si="58"/>
        <v>LIC1670</v>
      </c>
      <c r="F562" s="150" t="s">
        <v>38</v>
      </c>
      <c r="G562" s="127" t="s">
        <v>453</v>
      </c>
      <c r="L562" s="212" t="s">
        <v>1752</v>
      </c>
      <c r="M562" s="212"/>
      <c r="N562" s="212" t="s">
        <v>1656</v>
      </c>
      <c r="Z562" s="213">
        <v>0</v>
      </c>
      <c r="AA562" s="213">
        <v>45396314.939999998</v>
      </c>
      <c r="AB562" s="152">
        <f t="shared" si="59"/>
        <v>-4.539631494</v>
      </c>
      <c r="AC562" s="122" t="s">
        <v>1837</v>
      </c>
    </row>
    <row r="563" spans="1:29" ht="12.75" hidden="1" customHeight="1">
      <c r="A563" s="125" t="str">
        <f t="shared" si="56"/>
        <v>LIC167DIV DISTRIBUTION - REGULAR DIV</v>
      </c>
      <c r="B563" s="125">
        <f>+IFERROR(VLOOKUP(L563,'DB Mapping'!A:D,4,0),0)</f>
        <v>0</v>
      </c>
      <c r="C563" s="125">
        <f>+IFERROR(VLOOKUP(L563,'DB Mapping'!A:C,3,0),0)</f>
        <v>0</v>
      </c>
      <c r="D563" s="125" t="str">
        <f t="shared" si="57"/>
        <v>LIC1670</v>
      </c>
      <c r="E563" s="125" t="str">
        <f t="shared" si="58"/>
        <v>LIC1670</v>
      </c>
      <c r="F563" s="150" t="s">
        <v>38</v>
      </c>
      <c r="G563" s="127" t="s">
        <v>453</v>
      </c>
      <c r="L563" s="212" t="s">
        <v>1753</v>
      </c>
      <c r="M563" s="212"/>
      <c r="N563" s="212" t="s">
        <v>1657</v>
      </c>
      <c r="Z563" s="213">
        <v>18677.900000000001</v>
      </c>
      <c r="AA563" s="213">
        <v>0</v>
      </c>
      <c r="AB563" s="152">
        <f t="shared" si="59"/>
        <v>1.8677900000000002E-3</v>
      </c>
      <c r="AC563" s="122" t="s">
        <v>1837</v>
      </c>
    </row>
    <row r="564" spans="1:29" ht="12.75" hidden="1" customHeight="1">
      <c r="A564" s="125" t="str">
        <f t="shared" si="56"/>
        <v>LIC167DDT - REGULAR DIV</v>
      </c>
      <c r="B564" s="125">
        <f>+IFERROR(VLOOKUP(L564,'DB Mapping'!A:D,4,0),0)</f>
        <v>0</v>
      </c>
      <c r="C564" s="125">
        <f>+IFERROR(VLOOKUP(L564,'DB Mapping'!A:C,3,0),0)</f>
        <v>0</v>
      </c>
      <c r="D564" s="125" t="str">
        <f t="shared" si="57"/>
        <v>LIC1670</v>
      </c>
      <c r="E564" s="125" t="str">
        <f t="shared" si="58"/>
        <v>LIC1670</v>
      </c>
      <c r="F564" s="150" t="s">
        <v>38</v>
      </c>
      <c r="G564" s="127" t="s">
        <v>453</v>
      </c>
      <c r="L564" s="212" t="s">
        <v>1755</v>
      </c>
      <c r="M564" s="212"/>
      <c r="N564" s="212" t="s">
        <v>1659</v>
      </c>
      <c r="Z564" s="213">
        <v>7182</v>
      </c>
      <c r="AA564" s="213">
        <v>0</v>
      </c>
      <c r="AB564" s="152">
        <f t="shared" si="59"/>
        <v>7.182E-4</v>
      </c>
      <c r="AC564" s="122" t="s">
        <v>1837</v>
      </c>
    </row>
    <row r="565" spans="1:29" ht="12.75" hidden="1" customHeight="1">
      <c r="A565" s="125" t="str">
        <f t="shared" si="56"/>
        <v>LIC167UNREALISED GAIN/LOSS - DEBENTURES</v>
      </c>
      <c r="B565" s="125">
        <f>+IFERROR(VLOOKUP(L565,'DB Mapping'!A:D,4,0),0)</f>
        <v>0</v>
      </c>
      <c r="C565" s="125">
        <f>+IFERROR(VLOOKUP(L565,'DB Mapping'!A:C,3,0),0)</f>
        <v>0</v>
      </c>
      <c r="D565" s="125" t="str">
        <f t="shared" si="57"/>
        <v>LIC1670</v>
      </c>
      <c r="E565" s="125" t="str">
        <f t="shared" si="58"/>
        <v>LIC1670</v>
      </c>
      <c r="F565" s="150" t="s">
        <v>38</v>
      </c>
      <c r="G565" s="127" t="s">
        <v>453</v>
      </c>
      <c r="L565" s="212" t="s">
        <v>1820</v>
      </c>
      <c r="M565" s="212"/>
      <c r="N565" s="212" t="s">
        <v>1662</v>
      </c>
      <c r="Z565" s="213">
        <v>0</v>
      </c>
      <c r="AA565" s="213">
        <v>0</v>
      </c>
      <c r="AB565" s="152">
        <f t="shared" si="59"/>
        <v>0</v>
      </c>
      <c r="AC565" s="122" t="s">
        <v>1837</v>
      </c>
    </row>
    <row r="566" spans="1:29" ht="12.75" hidden="1" customHeight="1">
      <c r="A566" s="125" t="str">
        <f t="shared" si="56"/>
        <v>LIC167UNREALISED GAIN/LOSS - ZERO COUPON BOND</v>
      </c>
      <c r="B566" s="125">
        <f>+IFERROR(VLOOKUP(L566,'DB Mapping'!A:D,4,0),0)</f>
        <v>0</v>
      </c>
      <c r="C566" s="125">
        <f>+IFERROR(VLOOKUP(L566,'DB Mapping'!A:C,3,0),0)</f>
        <v>0</v>
      </c>
      <c r="D566" s="125" t="str">
        <f t="shared" si="57"/>
        <v>LIC1670</v>
      </c>
      <c r="E566" s="125" t="str">
        <f t="shared" si="58"/>
        <v>LIC1670</v>
      </c>
      <c r="F566" s="150" t="s">
        <v>38</v>
      </c>
      <c r="G566" s="127" t="s">
        <v>453</v>
      </c>
      <c r="L566" s="212" t="s">
        <v>1821</v>
      </c>
      <c r="M566" s="212"/>
      <c r="N566" s="212" t="s">
        <v>1700</v>
      </c>
      <c r="Z566" s="213">
        <v>0</v>
      </c>
      <c r="AA566" s="213">
        <v>0</v>
      </c>
      <c r="AB566" s="152">
        <f t="shared" si="59"/>
        <v>0</v>
      </c>
      <c r="AC566" s="122" t="s">
        <v>1837</v>
      </c>
    </row>
    <row r="567" spans="1:29" ht="12.75" hidden="1" customHeight="1">
      <c r="A567" s="125" t="str">
        <f t="shared" si="56"/>
        <v>LIC167INTEREST INCOME - DEBENTURES</v>
      </c>
      <c r="B567" s="125">
        <f>+IFERROR(VLOOKUP(L567,'DB Mapping'!A:D,4,0),0)</f>
        <v>0</v>
      </c>
      <c r="C567" s="125">
        <f>+IFERROR(VLOOKUP(L567,'DB Mapping'!A:C,3,0),0)</f>
        <v>5.2</v>
      </c>
      <c r="D567" s="125" t="str">
        <f t="shared" si="57"/>
        <v>LIC1670</v>
      </c>
      <c r="E567" s="125" t="str">
        <f t="shared" si="58"/>
        <v>LIC1675.2</v>
      </c>
      <c r="F567" s="150" t="s">
        <v>38</v>
      </c>
      <c r="G567" s="127" t="s">
        <v>453</v>
      </c>
      <c r="L567" s="212" t="s">
        <v>1822</v>
      </c>
      <c r="M567" s="212"/>
      <c r="N567" s="212" t="s">
        <v>1664</v>
      </c>
      <c r="Z567" s="213">
        <v>0</v>
      </c>
      <c r="AA567" s="213">
        <v>8870089.8599999994</v>
      </c>
      <c r="AB567" s="152">
        <f t="shared" si="59"/>
        <v>-0.88700898599999989</v>
      </c>
      <c r="AC567" s="122" t="s">
        <v>1837</v>
      </c>
    </row>
    <row r="568" spans="1:29" ht="12.75" hidden="1" customHeight="1">
      <c r="A568" s="125" t="str">
        <f t="shared" si="56"/>
        <v>LIC167GAIN ON REDEMPTION - DEBENTURES</v>
      </c>
      <c r="B568" s="125">
        <f>+IFERROR(VLOOKUP(L568,'DB Mapping'!A:D,4,0),0)</f>
        <v>0</v>
      </c>
      <c r="C568" s="125">
        <f>+IFERROR(VLOOKUP(L568,'DB Mapping'!A:C,3,0),0)</f>
        <v>5.3</v>
      </c>
      <c r="D568" s="125" t="str">
        <f t="shared" si="57"/>
        <v>LIC1670</v>
      </c>
      <c r="E568" s="125" t="str">
        <f t="shared" si="58"/>
        <v>LIC1675.3</v>
      </c>
      <c r="F568" s="150" t="s">
        <v>38</v>
      </c>
      <c r="G568" s="127" t="s">
        <v>453</v>
      </c>
      <c r="L568" s="212" t="s">
        <v>1836</v>
      </c>
      <c r="M568" s="212"/>
      <c r="N568" s="212" t="s">
        <v>1707</v>
      </c>
      <c r="Z568" s="213">
        <v>0</v>
      </c>
      <c r="AA568" s="213">
        <v>165450</v>
      </c>
      <c r="AB568" s="152">
        <f t="shared" si="59"/>
        <v>-1.6545000000000001E-2</v>
      </c>
      <c r="AC568" s="122" t="s">
        <v>1837</v>
      </c>
    </row>
    <row r="569" spans="1:29" ht="12.75" hidden="1" customHeight="1">
      <c r="A569" s="125" t="str">
        <f t="shared" si="56"/>
        <v>LIC167AMORTISATION INCOME - CBLO</v>
      </c>
      <c r="B569" s="125">
        <f>+IFERROR(VLOOKUP(L569,'DB Mapping'!A:D,4,0),0)</f>
        <v>0</v>
      </c>
      <c r="C569" s="125">
        <f>+IFERROR(VLOOKUP(L569,'DB Mapping'!A:C,3,0),0)</f>
        <v>5.2</v>
      </c>
      <c r="D569" s="125" t="str">
        <f t="shared" si="57"/>
        <v>LIC1670</v>
      </c>
      <c r="E569" s="125" t="str">
        <f t="shared" si="58"/>
        <v>LIC1675.2</v>
      </c>
      <c r="F569" s="150" t="s">
        <v>38</v>
      </c>
      <c r="G569" s="127" t="s">
        <v>453</v>
      </c>
      <c r="L569" s="212" t="s">
        <v>1757</v>
      </c>
      <c r="M569" s="212"/>
      <c r="N569" s="212" t="s">
        <v>1667</v>
      </c>
      <c r="Z569" s="213">
        <v>0</v>
      </c>
      <c r="AA569" s="213">
        <v>2804849.34</v>
      </c>
      <c r="AB569" s="152">
        <f t="shared" si="59"/>
        <v>-0.28048493399999996</v>
      </c>
      <c r="AC569" s="122" t="s">
        <v>1837</v>
      </c>
    </row>
    <row r="570" spans="1:29" ht="12.75" hidden="1" customHeight="1">
      <c r="A570" s="125" t="str">
        <f t="shared" si="56"/>
        <v>LIC167AMORTISATION INCOME - ZERO COUPON BOND</v>
      </c>
      <c r="B570" s="125">
        <f>+IFERROR(VLOOKUP(L570,'DB Mapping'!A:D,4,0),0)</f>
        <v>0</v>
      </c>
      <c r="C570" s="125">
        <f>+IFERROR(VLOOKUP(L570,'DB Mapping'!A:C,3,0),0)</f>
        <v>5.2</v>
      </c>
      <c r="D570" s="125" t="str">
        <f t="shared" si="57"/>
        <v>LIC1670</v>
      </c>
      <c r="E570" s="125" t="str">
        <f t="shared" si="58"/>
        <v>LIC1675.2</v>
      </c>
      <c r="F570" s="150" t="s">
        <v>38</v>
      </c>
      <c r="G570" s="127" t="s">
        <v>453</v>
      </c>
      <c r="L570" s="212" t="s">
        <v>1823</v>
      </c>
      <c r="M570" s="212"/>
      <c r="N570" s="212" t="s">
        <v>1701</v>
      </c>
      <c r="Z570" s="213">
        <v>0</v>
      </c>
      <c r="AA570" s="213">
        <v>2936171.54</v>
      </c>
      <c r="AB570" s="152">
        <f t="shared" si="59"/>
        <v>-0.29361715399999999</v>
      </c>
      <c r="AC570" s="122" t="s">
        <v>1837</v>
      </c>
    </row>
    <row r="571" spans="1:29" ht="12.75" hidden="1" customHeight="1">
      <c r="A571" s="125" t="str">
        <f t="shared" si="56"/>
        <v>LIC167MISCELLEANOUS INCOME</v>
      </c>
      <c r="B571" s="125">
        <f>+IFERROR(VLOOKUP(L571,'DB Mapping'!A:D,4,0),0)</f>
        <v>0</v>
      </c>
      <c r="C571" s="125">
        <f>+IFERROR(VLOOKUP(L571,'DB Mapping'!A:C,3,0),0)</f>
        <v>5.5</v>
      </c>
      <c r="D571" s="125" t="str">
        <f t="shared" si="57"/>
        <v>LIC1670</v>
      </c>
      <c r="E571" s="125" t="str">
        <f t="shared" si="58"/>
        <v>LIC1675.5</v>
      </c>
      <c r="F571" s="150" t="s">
        <v>38</v>
      </c>
      <c r="G571" s="127" t="s">
        <v>453</v>
      </c>
      <c r="L571" s="212" t="s">
        <v>1759</v>
      </c>
      <c r="M571" s="212"/>
      <c r="N571" s="212" t="s">
        <v>1668</v>
      </c>
      <c r="Z571" s="213">
        <v>0</v>
      </c>
      <c r="AA571" s="213">
        <v>1.3</v>
      </c>
      <c r="AB571" s="152">
        <f t="shared" si="59"/>
        <v>-1.3E-7</v>
      </c>
      <c r="AC571" s="122" t="s">
        <v>1837</v>
      </c>
    </row>
    <row r="572" spans="1:29" ht="12.75" hidden="1" customHeight="1">
      <c r="A572" s="125" t="str">
        <f t="shared" si="56"/>
        <v>LIC167LOSS ON SALE - DEBENTURES</v>
      </c>
      <c r="B572" s="125">
        <f>+IFERROR(VLOOKUP(L572,'DB Mapping'!A:D,4,0),0)</f>
        <v>0</v>
      </c>
      <c r="C572" s="125">
        <f>+IFERROR(VLOOKUP(L572,'DB Mapping'!A:C,3,0),0)</f>
        <v>5.3</v>
      </c>
      <c r="D572" s="125" t="str">
        <f t="shared" si="57"/>
        <v>LIC1670</v>
      </c>
      <c r="E572" s="125" t="str">
        <f t="shared" si="58"/>
        <v>LIC1675.3</v>
      </c>
      <c r="F572" s="150" t="s">
        <v>38</v>
      </c>
      <c r="G572" s="127" t="s">
        <v>453</v>
      </c>
      <c r="L572" s="212" t="s">
        <v>1824</v>
      </c>
      <c r="M572" s="212"/>
      <c r="N572" s="212" t="s">
        <v>1670</v>
      </c>
      <c r="Z572" s="213">
        <v>22940</v>
      </c>
      <c r="AA572" s="213">
        <v>0</v>
      </c>
      <c r="AB572" s="152">
        <f t="shared" si="59"/>
        <v>2.294E-3</v>
      </c>
      <c r="AC572" s="122" t="s">
        <v>1837</v>
      </c>
    </row>
    <row r="573" spans="1:29" ht="12.75" hidden="1" customHeight="1">
      <c r="A573" s="125" t="str">
        <f t="shared" si="56"/>
        <v>LIC167LOSS ON REDEMPTION - DEBENTURES</v>
      </c>
      <c r="B573" s="125">
        <f>+IFERROR(VLOOKUP(L573,'DB Mapping'!A:D,4,0),0)</f>
        <v>0</v>
      </c>
      <c r="C573" s="125">
        <f>+IFERROR(VLOOKUP(L573,'DB Mapping'!A:C,3,0),0)</f>
        <v>5.3</v>
      </c>
      <c r="D573" s="125" t="str">
        <f t="shared" si="57"/>
        <v>LIC1670</v>
      </c>
      <c r="E573" s="125" t="str">
        <f t="shared" si="58"/>
        <v>LIC1675.3</v>
      </c>
      <c r="F573" s="150" t="s">
        <v>38</v>
      </c>
      <c r="G573" s="127" t="s">
        <v>453</v>
      </c>
      <c r="L573" s="212" t="s">
        <v>1825</v>
      </c>
      <c r="M573" s="212"/>
      <c r="N573" s="212" t="s">
        <v>1671</v>
      </c>
      <c r="Z573" s="213">
        <v>825436</v>
      </c>
      <c r="AA573" s="213">
        <v>0</v>
      </c>
      <c r="AB573" s="152">
        <f t="shared" si="59"/>
        <v>8.2543599999999995E-2</v>
      </c>
      <c r="AC573" s="122" t="s">
        <v>1837</v>
      </c>
    </row>
    <row r="574" spans="1:29" ht="12.75" hidden="1" customHeight="1">
      <c r="A574" s="125" t="str">
        <f t="shared" si="56"/>
        <v>LIC167MANAGEMENT FEES</v>
      </c>
      <c r="B574" s="125">
        <f>+IFERROR(VLOOKUP(L574,'DB Mapping'!A:D,4,0),0)</f>
        <v>6.1</v>
      </c>
      <c r="C574" s="125">
        <f>+IFERROR(VLOOKUP(L574,'DB Mapping'!A:C,3,0),0)</f>
        <v>6.3</v>
      </c>
      <c r="D574" s="125" t="str">
        <f t="shared" si="57"/>
        <v>LIC1676.1</v>
      </c>
      <c r="E574" s="125" t="str">
        <f t="shared" si="58"/>
        <v>LIC1676.3</v>
      </c>
      <c r="F574" s="150" t="s">
        <v>38</v>
      </c>
      <c r="G574" s="127" t="s">
        <v>453</v>
      </c>
      <c r="L574" s="212" t="s">
        <v>1760</v>
      </c>
      <c r="M574" s="212"/>
      <c r="N574" s="212" t="s">
        <v>1702</v>
      </c>
      <c r="Z574" s="213">
        <v>235188.4</v>
      </c>
      <c r="AA574" s="213">
        <v>0</v>
      </c>
      <c r="AB574" s="152">
        <f t="shared" si="59"/>
        <v>2.3518839999999999E-2</v>
      </c>
      <c r="AC574" s="122" t="s">
        <v>1837</v>
      </c>
    </row>
    <row r="575" spans="1:29" ht="12.75" hidden="1" customHeight="1">
      <c r="A575" s="125" t="str">
        <f t="shared" si="56"/>
        <v>LIC167MANAGEMENT FEES - REGULAR DIV</v>
      </c>
      <c r="B575" s="125">
        <f>+IFERROR(VLOOKUP(L575,'DB Mapping'!A:D,4,0),0)</f>
        <v>6.1</v>
      </c>
      <c r="C575" s="125">
        <f>+IFERROR(VLOOKUP(L575,'DB Mapping'!A:C,3,0),0)</f>
        <v>6.3</v>
      </c>
      <c r="D575" s="125" t="str">
        <f t="shared" si="57"/>
        <v>LIC1676.1</v>
      </c>
      <c r="E575" s="125" t="str">
        <f t="shared" si="58"/>
        <v>LIC1676.3</v>
      </c>
      <c r="F575" s="150" t="s">
        <v>38</v>
      </c>
      <c r="G575" s="127" t="s">
        <v>453</v>
      </c>
      <c r="L575" s="212" t="s">
        <v>1805</v>
      </c>
      <c r="M575" s="212"/>
      <c r="N575" s="212" t="s">
        <v>1672</v>
      </c>
      <c r="Z575" s="213">
        <v>55.87</v>
      </c>
      <c r="AA575" s="213">
        <v>0</v>
      </c>
      <c r="AB575" s="152">
        <f t="shared" si="59"/>
        <v>5.587E-6</v>
      </c>
      <c r="AC575" s="122" t="s">
        <v>1837</v>
      </c>
    </row>
    <row r="576" spans="1:29" ht="12.75" hidden="1" customHeight="1">
      <c r="A576" s="125" t="str">
        <f t="shared" si="56"/>
        <v>LIC167MANAGEMENT FEES - REGULAR GROWTH</v>
      </c>
      <c r="B576" s="125">
        <f>+IFERROR(VLOOKUP(L576,'DB Mapping'!A:D,4,0),0)</f>
        <v>6.1</v>
      </c>
      <c r="C576" s="125">
        <f>+IFERROR(VLOOKUP(L576,'DB Mapping'!A:C,3,0),0)</f>
        <v>6.3</v>
      </c>
      <c r="D576" s="125" t="str">
        <f t="shared" si="57"/>
        <v>LIC1676.1</v>
      </c>
      <c r="E576" s="125" t="str">
        <f t="shared" si="58"/>
        <v>LIC1676.3</v>
      </c>
      <c r="F576" s="150" t="s">
        <v>38</v>
      </c>
      <c r="G576" s="127" t="s">
        <v>453</v>
      </c>
      <c r="L576" s="212" t="s">
        <v>1806</v>
      </c>
      <c r="M576" s="212"/>
      <c r="N576" s="212" t="s">
        <v>1673</v>
      </c>
      <c r="Z576" s="213">
        <v>51989.21</v>
      </c>
      <c r="AA576" s="213">
        <v>0</v>
      </c>
      <c r="AB576" s="152">
        <f t="shared" si="59"/>
        <v>5.1989209999999996E-3</v>
      </c>
      <c r="AC576" s="122" t="s">
        <v>1837</v>
      </c>
    </row>
    <row r="577" spans="1:29" ht="12.75" hidden="1" customHeight="1">
      <c r="A577" s="125" t="str">
        <f t="shared" si="56"/>
        <v>LIC167MANAGEMENT FEES - DIRECT GROWTH</v>
      </c>
      <c r="B577" s="125">
        <f>+IFERROR(VLOOKUP(L577,'DB Mapping'!A:D,4,0),0)</f>
        <v>6.1</v>
      </c>
      <c r="C577" s="125">
        <f>+IFERROR(VLOOKUP(L577,'DB Mapping'!A:C,3,0),0)</f>
        <v>6.3</v>
      </c>
      <c r="D577" s="125" t="str">
        <f t="shared" si="57"/>
        <v>LIC1676.1</v>
      </c>
      <c r="E577" s="125" t="str">
        <f t="shared" si="58"/>
        <v>LIC1676.3</v>
      </c>
      <c r="F577" s="150" t="s">
        <v>38</v>
      </c>
      <c r="G577" s="127" t="s">
        <v>453</v>
      </c>
      <c r="L577" s="212" t="s">
        <v>1808</v>
      </c>
      <c r="M577" s="212"/>
      <c r="N577" s="212" t="s">
        <v>1675</v>
      </c>
      <c r="Z577" s="213">
        <v>40895.72</v>
      </c>
      <c r="AA577" s="213">
        <v>0</v>
      </c>
      <c r="AB577" s="152">
        <f t="shared" si="59"/>
        <v>4.0895720000000005E-3</v>
      </c>
      <c r="AC577" s="122" t="s">
        <v>1837</v>
      </c>
    </row>
    <row r="578" spans="1:29" ht="12.75" hidden="1" customHeight="1">
      <c r="A578" s="125" t="str">
        <f t="shared" si="56"/>
        <v>LIC167OTHER FEES - REGULAR DIV</v>
      </c>
      <c r="B578" s="125">
        <f>+IFERROR(VLOOKUP(L578,'DB Mapping'!A:D,4,0),0)</f>
        <v>0</v>
      </c>
      <c r="C578" s="125">
        <f>+IFERROR(VLOOKUP(L578,'DB Mapping'!A:C,3,0),0)</f>
        <v>6.3</v>
      </c>
      <c r="D578" s="125" t="str">
        <f t="shared" si="57"/>
        <v>LIC1670</v>
      </c>
      <c r="E578" s="125" t="str">
        <f t="shared" si="58"/>
        <v>LIC1676.3</v>
      </c>
      <c r="F578" s="150" t="s">
        <v>38</v>
      </c>
      <c r="G578" s="127" t="s">
        <v>453</v>
      </c>
      <c r="L578" s="212" t="s">
        <v>1762</v>
      </c>
      <c r="M578" s="212"/>
      <c r="N578" s="212" t="s">
        <v>1676</v>
      </c>
      <c r="Z578" s="213">
        <v>74.209999999999994</v>
      </c>
      <c r="AA578" s="213">
        <v>0</v>
      </c>
      <c r="AB578" s="152">
        <f t="shared" si="59"/>
        <v>7.4209999999999998E-6</v>
      </c>
      <c r="AC578" s="122" t="s">
        <v>1837</v>
      </c>
    </row>
    <row r="579" spans="1:29" ht="12.75" hidden="1" customHeight="1">
      <c r="A579" s="125" t="str">
        <f t="shared" si="56"/>
        <v>LIC167OTHER FEES - REGULAR GROWTH</v>
      </c>
      <c r="B579" s="125">
        <f>+IFERROR(VLOOKUP(L579,'DB Mapping'!A:D,4,0),0)</f>
        <v>0</v>
      </c>
      <c r="C579" s="125">
        <f>+IFERROR(VLOOKUP(L579,'DB Mapping'!A:C,3,0),0)</f>
        <v>6.3</v>
      </c>
      <c r="D579" s="125" t="str">
        <f t="shared" si="57"/>
        <v>LIC1670</v>
      </c>
      <c r="E579" s="125" t="str">
        <f t="shared" si="58"/>
        <v>LIC1676.3</v>
      </c>
      <c r="F579" s="150" t="s">
        <v>38</v>
      </c>
      <c r="G579" s="127" t="s">
        <v>453</v>
      </c>
      <c r="L579" s="212" t="s">
        <v>1763</v>
      </c>
      <c r="M579" s="212"/>
      <c r="N579" s="212" t="s">
        <v>1677</v>
      </c>
      <c r="Z579" s="213">
        <v>69485.820000000007</v>
      </c>
      <c r="AA579" s="213">
        <v>0</v>
      </c>
      <c r="AB579" s="152">
        <f t="shared" si="59"/>
        <v>6.9485820000000009E-3</v>
      </c>
      <c r="AC579" s="122" t="s">
        <v>1837</v>
      </c>
    </row>
    <row r="580" spans="1:29" ht="12.75" hidden="1" customHeight="1">
      <c r="A580" s="125" t="str">
        <f t="shared" si="56"/>
        <v>LIC167OTHER FEES - DIRECT GROWTH</v>
      </c>
      <c r="B580" s="125">
        <f>+IFERROR(VLOOKUP(L580,'DB Mapping'!A:D,4,0),0)</f>
        <v>0</v>
      </c>
      <c r="C580" s="125">
        <f>+IFERROR(VLOOKUP(L580,'DB Mapping'!A:C,3,0),0)</f>
        <v>6.3</v>
      </c>
      <c r="D580" s="125" t="str">
        <f t="shared" si="57"/>
        <v>LIC1670</v>
      </c>
      <c r="E580" s="125" t="str">
        <f t="shared" si="58"/>
        <v>LIC1676.3</v>
      </c>
      <c r="F580" s="150" t="s">
        <v>38</v>
      </c>
      <c r="G580" s="127" t="s">
        <v>453</v>
      </c>
      <c r="L580" s="212" t="s">
        <v>1765</v>
      </c>
      <c r="M580" s="212"/>
      <c r="N580" s="212" t="s">
        <v>1679</v>
      </c>
      <c r="Z580" s="213">
        <v>92570.26</v>
      </c>
      <c r="AA580" s="213">
        <v>0</v>
      </c>
      <c r="AB580" s="152">
        <f t="shared" si="59"/>
        <v>9.2570259999999998E-3</v>
      </c>
      <c r="AC580" s="122" t="s">
        <v>1837</v>
      </c>
    </row>
    <row r="581" spans="1:29" ht="12.75" hidden="1" customHeight="1">
      <c r="A581" s="125" t="str">
        <f t="shared" si="56"/>
        <v>LIC167OTHER FEES (SELLING &amp; DISTRIBUTION)</v>
      </c>
      <c r="B581" s="125">
        <f>+IFERROR(VLOOKUP(L581,'DB Mapping'!A:D,4,0),0)</f>
        <v>0</v>
      </c>
      <c r="C581" s="125">
        <f>+IFERROR(VLOOKUP(L581,'DB Mapping'!A:C,3,0),0)</f>
        <v>6.3</v>
      </c>
      <c r="D581" s="125" t="str">
        <f t="shared" si="57"/>
        <v>LIC1670</v>
      </c>
      <c r="E581" s="125" t="str">
        <f t="shared" si="58"/>
        <v>LIC1676.3</v>
      </c>
      <c r="F581" s="150" t="s">
        <v>38</v>
      </c>
      <c r="G581" s="127" t="s">
        <v>453</v>
      </c>
      <c r="L581" s="212" t="s">
        <v>1766</v>
      </c>
      <c r="M581" s="212"/>
      <c r="N581" s="212" t="s">
        <v>1680</v>
      </c>
      <c r="Z581" s="213">
        <v>192677.8</v>
      </c>
      <c r="AA581" s="213">
        <v>0</v>
      </c>
      <c r="AB581" s="152">
        <f t="shared" si="59"/>
        <v>1.9267779999999998E-2</v>
      </c>
      <c r="AC581" s="122" t="s">
        <v>1837</v>
      </c>
    </row>
    <row r="582" spans="1:29" ht="12.75" hidden="1" customHeight="1">
      <c r="A582" s="125" t="str">
        <f t="shared" si="56"/>
        <v>LIC167SERVICE TAX - MANAGEMENT FEES</v>
      </c>
      <c r="B582" s="125">
        <f>+IFERROR(VLOOKUP(L582,'DB Mapping'!A:D,4,0),0)</f>
        <v>6.1</v>
      </c>
      <c r="C582" s="125">
        <f>+IFERROR(VLOOKUP(L582,'DB Mapping'!A:C,3,0),0)</f>
        <v>6.3</v>
      </c>
      <c r="D582" s="125" t="str">
        <f t="shared" si="57"/>
        <v>LIC1676.1</v>
      </c>
      <c r="E582" s="125" t="str">
        <f t="shared" si="58"/>
        <v>LIC1676.3</v>
      </c>
      <c r="F582" s="150" t="s">
        <v>38</v>
      </c>
      <c r="G582" s="127" t="s">
        <v>453</v>
      </c>
      <c r="L582" s="212" t="s">
        <v>1809</v>
      </c>
      <c r="M582" s="212"/>
      <c r="N582" s="212" t="s">
        <v>1681</v>
      </c>
      <c r="Z582" s="213">
        <v>6062.39</v>
      </c>
      <c r="AA582" s="213">
        <v>0</v>
      </c>
      <c r="AB582" s="152">
        <f t="shared" si="59"/>
        <v>6.0623900000000006E-4</v>
      </c>
      <c r="AC582" s="122" t="s">
        <v>1837</v>
      </c>
    </row>
    <row r="583" spans="1:29" ht="12.75" hidden="1" customHeight="1">
      <c r="A583" s="125" t="str">
        <f t="shared" si="56"/>
        <v>LIC167CGST EXPENSE</v>
      </c>
      <c r="B583" s="125">
        <f>+IFERROR(VLOOKUP(L583,'DB Mapping'!A:D,4,0),0)</f>
        <v>6.1</v>
      </c>
      <c r="C583" s="125">
        <f>+IFERROR(VLOOKUP(L583,'DB Mapping'!A:C,3,0),0)</f>
        <v>6.3</v>
      </c>
      <c r="D583" s="125" t="str">
        <f t="shared" si="57"/>
        <v>LIC1676.1</v>
      </c>
      <c r="E583" s="125" t="str">
        <f t="shared" si="58"/>
        <v>LIC1676.3</v>
      </c>
      <c r="F583" s="150" t="s">
        <v>38</v>
      </c>
      <c r="G583" s="127" t="s">
        <v>453</v>
      </c>
      <c r="L583" s="212" t="s">
        <v>1767</v>
      </c>
      <c r="M583" s="212"/>
      <c r="N583" s="212" t="s">
        <v>1682</v>
      </c>
      <c r="Z583" s="213">
        <v>25894.22</v>
      </c>
      <c r="AA583" s="213">
        <v>0</v>
      </c>
      <c r="AB583" s="152">
        <f t="shared" si="59"/>
        <v>2.5894220000000001E-3</v>
      </c>
      <c r="AC583" s="122" t="s">
        <v>1837</v>
      </c>
    </row>
    <row r="584" spans="1:29" ht="12.75" hidden="1" customHeight="1">
      <c r="A584" s="125" t="str">
        <f t="shared" si="56"/>
        <v>LIC167SGST EXPENSE</v>
      </c>
      <c r="B584" s="125">
        <f>+IFERROR(VLOOKUP(L584,'DB Mapping'!A:D,4,0),0)</f>
        <v>6.1</v>
      </c>
      <c r="C584" s="125">
        <f>+IFERROR(VLOOKUP(L584,'DB Mapping'!A:C,3,0),0)</f>
        <v>6.3</v>
      </c>
      <c r="D584" s="125" t="str">
        <f t="shared" si="57"/>
        <v>LIC1676.1</v>
      </c>
      <c r="E584" s="125" t="str">
        <f t="shared" si="58"/>
        <v>LIC1676.3</v>
      </c>
      <c r="F584" s="150" t="s">
        <v>38</v>
      </c>
      <c r="G584" s="127" t="s">
        <v>453</v>
      </c>
      <c r="L584" s="212" t="s">
        <v>1768</v>
      </c>
      <c r="M584" s="212"/>
      <c r="N584" s="212" t="s">
        <v>1683</v>
      </c>
      <c r="Z584" s="213">
        <v>25894.22</v>
      </c>
      <c r="AA584" s="213">
        <v>0</v>
      </c>
      <c r="AB584" s="152">
        <f t="shared" si="59"/>
        <v>2.5894220000000001E-3</v>
      </c>
      <c r="AC584" s="122" t="s">
        <v>1837</v>
      </c>
    </row>
    <row r="585" spans="1:29" ht="12.75" hidden="1" customHeight="1">
      <c r="A585" s="125" t="str">
        <f t="shared" si="56"/>
        <v>LIC167EXPENSE ALLOCATION ACCOUNT</v>
      </c>
      <c r="B585" s="125">
        <f>+IFERROR(VLOOKUP(L585,'DB Mapping'!A:D,4,0),0)</f>
        <v>0</v>
      </c>
      <c r="C585" s="125">
        <f>+IFERROR(VLOOKUP(L585,'DB Mapping'!A:C,3,0),0)</f>
        <v>6.3</v>
      </c>
      <c r="D585" s="125" t="str">
        <f t="shared" si="57"/>
        <v>LIC1670</v>
      </c>
      <c r="E585" s="125" t="str">
        <f t="shared" si="58"/>
        <v>LIC1676.3</v>
      </c>
      <c r="F585" s="150" t="s">
        <v>38</v>
      </c>
      <c r="G585" s="127" t="s">
        <v>453</v>
      </c>
      <c r="L585" s="212" t="s">
        <v>1769</v>
      </c>
      <c r="M585" s="212"/>
      <c r="N585" s="212" t="s">
        <v>1684</v>
      </c>
      <c r="Z585" s="213">
        <v>0</v>
      </c>
      <c r="AA585" s="213">
        <v>72566.59</v>
      </c>
      <c r="AB585" s="152">
        <f t="shared" si="59"/>
        <v>-7.2566589999999995E-3</v>
      </c>
      <c r="AC585" s="122" t="s">
        <v>1837</v>
      </c>
    </row>
    <row r="586" spans="1:29" ht="12.75" hidden="1" customHeight="1">
      <c r="A586" s="125" t="str">
        <f t="shared" si="56"/>
        <v>LIC167R&amp;T - OTHER CHARGES</v>
      </c>
      <c r="B586" s="125">
        <f>+IFERROR(VLOOKUP(L586,'DB Mapping'!A:D,4,0),0)</f>
        <v>0</v>
      </c>
      <c r="C586" s="125">
        <f>+IFERROR(VLOOKUP(L586,'DB Mapping'!A:C,3,0),0)</f>
        <v>6.3</v>
      </c>
      <c r="D586" s="125" t="str">
        <f t="shared" si="57"/>
        <v>LIC1670</v>
      </c>
      <c r="E586" s="125" t="str">
        <f t="shared" si="58"/>
        <v>LIC1676.3</v>
      </c>
      <c r="F586" s="150" t="s">
        <v>38</v>
      </c>
      <c r="G586" s="127" t="s">
        <v>453</v>
      </c>
      <c r="L586" s="212" t="s">
        <v>1770</v>
      </c>
      <c r="M586" s="212"/>
      <c r="N586" s="212" t="s">
        <v>1685</v>
      </c>
      <c r="Z586" s="213">
        <v>806.47</v>
      </c>
      <c r="AA586" s="213">
        <v>0</v>
      </c>
      <c r="AB586" s="152">
        <f t="shared" si="59"/>
        <v>8.0647000000000002E-5</v>
      </c>
      <c r="AC586" s="122" t="s">
        <v>1837</v>
      </c>
    </row>
    <row r="587" spans="1:29" ht="12.75" hidden="1" customHeight="1">
      <c r="A587" s="125" t="str">
        <f t="shared" ref="A587:A595" si="60">+F587&amp;N587</f>
        <v>LIC167AUDIT FEES</v>
      </c>
      <c r="B587" s="125">
        <f>+IFERROR(VLOOKUP(L587,'DB Mapping'!A:D,4,0),0)</f>
        <v>0</v>
      </c>
      <c r="C587" s="125">
        <f>+IFERROR(VLOOKUP(L587,'DB Mapping'!A:C,3,0),0)</f>
        <v>6.3</v>
      </c>
      <c r="D587" s="125" t="str">
        <f t="shared" ref="D587:D595" si="61">+F587&amp;B587</f>
        <v>LIC1670</v>
      </c>
      <c r="E587" s="125" t="str">
        <f t="shared" ref="E587:E595" si="62">+F587&amp;C587</f>
        <v>LIC1676.3</v>
      </c>
      <c r="F587" s="150" t="s">
        <v>38</v>
      </c>
      <c r="G587" s="127" t="s">
        <v>453</v>
      </c>
      <c r="L587" s="212" t="s">
        <v>1771</v>
      </c>
      <c r="M587" s="212"/>
      <c r="N587" s="212" t="s">
        <v>1686</v>
      </c>
      <c r="Z587" s="213">
        <v>531.48</v>
      </c>
      <c r="AA587" s="213">
        <v>0</v>
      </c>
      <c r="AB587" s="152">
        <f t="shared" si="59"/>
        <v>5.3148E-5</v>
      </c>
      <c r="AC587" s="122" t="s">
        <v>1837</v>
      </c>
    </row>
    <row r="588" spans="1:29" ht="12.75" hidden="1" customHeight="1">
      <c r="A588" s="125" t="str">
        <f t="shared" si="60"/>
        <v>LIC167CUSTODIAN FEE</v>
      </c>
      <c r="B588" s="125">
        <f>+IFERROR(VLOOKUP(L588,'DB Mapping'!A:D,4,0),0)</f>
        <v>0</v>
      </c>
      <c r="C588" s="125">
        <f>+IFERROR(VLOOKUP(L588,'DB Mapping'!A:C,3,0),0)</f>
        <v>6.3</v>
      </c>
      <c r="D588" s="125" t="str">
        <f t="shared" si="61"/>
        <v>LIC1670</v>
      </c>
      <c r="E588" s="125" t="str">
        <f t="shared" si="62"/>
        <v>LIC1676.3</v>
      </c>
      <c r="F588" s="150" t="s">
        <v>38</v>
      </c>
      <c r="G588" s="127" t="s">
        <v>453</v>
      </c>
      <c r="L588" s="212" t="s">
        <v>1772</v>
      </c>
      <c r="M588" s="212"/>
      <c r="N588" s="212" t="s">
        <v>1687</v>
      </c>
      <c r="Z588" s="213">
        <v>6283.46</v>
      </c>
      <c r="AA588" s="213">
        <v>0</v>
      </c>
      <c r="AB588" s="152">
        <f t="shared" si="59"/>
        <v>6.28346E-4</v>
      </c>
      <c r="AC588" s="122" t="s">
        <v>1837</v>
      </c>
    </row>
    <row r="589" spans="1:29" ht="12.75" hidden="1" customHeight="1">
      <c r="A589" s="125" t="str">
        <f t="shared" si="60"/>
        <v>LIC167TRUSTEE FEES</v>
      </c>
      <c r="B589" s="125">
        <f>+IFERROR(VLOOKUP(L589,'DB Mapping'!A:D,4,0),0)</f>
        <v>6.2</v>
      </c>
      <c r="C589" s="125">
        <f>+IFERROR(VLOOKUP(L589,'DB Mapping'!A:C,3,0),0)</f>
        <v>6.3</v>
      </c>
      <c r="D589" s="125" t="str">
        <f t="shared" si="61"/>
        <v>LIC1676.2</v>
      </c>
      <c r="E589" s="125" t="str">
        <f t="shared" si="62"/>
        <v>LIC1676.3</v>
      </c>
      <c r="F589" s="150" t="s">
        <v>38</v>
      </c>
      <c r="G589" s="127" t="s">
        <v>453</v>
      </c>
      <c r="L589" s="212" t="s">
        <v>1773</v>
      </c>
      <c r="M589" s="212"/>
      <c r="N589" s="212" t="s">
        <v>1688</v>
      </c>
      <c r="Z589" s="213">
        <v>1830.16</v>
      </c>
      <c r="AA589" s="213">
        <v>0</v>
      </c>
      <c r="AB589" s="152">
        <f t="shared" si="59"/>
        <v>1.8301600000000001E-4</v>
      </c>
      <c r="AC589" s="122" t="s">
        <v>1837</v>
      </c>
    </row>
    <row r="590" spans="1:29" ht="12.75" hidden="1" customHeight="1">
      <c r="A590" s="125" t="str">
        <f t="shared" si="60"/>
        <v>LIC167OTHER OPERATING EXPENSES</v>
      </c>
      <c r="B590" s="125">
        <f>+IFERROR(VLOOKUP(L590,'DB Mapping'!A:D,4,0),0)</f>
        <v>0</v>
      </c>
      <c r="C590" s="125">
        <f>+IFERROR(VLOOKUP(L590,'DB Mapping'!A:C,3,0),0)</f>
        <v>6.3</v>
      </c>
      <c r="D590" s="125" t="str">
        <f t="shared" si="61"/>
        <v>LIC1670</v>
      </c>
      <c r="E590" s="125" t="str">
        <f t="shared" si="62"/>
        <v>LIC1676.3</v>
      </c>
      <c r="F590" s="150" t="s">
        <v>38</v>
      </c>
      <c r="G590" s="127" t="s">
        <v>453</v>
      </c>
      <c r="L590" s="212" t="s">
        <v>1774</v>
      </c>
      <c r="M590" s="212"/>
      <c r="N590" s="212" t="s">
        <v>1689</v>
      </c>
      <c r="Z590" s="213">
        <v>59.69</v>
      </c>
      <c r="AA590" s="213">
        <v>0</v>
      </c>
      <c r="AB590" s="152">
        <f t="shared" si="59"/>
        <v>5.9689999999999999E-6</v>
      </c>
      <c r="AC590" s="122" t="s">
        <v>1837</v>
      </c>
    </row>
    <row r="591" spans="1:29" ht="12.75" hidden="1" customHeight="1">
      <c r="A591" s="125" t="str">
        <f t="shared" si="60"/>
        <v>LIC167SEBI ANNUAL FEES EXPENSE</v>
      </c>
      <c r="B591" s="125">
        <f>+IFERROR(VLOOKUP(L591,'DB Mapping'!A:D,4,0),0)</f>
        <v>0</v>
      </c>
      <c r="C591" s="125">
        <f>+IFERROR(VLOOKUP(L591,'DB Mapping'!A:C,3,0),0)</f>
        <v>6.3</v>
      </c>
      <c r="D591" s="125" t="str">
        <f t="shared" si="61"/>
        <v>LIC1670</v>
      </c>
      <c r="E591" s="125" t="str">
        <f t="shared" si="62"/>
        <v>LIC1676.3</v>
      </c>
      <c r="F591" s="150" t="s">
        <v>38</v>
      </c>
      <c r="G591" s="127" t="s">
        <v>453</v>
      </c>
      <c r="L591" s="212" t="s">
        <v>1775</v>
      </c>
      <c r="M591" s="212"/>
      <c r="N591" s="212" t="s">
        <v>1690</v>
      </c>
      <c r="Z591" s="213">
        <v>3263.27</v>
      </c>
      <c r="AA591" s="213">
        <v>0</v>
      </c>
      <c r="AB591" s="152">
        <f t="shared" si="59"/>
        <v>3.2632700000000001E-4</v>
      </c>
      <c r="AC591" s="122" t="s">
        <v>1837</v>
      </c>
    </row>
    <row r="592" spans="1:29" ht="12.75" hidden="1" customHeight="1">
      <c r="A592" s="125" t="str">
        <f t="shared" si="60"/>
        <v>LIC167CCIL CHARGES</v>
      </c>
      <c r="B592" s="125">
        <f>+IFERROR(VLOOKUP(L592,'DB Mapping'!A:D,4,0),0)</f>
        <v>0</v>
      </c>
      <c r="C592" s="125">
        <f>+IFERROR(VLOOKUP(L592,'DB Mapping'!A:C,3,0),0)</f>
        <v>6.3</v>
      </c>
      <c r="D592" s="125" t="str">
        <f t="shared" si="61"/>
        <v>LIC1670</v>
      </c>
      <c r="E592" s="125" t="str">
        <f t="shared" si="62"/>
        <v>LIC1676.3</v>
      </c>
      <c r="F592" s="150" t="s">
        <v>38</v>
      </c>
      <c r="G592" s="127" t="s">
        <v>453</v>
      </c>
      <c r="L592" s="212" t="s">
        <v>1777</v>
      </c>
      <c r="M592" s="212"/>
      <c r="N592" s="212" t="s">
        <v>1691</v>
      </c>
      <c r="Z592" s="213">
        <v>15006.5</v>
      </c>
      <c r="AA592" s="213">
        <v>0</v>
      </c>
      <c r="AB592" s="152">
        <f t="shared" si="59"/>
        <v>1.5006500000000001E-3</v>
      </c>
      <c r="AC592" s="122" t="s">
        <v>1837</v>
      </c>
    </row>
    <row r="593" spans="1:29" ht="12.75" hidden="1" customHeight="1">
      <c r="A593" s="125" t="str">
        <f t="shared" si="60"/>
        <v>LIC167INTERNAL AUDIT FEES</v>
      </c>
      <c r="B593" s="125">
        <f>+IFERROR(VLOOKUP(L593,'DB Mapping'!A:D,4,0),0)</f>
        <v>0</v>
      </c>
      <c r="C593" s="125">
        <f>+IFERROR(VLOOKUP(L593,'DB Mapping'!A:C,3,0),0)</f>
        <v>6.3</v>
      </c>
      <c r="D593" s="125" t="str">
        <f t="shared" si="61"/>
        <v>LIC1670</v>
      </c>
      <c r="E593" s="125" t="str">
        <f t="shared" si="62"/>
        <v>LIC1676.3</v>
      </c>
      <c r="F593" s="150" t="s">
        <v>38</v>
      </c>
      <c r="G593" s="127" t="s">
        <v>453</v>
      </c>
      <c r="L593" s="212" t="s">
        <v>1778</v>
      </c>
      <c r="M593" s="212"/>
      <c r="N593" s="212" t="s">
        <v>1692</v>
      </c>
      <c r="Z593" s="213">
        <v>6997.98</v>
      </c>
      <c r="AA593" s="213">
        <v>0</v>
      </c>
      <c r="AB593" s="152">
        <f t="shared" si="59"/>
        <v>6.9979799999999996E-4</v>
      </c>
      <c r="AC593" s="122" t="s">
        <v>1837</v>
      </c>
    </row>
    <row r="594" spans="1:29" ht="12.75" hidden="1" customHeight="1">
      <c r="A594" s="125" t="str">
        <f t="shared" si="60"/>
        <v>LIC167INVESTOR EDUCATION FUND EXPENSE</v>
      </c>
      <c r="B594" s="125">
        <f>+IFERROR(VLOOKUP(L594,'DB Mapping'!A:D,4,0),0)</f>
        <v>0</v>
      </c>
      <c r="C594" s="125">
        <f>+IFERROR(VLOOKUP(L594,'DB Mapping'!A:C,3,0),0)</f>
        <v>6.3</v>
      </c>
      <c r="D594" s="125" t="str">
        <f t="shared" si="61"/>
        <v>LIC1670</v>
      </c>
      <c r="E594" s="125" t="str">
        <f t="shared" si="62"/>
        <v>LIC1676.3</v>
      </c>
      <c r="F594" s="150" t="s">
        <v>38</v>
      </c>
      <c r="G594" s="127" t="s">
        <v>453</v>
      </c>
      <c r="L594" s="212" t="s">
        <v>1780</v>
      </c>
      <c r="M594" s="212"/>
      <c r="N594" s="212" t="s">
        <v>1694</v>
      </c>
      <c r="Z594" s="213">
        <v>18893.79</v>
      </c>
      <c r="AA594" s="213">
        <v>0</v>
      </c>
      <c r="AB594" s="152">
        <f t="shared" si="59"/>
        <v>1.8893790000000001E-3</v>
      </c>
      <c r="AC594" s="122" t="s">
        <v>1837</v>
      </c>
    </row>
    <row r="595" spans="1:29" ht="12.75" hidden="1" customHeight="1">
      <c r="A595" s="125" t="str">
        <f t="shared" si="60"/>
        <v>LIC167INVESTOR EDUCATION FUND EXPENSE - AMFI</v>
      </c>
      <c r="B595" s="125">
        <f>+IFERROR(VLOOKUP(L595,'DB Mapping'!A:D,4,0),0)</f>
        <v>0</v>
      </c>
      <c r="C595" s="125">
        <f>+IFERROR(VLOOKUP(L595,'DB Mapping'!A:C,3,0),0)</f>
        <v>6.3</v>
      </c>
      <c r="D595" s="125" t="str">
        <f t="shared" si="61"/>
        <v>LIC1670</v>
      </c>
      <c r="E595" s="125" t="str">
        <f t="shared" si="62"/>
        <v>LIC1676.3</v>
      </c>
      <c r="F595" s="150" t="s">
        <v>38</v>
      </c>
      <c r="G595" s="127" t="s">
        <v>453</v>
      </c>
      <c r="L595" s="212" t="s">
        <v>1781</v>
      </c>
      <c r="M595" s="212"/>
      <c r="N595" s="212" t="s">
        <v>1695</v>
      </c>
      <c r="Z595" s="213">
        <v>18893.79</v>
      </c>
      <c r="AA595" s="213">
        <v>0</v>
      </c>
      <c r="AB595" s="152">
        <f t="shared" si="59"/>
        <v>1.8893790000000001E-3</v>
      </c>
      <c r="AC595" s="122" t="s">
        <v>1837</v>
      </c>
    </row>
    <row r="596" spans="1:29" ht="12.75" hidden="1" customHeight="1">
      <c r="F596" s="150"/>
      <c r="L596" s="155"/>
      <c r="N596" s="215"/>
      <c r="Z596" s="216"/>
      <c r="AA596" s="216"/>
      <c r="AB596" s="152"/>
      <c r="AC596" s="122" t="s">
        <v>1837</v>
      </c>
    </row>
    <row r="597" spans="1:29" ht="12.75" hidden="1" customHeight="1">
      <c r="AC597" s="122" t="s">
        <v>1837</v>
      </c>
    </row>
    <row r="598" spans="1:29" ht="12.75" hidden="1" customHeight="1">
      <c r="AC598" s="122" t="s">
        <v>1837</v>
      </c>
    </row>
    <row r="599" spans="1:29" ht="12.75" hidden="1" customHeight="1">
      <c r="A599" s="125" t="str">
        <f t="shared" ref="A599" si="63">+F599&amp;N599</f>
        <v>LIC162INVESTMENTS - CBLO</v>
      </c>
      <c r="B599" s="125">
        <f>+IFERROR(VLOOKUP(L599,'DB Mapping'!A:D,4,0),0)</f>
        <v>0</v>
      </c>
      <c r="C599" s="125">
        <f>+IFERROR(VLOOKUP(L599,'DB Mapping'!A:C,3,0),0)</f>
        <v>0</v>
      </c>
      <c r="D599" s="125" t="str">
        <f t="shared" ref="D599" si="64">+F599&amp;B599</f>
        <v>LIC1620</v>
      </c>
      <c r="E599" s="125" t="str">
        <f t="shared" ref="E599" si="65">+F599&amp;C599</f>
        <v>LIC1620</v>
      </c>
      <c r="F599" s="157" t="s">
        <v>34</v>
      </c>
      <c r="H599" s="122"/>
      <c r="I599" s="150" t="s">
        <v>287</v>
      </c>
      <c r="L599" s="212" t="s">
        <v>1711</v>
      </c>
      <c r="M599" s="212"/>
      <c r="N599" s="212" t="s">
        <v>1606</v>
      </c>
      <c r="Z599" s="213">
        <v>397543809.23000002</v>
      </c>
      <c r="AA599" s="213">
        <v>0</v>
      </c>
      <c r="AB599" s="152">
        <f>+(Z599-AA599)/10000000</f>
        <v>39.754380922999999</v>
      </c>
      <c r="AC599" s="122" t="s">
        <v>1837</v>
      </c>
    </row>
    <row r="600" spans="1:29" ht="12.75" hidden="1" customHeight="1">
      <c r="A600" s="125" t="str">
        <f t="shared" ref="A600:A663" si="66">+F600&amp;N600</f>
        <v>LIC162INVESTMENTS - EQUITIES</v>
      </c>
      <c r="B600" s="125">
        <f>+IFERROR(VLOOKUP(L600,'DB Mapping'!A:D,4,0),0)</f>
        <v>0</v>
      </c>
      <c r="C600" s="125">
        <f>+IFERROR(VLOOKUP(L600,'DB Mapping'!A:C,3,0),0)</f>
        <v>0</v>
      </c>
      <c r="D600" s="125" t="str">
        <f t="shared" ref="D600:D663" si="67">+F600&amp;B600</f>
        <v>LIC1620</v>
      </c>
      <c r="E600" s="125" t="str">
        <f t="shared" ref="E600:E663" si="68">+F600&amp;C600</f>
        <v>LIC1620</v>
      </c>
      <c r="F600" s="157" t="s">
        <v>34</v>
      </c>
      <c r="H600" s="122"/>
      <c r="I600" s="150" t="s">
        <v>287</v>
      </c>
      <c r="L600" s="212" t="s">
        <v>1826</v>
      </c>
      <c r="M600" s="212"/>
      <c r="N600" s="212" t="s">
        <v>1607</v>
      </c>
      <c r="Z600" s="213">
        <v>0</v>
      </c>
      <c r="AA600" s="213">
        <v>0</v>
      </c>
      <c r="AB600" s="152">
        <f t="shared" ref="AB600:AB663" si="69">+(Z600-AA600)/10000000</f>
        <v>0</v>
      </c>
      <c r="AC600" s="122" t="s">
        <v>1837</v>
      </c>
    </row>
    <row r="601" spans="1:29" ht="12.75" hidden="1" customHeight="1">
      <c r="A601" s="125" t="str">
        <f t="shared" si="66"/>
        <v>LIC162INVESTMENTS - DEBENTURES</v>
      </c>
      <c r="B601" s="125">
        <f>+IFERROR(VLOOKUP(L601,'DB Mapping'!A:D,4,0),0)</f>
        <v>0</v>
      </c>
      <c r="C601" s="125">
        <f>+IFERROR(VLOOKUP(L601,'DB Mapping'!A:C,3,0),0)</f>
        <v>0</v>
      </c>
      <c r="D601" s="125" t="str">
        <f t="shared" si="67"/>
        <v>LIC1620</v>
      </c>
      <c r="E601" s="125" t="str">
        <f t="shared" si="68"/>
        <v>LIC1620</v>
      </c>
      <c r="F601" s="157" t="s">
        <v>34</v>
      </c>
      <c r="H601" s="122"/>
      <c r="I601" s="150" t="s">
        <v>287</v>
      </c>
      <c r="L601" s="212" t="s">
        <v>1810</v>
      </c>
      <c r="M601" s="212"/>
      <c r="N601" s="212" t="s">
        <v>1608</v>
      </c>
      <c r="Z601" s="213">
        <v>0</v>
      </c>
      <c r="AA601" s="213">
        <v>0</v>
      </c>
      <c r="AB601" s="152">
        <f t="shared" si="69"/>
        <v>0</v>
      </c>
      <c r="AC601" s="122" t="s">
        <v>1837</v>
      </c>
    </row>
    <row r="602" spans="1:29" ht="12.75" hidden="1" customHeight="1">
      <c r="A602" s="125" t="str">
        <f t="shared" si="66"/>
        <v>LIC162UNREALISED APP/DEP - EQUITIES</v>
      </c>
      <c r="B602" s="125">
        <f>+IFERROR(VLOOKUP(L602,'DB Mapping'!A:D,4,0),0)</f>
        <v>0</v>
      </c>
      <c r="C602" s="125">
        <f>+IFERROR(VLOOKUP(L602,'DB Mapping'!A:C,3,0),0)</f>
        <v>0</v>
      </c>
      <c r="D602" s="125" t="str">
        <f t="shared" si="67"/>
        <v>LIC1620</v>
      </c>
      <c r="E602" s="125" t="str">
        <f t="shared" si="68"/>
        <v>LIC1620</v>
      </c>
      <c r="F602" s="157" t="s">
        <v>34</v>
      </c>
      <c r="H602" s="122"/>
      <c r="I602" s="150" t="s">
        <v>287</v>
      </c>
      <c r="L602" s="212" t="s">
        <v>1828</v>
      </c>
      <c r="M602" s="212"/>
      <c r="N602" s="212" t="s">
        <v>1609</v>
      </c>
      <c r="Z602" s="213">
        <v>0</v>
      </c>
      <c r="AA602" s="213">
        <v>0</v>
      </c>
      <c r="AB602" s="152">
        <f t="shared" si="69"/>
        <v>0</v>
      </c>
      <c r="AC602" s="122" t="s">
        <v>1837</v>
      </c>
    </row>
    <row r="603" spans="1:29" ht="12.75" hidden="1" customHeight="1">
      <c r="A603" s="125" t="str">
        <f t="shared" si="66"/>
        <v>LIC162UNREALISED APP/DEP - DEBENTURES</v>
      </c>
      <c r="B603" s="125">
        <f>+IFERROR(VLOOKUP(L603,'DB Mapping'!A:D,4,0),0)</f>
        <v>0</v>
      </c>
      <c r="C603" s="125">
        <f>+IFERROR(VLOOKUP(L603,'DB Mapping'!A:C,3,0),0)</f>
        <v>0</v>
      </c>
      <c r="D603" s="125" t="str">
        <f t="shared" si="67"/>
        <v>LIC1620</v>
      </c>
      <c r="E603" s="125" t="str">
        <f t="shared" si="68"/>
        <v>LIC1620</v>
      </c>
      <c r="F603" s="157" t="s">
        <v>34</v>
      </c>
      <c r="H603" s="122"/>
      <c r="I603" s="150" t="s">
        <v>287</v>
      </c>
      <c r="L603" s="212" t="s">
        <v>1812</v>
      </c>
      <c r="M603" s="212"/>
      <c r="N603" s="212" t="s">
        <v>1610</v>
      </c>
      <c r="Z603" s="213">
        <v>0</v>
      </c>
      <c r="AA603" s="213">
        <v>0</v>
      </c>
      <c r="AB603" s="152">
        <f t="shared" si="69"/>
        <v>0</v>
      </c>
      <c r="AC603" s="122" t="s">
        <v>1837</v>
      </c>
    </row>
    <row r="604" spans="1:29" ht="12.75" hidden="1" customHeight="1">
      <c r="A604" s="125" t="str">
        <f t="shared" si="66"/>
        <v>LIC162INVESTMENTS - REPO TRANSACTIONS</v>
      </c>
      <c r="B604" s="125">
        <f>+IFERROR(VLOOKUP(L604,'DB Mapping'!A:D,4,0),0)</f>
        <v>0</v>
      </c>
      <c r="C604" s="125">
        <f>+IFERROR(VLOOKUP(L604,'DB Mapping'!A:C,3,0),0)</f>
        <v>0</v>
      </c>
      <c r="D604" s="125" t="str">
        <f t="shared" si="67"/>
        <v>LIC1620</v>
      </c>
      <c r="E604" s="125" t="str">
        <f t="shared" si="68"/>
        <v>LIC1620</v>
      </c>
      <c r="F604" s="157" t="s">
        <v>34</v>
      </c>
      <c r="H604" s="122"/>
      <c r="I604" s="150" t="s">
        <v>287</v>
      </c>
      <c r="L604" s="212" t="s">
        <v>1790</v>
      </c>
      <c r="M604" s="212"/>
      <c r="N604" s="212" t="s">
        <v>1611</v>
      </c>
      <c r="Z604" s="213">
        <v>0</v>
      </c>
      <c r="AA604" s="213">
        <v>0</v>
      </c>
      <c r="AB604" s="152">
        <f t="shared" si="69"/>
        <v>0</v>
      </c>
      <c r="AC604" s="122" t="s">
        <v>1837</v>
      </c>
    </row>
    <row r="605" spans="1:29" ht="12.75" hidden="1" customHeight="1">
      <c r="A605" s="125" t="str">
        <f t="shared" si="66"/>
        <v>LIC162HDFC BANK CURRENT ACCOUNT</v>
      </c>
      <c r="B605" s="125">
        <f>+IFERROR(VLOOKUP(L605,'DB Mapping'!A:D,4,0),0)</f>
        <v>0</v>
      </c>
      <c r="C605" s="125">
        <f>+IFERROR(VLOOKUP(L605,'DB Mapping'!A:C,3,0),0)</f>
        <v>0</v>
      </c>
      <c r="D605" s="125" t="str">
        <f t="shared" si="67"/>
        <v>LIC1620</v>
      </c>
      <c r="E605" s="125" t="str">
        <f t="shared" si="68"/>
        <v>LIC1620</v>
      </c>
      <c r="F605" s="157" t="s">
        <v>34</v>
      </c>
      <c r="H605" s="122"/>
      <c r="I605" s="150" t="s">
        <v>287</v>
      </c>
      <c r="L605" s="212" t="s">
        <v>1712</v>
      </c>
      <c r="M605" s="212"/>
      <c r="N605" s="212" t="s">
        <v>1612</v>
      </c>
      <c r="Z605" s="213">
        <v>0</v>
      </c>
      <c r="AA605" s="213">
        <v>0.18</v>
      </c>
      <c r="AB605" s="152">
        <f t="shared" si="69"/>
        <v>-1.7999999999999999E-8</v>
      </c>
      <c r="AC605" s="122" t="s">
        <v>1837</v>
      </c>
    </row>
    <row r="606" spans="1:29" ht="12.75" hidden="1" customHeight="1">
      <c r="A606" s="125" t="str">
        <f t="shared" si="66"/>
        <v>LIC162HDFC BANK</v>
      </c>
      <c r="B606" s="125">
        <f>+IFERROR(VLOOKUP(L606,'DB Mapping'!A:D,4,0),0)</f>
        <v>0</v>
      </c>
      <c r="C606" s="125">
        <f>+IFERROR(VLOOKUP(L606,'DB Mapping'!A:C,3,0),0)</f>
        <v>0</v>
      </c>
      <c r="D606" s="125" t="str">
        <f t="shared" si="67"/>
        <v>LIC1620</v>
      </c>
      <c r="E606" s="125" t="str">
        <f t="shared" si="68"/>
        <v>LIC1620</v>
      </c>
      <c r="F606" s="157" t="s">
        <v>34</v>
      </c>
      <c r="H606" s="122"/>
      <c r="I606" s="150" t="s">
        <v>287</v>
      </c>
      <c r="L606" s="212" t="s">
        <v>1793</v>
      </c>
      <c r="M606" s="212"/>
      <c r="N606" s="212" t="s">
        <v>1613</v>
      </c>
      <c r="Z606" s="213">
        <v>0</v>
      </c>
      <c r="AA606" s="213">
        <v>1.43</v>
      </c>
      <c r="AB606" s="152">
        <f t="shared" si="69"/>
        <v>-1.43E-7</v>
      </c>
      <c r="AC606" s="122" t="s">
        <v>1837</v>
      </c>
    </row>
    <row r="607" spans="1:29" ht="12.75" hidden="1" customHeight="1">
      <c r="A607" s="125" t="str">
        <f t="shared" si="66"/>
        <v>LIC162SETTLEMENT RECEIVABLE</v>
      </c>
      <c r="B607" s="125">
        <f>+IFERROR(VLOOKUP(L607,'DB Mapping'!A:D,4,0),0)</f>
        <v>0</v>
      </c>
      <c r="C607" s="125">
        <f>+IFERROR(VLOOKUP(L607,'DB Mapping'!A:C,3,0),0)</f>
        <v>0</v>
      </c>
      <c r="D607" s="125" t="str">
        <f t="shared" si="67"/>
        <v>LIC1620</v>
      </c>
      <c r="E607" s="125" t="str">
        <f t="shared" si="68"/>
        <v>LIC1620</v>
      </c>
      <c r="F607" s="157" t="s">
        <v>34</v>
      </c>
      <c r="H607" s="122"/>
      <c r="I607" s="150" t="s">
        <v>287</v>
      </c>
      <c r="L607" s="212" t="s">
        <v>1829</v>
      </c>
      <c r="M607" s="212"/>
      <c r="N607" s="212" t="s">
        <v>1614</v>
      </c>
      <c r="Z607" s="213">
        <v>0</v>
      </c>
      <c r="AA607" s="213">
        <v>0</v>
      </c>
      <c r="AB607" s="152">
        <f t="shared" si="69"/>
        <v>0</v>
      </c>
      <c r="AC607" s="122" t="s">
        <v>1837</v>
      </c>
    </row>
    <row r="608" spans="1:29" ht="12.75" hidden="1" customHeight="1">
      <c r="A608" s="125" t="str">
        <f t="shared" si="66"/>
        <v>LIC162REDEMPTION RECEIVABLE - CBLO</v>
      </c>
      <c r="B608" s="125">
        <f>+IFERROR(VLOOKUP(L608,'DB Mapping'!A:D,4,0),0)</f>
        <v>0</v>
      </c>
      <c r="C608" s="125">
        <f>+IFERROR(VLOOKUP(L608,'DB Mapping'!A:C,3,0),0)</f>
        <v>0</v>
      </c>
      <c r="D608" s="125" t="str">
        <f t="shared" si="67"/>
        <v>LIC1620</v>
      </c>
      <c r="E608" s="125" t="str">
        <f t="shared" si="68"/>
        <v>LIC1620</v>
      </c>
      <c r="F608" s="157" t="s">
        <v>34</v>
      </c>
      <c r="H608" s="122"/>
      <c r="I608" s="150" t="s">
        <v>287</v>
      </c>
      <c r="L608" s="212" t="s">
        <v>1713</v>
      </c>
      <c r="M608" s="212"/>
      <c r="N608" s="212" t="s">
        <v>1615</v>
      </c>
      <c r="Z608" s="213">
        <v>0</v>
      </c>
      <c r="AA608" s="213">
        <v>0</v>
      </c>
      <c r="AB608" s="152">
        <f t="shared" si="69"/>
        <v>0</v>
      </c>
      <c r="AC608" s="122" t="s">
        <v>1837</v>
      </c>
    </row>
    <row r="609" spans="1:29" ht="12.75" hidden="1" customHeight="1">
      <c r="A609" s="125" t="str">
        <f t="shared" si="66"/>
        <v>LIC162REDEMPTION RECEIVABLE - DEBENTURES</v>
      </c>
      <c r="B609" s="125">
        <f>+IFERROR(VLOOKUP(L609,'DB Mapping'!A:D,4,0),0)</f>
        <v>0</v>
      </c>
      <c r="C609" s="125">
        <f>+IFERROR(VLOOKUP(L609,'DB Mapping'!A:C,3,0),0)</f>
        <v>0</v>
      </c>
      <c r="D609" s="125" t="str">
        <f t="shared" si="67"/>
        <v>LIC1620</v>
      </c>
      <c r="E609" s="125" t="str">
        <f t="shared" si="68"/>
        <v>LIC1620</v>
      </c>
      <c r="F609" s="157" t="s">
        <v>34</v>
      </c>
      <c r="H609" s="122"/>
      <c r="I609" s="150" t="s">
        <v>287</v>
      </c>
      <c r="L609" s="212" t="s">
        <v>1814</v>
      </c>
      <c r="M609" s="212"/>
      <c r="N609" s="212" t="s">
        <v>1616</v>
      </c>
      <c r="Z609" s="213">
        <v>0</v>
      </c>
      <c r="AA609" s="213">
        <v>0</v>
      </c>
      <c r="AB609" s="152">
        <f t="shared" si="69"/>
        <v>0</v>
      </c>
      <c r="AC609" s="122" t="s">
        <v>1837</v>
      </c>
    </row>
    <row r="610" spans="1:29" ht="12.75" hidden="1" customHeight="1">
      <c r="A610" s="125" t="str">
        <f t="shared" si="66"/>
        <v>LIC162DIVIDEND RECEIVABLE - EQUITIES</v>
      </c>
      <c r="B610" s="125">
        <f>+IFERROR(VLOOKUP(L610,'DB Mapping'!A:D,4,0),0)</f>
        <v>0</v>
      </c>
      <c r="C610" s="125">
        <f>+IFERROR(VLOOKUP(L610,'DB Mapping'!A:C,3,0),0)</f>
        <v>0</v>
      </c>
      <c r="D610" s="125" t="str">
        <f t="shared" si="67"/>
        <v>LIC1620</v>
      </c>
      <c r="E610" s="125" t="str">
        <f t="shared" si="68"/>
        <v>LIC1620</v>
      </c>
      <c r="F610" s="157" t="s">
        <v>34</v>
      </c>
      <c r="H610" s="122"/>
      <c r="I610" s="150" t="s">
        <v>287</v>
      </c>
      <c r="L610" s="212" t="s">
        <v>1830</v>
      </c>
      <c r="M610" s="212"/>
      <c r="N610" s="212" t="s">
        <v>1617</v>
      </c>
      <c r="Z610" s="213">
        <v>0</v>
      </c>
      <c r="AA610" s="213">
        <v>0</v>
      </c>
      <c r="AB610" s="152">
        <f t="shared" si="69"/>
        <v>0</v>
      </c>
      <c r="AC610" s="122" t="s">
        <v>1837</v>
      </c>
    </row>
    <row r="611" spans="1:29" ht="12.75" hidden="1" customHeight="1">
      <c r="A611" s="125" t="str">
        <f t="shared" si="66"/>
        <v>LIC162INTEREST ACCRUED/NOT DUE - DEBENTURES</v>
      </c>
      <c r="B611" s="125">
        <f>+IFERROR(VLOOKUP(L611,'DB Mapping'!A:D,4,0),0)</f>
        <v>0</v>
      </c>
      <c r="C611" s="125">
        <f>+IFERROR(VLOOKUP(L611,'DB Mapping'!A:C,3,0),0)</f>
        <v>0</v>
      </c>
      <c r="D611" s="125" t="str">
        <f t="shared" si="67"/>
        <v>LIC1620</v>
      </c>
      <c r="E611" s="125" t="str">
        <f t="shared" si="68"/>
        <v>LIC1620</v>
      </c>
      <c r="F611" s="157" t="s">
        <v>34</v>
      </c>
      <c r="H611" s="122"/>
      <c r="I611" s="150" t="s">
        <v>287</v>
      </c>
      <c r="L611" s="212" t="s">
        <v>1816</v>
      </c>
      <c r="M611" s="212"/>
      <c r="N611" s="212" t="s">
        <v>1618</v>
      </c>
      <c r="Z611" s="213">
        <v>0</v>
      </c>
      <c r="AA611" s="213">
        <v>0</v>
      </c>
      <c r="AB611" s="152">
        <f t="shared" si="69"/>
        <v>0</v>
      </c>
      <c r="AC611" s="122" t="s">
        <v>1837</v>
      </c>
    </row>
    <row r="612" spans="1:29" ht="12.75" hidden="1" customHeight="1">
      <c r="A612" s="125" t="str">
        <f t="shared" si="66"/>
        <v>LIC162INTEREST ACCRUED AND DUE - DEBENTURES</v>
      </c>
      <c r="B612" s="125">
        <f>+IFERROR(VLOOKUP(L612,'DB Mapping'!A:D,4,0),0)</f>
        <v>0</v>
      </c>
      <c r="C612" s="125">
        <f>+IFERROR(VLOOKUP(L612,'DB Mapping'!A:C,3,0),0)</f>
        <v>0</v>
      </c>
      <c r="D612" s="125" t="str">
        <f t="shared" si="67"/>
        <v>LIC1620</v>
      </c>
      <c r="E612" s="125" t="str">
        <f t="shared" si="68"/>
        <v>LIC1620</v>
      </c>
      <c r="F612" s="157" t="s">
        <v>34</v>
      </c>
      <c r="H612" s="122"/>
      <c r="I612" s="150" t="s">
        <v>287</v>
      </c>
      <c r="L612" s="212" t="s">
        <v>1817</v>
      </c>
      <c r="M612" s="212"/>
      <c r="N612" s="212" t="s">
        <v>1619</v>
      </c>
      <c r="Z612" s="213">
        <v>0</v>
      </c>
      <c r="AA612" s="213">
        <v>0</v>
      </c>
      <c r="AB612" s="152">
        <f t="shared" si="69"/>
        <v>0</v>
      </c>
      <c r="AC612" s="122" t="s">
        <v>1837</v>
      </c>
    </row>
    <row r="613" spans="1:29" ht="12.75" hidden="1" customHeight="1">
      <c r="A613" s="125" t="str">
        <f t="shared" si="66"/>
        <v>LIC162INTEREST RECEIVABLE - REPO TRANSACTIONS</v>
      </c>
      <c r="B613" s="125">
        <f>+IFERROR(VLOOKUP(L613,'DB Mapping'!A:D,4,0),0)</f>
        <v>0</v>
      </c>
      <c r="C613" s="125">
        <f>+IFERROR(VLOOKUP(L613,'DB Mapping'!A:C,3,0),0)</f>
        <v>0</v>
      </c>
      <c r="D613" s="125" t="str">
        <f t="shared" si="67"/>
        <v>LIC1620</v>
      </c>
      <c r="E613" s="125" t="str">
        <f t="shared" si="68"/>
        <v>LIC1620</v>
      </c>
      <c r="F613" s="157" t="s">
        <v>34</v>
      </c>
      <c r="H613" s="122"/>
      <c r="I613" s="150" t="s">
        <v>287</v>
      </c>
      <c r="L613" s="212" t="s">
        <v>1794</v>
      </c>
      <c r="M613" s="212"/>
      <c r="N613" s="212" t="s">
        <v>1620</v>
      </c>
      <c r="Z613" s="213">
        <v>0</v>
      </c>
      <c r="AA613" s="213">
        <v>0</v>
      </c>
      <c r="AB613" s="152">
        <f t="shared" si="69"/>
        <v>0</v>
      </c>
      <c r="AC613" s="122" t="s">
        <v>1837</v>
      </c>
    </row>
    <row r="614" spans="1:29" ht="12.75" hidden="1" customHeight="1">
      <c r="A614" s="125" t="str">
        <f t="shared" si="66"/>
        <v>LIC162AMORTISATION RECEIVABLE - CBLO</v>
      </c>
      <c r="B614" s="125">
        <f>+IFERROR(VLOOKUP(L614,'DB Mapping'!A:D,4,0),0)</f>
        <v>0</v>
      </c>
      <c r="C614" s="125">
        <f>+IFERROR(VLOOKUP(L614,'DB Mapping'!A:C,3,0),0)</f>
        <v>0</v>
      </c>
      <c r="D614" s="125" t="str">
        <f t="shared" si="67"/>
        <v>LIC1620</v>
      </c>
      <c r="E614" s="125" t="str">
        <f t="shared" si="68"/>
        <v>LIC1620</v>
      </c>
      <c r="F614" s="157" t="s">
        <v>34</v>
      </c>
      <c r="H614" s="122"/>
      <c r="I614" s="150" t="s">
        <v>287</v>
      </c>
      <c r="L614" s="212" t="s">
        <v>1715</v>
      </c>
      <c r="M614" s="212"/>
      <c r="N614" s="212" t="s">
        <v>1621</v>
      </c>
      <c r="Z614" s="213">
        <v>63759.49</v>
      </c>
      <c r="AA614" s="213">
        <v>0</v>
      </c>
      <c r="AB614" s="152">
        <f t="shared" si="69"/>
        <v>6.3759489999999997E-3</v>
      </c>
      <c r="AC614" s="122" t="s">
        <v>1837</v>
      </c>
    </row>
    <row r="615" spans="1:29" ht="12.75" hidden="1" customHeight="1">
      <c r="A615" s="125" t="str">
        <f t="shared" si="66"/>
        <v>LIC162AMORTISATION RECEIVABLE - DEBENTURES</v>
      </c>
      <c r="B615" s="125">
        <f>+IFERROR(VLOOKUP(L615,'DB Mapping'!A:D,4,0),0)</f>
        <v>0</v>
      </c>
      <c r="C615" s="125">
        <f>+IFERROR(VLOOKUP(L615,'DB Mapping'!A:C,3,0),0)</f>
        <v>0</v>
      </c>
      <c r="D615" s="125" t="str">
        <f t="shared" si="67"/>
        <v>LIC1620</v>
      </c>
      <c r="E615" s="125" t="str">
        <f t="shared" si="68"/>
        <v>LIC1620</v>
      </c>
      <c r="F615" s="157" t="s">
        <v>34</v>
      </c>
      <c r="H615" s="122"/>
      <c r="I615" s="150" t="s">
        <v>287</v>
      </c>
      <c r="L615" s="212" t="s">
        <v>1818</v>
      </c>
      <c r="M615" s="212"/>
      <c r="N615" s="212" t="s">
        <v>1622</v>
      </c>
      <c r="Z615" s="213">
        <v>0</v>
      </c>
      <c r="AA615" s="213">
        <v>0</v>
      </c>
      <c r="AB615" s="152">
        <f t="shared" si="69"/>
        <v>0</v>
      </c>
      <c r="AC615" s="122" t="s">
        <v>1837</v>
      </c>
    </row>
    <row r="616" spans="1:29" ht="12.75" hidden="1" customHeight="1">
      <c r="A616" s="125" t="str">
        <f t="shared" si="66"/>
        <v>LIC162RECEIVABLE - OTHER INCOME</v>
      </c>
      <c r="B616" s="125">
        <f>+IFERROR(VLOOKUP(L616,'DB Mapping'!A:D,4,0),0)</f>
        <v>0</v>
      </c>
      <c r="C616" s="125">
        <f>+IFERROR(VLOOKUP(L616,'DB Mapping'!A:C,3,0),0)</f>
        <v>0</v>
      </c>
      <c r="D616" s="125" t="str">
        <f t="shared" si="67"/>
        <v>LIC1620</v>
      </c>
      <c r="E616" s="125" t="str">
        <f t="shared" si="68"/>
        <v>LIC1620</v>
      </c>
      <c r="F616" s="157" t="s">
        <v>34</v>
      </c>
      <c r="H616" s="122"/>
      <c r="I616" s="150" t="s">
        <v>287</v>
      </c>
      <c r="L616" s="212" t="s">
        <v>1804</v>
      </c>
      <c r="M616" s="212"/>
      <c r="N616" s="212" t="s">
        <v>1623</v>
      </c>
      <c r="Z616" s="213">
        <v>191278.46</v>
      </c>
      <c r="AA616" s="213">
        <v>0</v>
      </c>
      <c r="AB616" s="152">
        <f t="shared" si="69"/>
        <v>1.9127846E-2</v>
      </c>
      <c r="AC616" s="122" t="s">
        <v>1837</v>
      </c>
    </row>
    <row r="617" spans="1:29" ht="12.75" hidden="1" customHeight="1">
      <c r="A617" s="125" t="str">
        <f t="shared" si="66"/>
        <v>LIC162CCIL SETTLEMENT A/C</v>
      </c>
      <c r="B617" s="125">
        <f>+IFERROR(VLOOKUP(L617,'DB Mapping'!A:D,4,0),0)</f>
        <v>0</v>
      </c>
      <c r="C617" s="125">
        <f>+IFERROR(VLOOKUP(L617,'DB Mapping'!A:C,3,0),0)</f>
        <v>0</v>
      </c>
      <c r="D617" s="125" t="str">
        <f t="shared" si="67"/>
        <v>LIC1620</v>
      </c>
      <c r="E617" s="125" t="str">
        <f t="shared" si="68"/>
        <v>LIC1620</v>
      </c>
      <c r="F617" s="157" t="s">
        <v>34</v>
      </c>
      <c r="H617" s="122"/>
      <c r="I617" s="150" t="s">
        <v>287</v>
      </c>
      <c r="L617" s="212" t="s">
        <v>1717</v>
      </c>
      <c r="M617" s="212"/>
      <c r="N617" s="212" t="s">
        <v>1624</v>
      </c>
      <c r="Z617" s="213">
        <v>255038.21</v>
      </c>
      <c r="AA617" s="213">
        <v>0</v>
      </c>
      <c r="AB617" s="152">
        <f t="shared" si="69"/>
        <v>2.5503820999999999E-2</v>
      </c>
      <c r="AC617" s="122" t="s">
        <v>1837</v>
      </c>
    </row>
    <row r="618" spans="1:29" ht="12.75" hidden="1" customHeight="1">
      <c r="A618" s="125" t="str">
        <f t="shared" si="66"/>
        <v>LIC162SETTLEMENT PAYABLE</v>
      </c>
      <c r="B618" s="125">
        <f>+IFERROR(VLOOKUP(L618,'DB Mapping'!A:D,4,0),0)</f>
        <v>0</v>
      </c>
      <c r="C618" s="125">
        <f>+IFERROR(VLOOKUP(L618,'DB Mapping'!A:C,3,0),0)</f>
        <v>0</v>
      </c>
      <c r="D618" s="125" t="str">
        <f t="shared" si="67"/>
        <v>LIC1620</v>
      </c>
      <c r="E618" s="125" t="str">
        <f t="shared" si="68"/>
        <v>LIC1620</v>
      </c>
      <c r="F618" s="157" t="s">
        <v>34</v>
      </c>
      <c r="H618" s="122"/>
      <c r="I618" s="150" t="s">
        <v>287</v>
      </c>
      <c r="L618" s="212" t="s">
        <v>1718</v>
      </c>
      <c r="M618" s="212"/>
      <c r="N618" s="212" t="s">
        <v>1625</v>
      </c>
      <c r="Z618" s="213">
        <v>0</v>
      </c>
      <c r="AA618" s="213">
        <v>0</v>
      </c>
      <c r="AB618" s="152">
        <f t="shared" si="69"/>
        <v>0</v>
      </c>
      <c r="AC618" s="122" t="s">
        <v>1837</v>
      </c>
    </row>
    <row r="619" spans="1:29" ht="12.75" hidden="1" customHeight="1">
      <c r="A619" s="125" t="str">
        <f t="shared" si="66"/>
        <v>LIC162EXPENSE ALLOCATION - LIABILITY ACCOUNT</v>
      </c>
      <c r="B619" s="125">
        <f>+IFERROR(VLOOKUP(L619,'DB Mapping'!A:D,4,0),0)</f>
        <v>0</v>
      </c>
      <c r="C619" s="125">
        <f>+IFERROR(VLOOKUP(L619,'DB Mapping'!A:C,3,0),0)</f>
        <v>0</v>
      </c>
      <c r="D619" s="125" t="str">
        <f t="shared" si="67"/>
        <v>LIC1620</v>
      </c>
      <c r="E619" s="125" t="str">
        <f t="shared" si="68"/>
        <v>LIC1620</v>
      </c>
      <c r="F619" s="157" t="s">
        <v>34</v>
      </c>
      <c r="H619" s="122"/>
      <c r="I619" s="150" t="s">
        <v>287</v>
      </c>
      <c r="L619" s="212" t="s">
        <v>1720</v>
      </c>
      <c r="M619" s="212"/>
      <c r="N619" s="212" t="s">
        <v>1626</v>
      </c>
      <c r="Z619" s="213">
        <v>119817.13</v>
      </c>
      <c r="AA619" s="213">
        <v>0</v>
      </c>
      <c r="AB619" s="152">
        <f t="shared" si="69"/>
        <v>1.1981713E-2</v>
      </c>
      <c r="AC619" s="122" t="s">
        <v>1837</v>
      </c>
    </row>
    <row r="620" spans="1:29" ht="12.75" hidden="1" customHeight="1">
      <c r="A620" s="125" t="str">
        <f t="shared" si="66"/>
        <v>LIC162PAYABLE - UNITS DIVIDEND TAX</v>
      </c>
      <c r="B620" s="125">
        <f>+IFERROR(VLOOKUP(L620,'DB Mapping'!A:D,4,0),0)</f>
        <v>0</v>
      </c>
      <c r="C620" s="125">
        <f>+IFERROR(VLOOKUP(L620,'DB Mapping'!A:C,3,0),0)</f>
        <v>0</v>
      </c>
      <c r="D620" s="125" t="str">
        <f t="shared" si="67"/>
        <v>LIC1620</v>
      </c>
      <c r="E620" s="125" t="str">
        <f t="shared" si="68"/>
        <v>LIC1620</v>
      </c>
      <c r="F620" s="157" t="s">
        <v>34</v>
      </c>
      <c r="H620" s="122"/>
      <c r="I620" s="150" t="s">
        <v>287</v>
      </c>
      <c r="L620" s="212" t="s">
        <v>1721</v>
      </c>
      <c r="M620" s="212"/>
      <c r="N620" s="212" t="s">
        <v>1627</v>
      </c>
      <c r="Z620" s="213">
        <v>0</v>
      </c>
      <c r="AA620" s="213">
        <v>602160</v>
      </c>
      <c r="AB620" s="152">
        <f t="shared" si="69"/>
        <v>-6.0215999999999999E-2</v>
      </c>
      <c r="AC620" s="122" t="s">
        <v>1837</v>
      </c>
    </row>
    <row r="621" spans="1:29" ht="12.75" hidden="1" customHeight="1">
      <c r="A621" s="125" t="str">
        <f t="shared" si="66"/>
        <v>LIC162PAYABLE - AUDIT FEES</v>
      </c>
      <c r="B621" s="125">
        <f>+IFERROR(VLOOKUP(L621,'DB Mapping'!A:D,4,0),0)</f>
        <v>0</v>
      </c>
      <c r="C621" s="125">
        <f>+IFERROR(VLOOKUP(L621,'DB Mapping'!A:C,3,0),0)</f>
        <v>0</v>
      </c>
      <c r="D621" s="125" t="str">
        <f t="shared" si="67"/>
        <v>LIC1620</v>
      </c>
      <c r="E621" s="125" t="str">
        <f t="shared" si="68"/>
        <v>LIC1620</v>
      </c>
      <c r="F621" s="157" t="s">
        <v>34</v>
      </c>
      <c r="H621" s="122"/>
      <c r="I621" s="150" t="s">
        <v>287</v>
      </c>
      <c r="L621" s="212" t="s">
        <v>1722</v>
      </c>
      <c r="M621" s="212"/>
      <c r="N621" s="212" t="s">
        <v>1628</v>
      </c>
      <c r="Z621" s="213">
        <v>237.3</v>
      </c>
      <c r="AA621" s="213">
        <v>0</v>
      </c>
      <c r="AB621" s="152">
        <f t="shared" si="69"/>
        <v>2.3730000000000001E-5</v>
      </c>
      <c r="AC621" s="122" t="s">
        <v>1837</v>
      </c>
    </row>
    <row r="622" spans="1:29" ht="12.75" hidden="1" customHeight="1">
      <c r="A622" s="125" t="str">
        <f t="shared" si="66"/>
        <v>LIC162PAYABLE - TDS ON EXPENSES</v>
      </c>
      <c r="B622" s="125">
        <f>+IFERROR(VLOOKUP(L622,'DB Mapping'!A:D,4,0),0)</f>
        <v>0</v>
      </c>
      <c r="C622" s="125">
        <f>+IFERROR(VLOOKUP(L622,'DB Mapping'!A:C,3,0),0)</f>
        <v>0</v>
      </c>
      <c r="D622" s="125" t="str">
        <f t="shared" si="67"/>
        <v>LIC1620</v>
      </c>
      <c r="E622" s="125" t="str">
        <f t="shared" si="68"/>
        <v>LIC1620</v>
      </c>
      <c r="F622" s="157" t="s">
        <v>34</v>
      </c>
      <c r="H622" s="122"/>
      <c r="I622" s="150" t="s">
        <v>287</v>
      </c>
      <c r="L622" s="212" t="s">
        <v>1724</v>
      </c>
      <c r="M622" s="212"/>
      <c r="N622" s="212" t="s">
        <v>1629</v>
      </c>
      <c r="Z622" s="213">
        <v>0</v>
      </c>
      <c r="AA622" s="213">
        <v>143.65</v>
      </c>
      <c r="AB622" s="152">
        <f t="shared" si="69"/>
        <v>-1.4365000000000001E-5</v>
      </c>
      <c r="AC622" s="122" t="s">
        <v>1837</v>
      </c>
    </row>
    <row r="623" spans="1:29" ht="12.75" hidden="1" customHeight="1">
      <c r="A623" s="125" t="str">
        <f t="shared" si="66"/>
        <v>LIC162TRANSACTION CHARGES PAYABLE - UNIT CAPITAL</v>
      </c>
      <c r="B623" s="125">
        <f>+IFERROR(VLOOKUP(L623,'DB Mapping'!A:D,4,0),0)</f>
        <v>0</v>
      </c>
      <c r="C623" s="125">
        <f>+IFERROR(VLOOKUP(L623,'DB Mapping'!A:C,3,0),0)</f>
        <v>0</v>
      </c>
      <c r="D623" s="125" t="str">
        <f t="shared" si="67"/>
        <v>LIC1620</v>
      </c>
      <c r="E623" s="125" t="str">
        <f t="shared" si="68"/>
        <v>LIC1620</v>
      </c>
      <c r="F623" s="157" t="s">
        <v>34</v>
      </c>
      <c r="H623" s="122"/>
      <c r="I623" s="150" t="s">
        <v>287</v>
      </c>
      <c r="L623" s="212" t="s">
        <v>1726</v>
      </c>
      <c r="M623" s="212"/>
      <c r="N623" s="212" t="s">
        <v>1630</v>
      </c>
      <c r="Z623" s="213">
        <v>0</v>
      </c>
      <c r="AA623" s="213">
        <v>450</v>
      </c>
      <c r="AB623" s="152">
        <f t="shared" si="69"/>
        <v>-4.5000000000000003E-5</v>
      </c>
      <c r="AC623" s="122" t="s">
        <v>1837</v>
      </c>
    </row>
    <row r="624" spans="1:29" ht="12.75" hidden="1" customHeight="1">
      <c r="A624" s="125" t="str">
        <f t="shared" si="66"/>
        <v>LIC162PAYABLE - TDS ON WORKS CONTRACT</v>
      </c>
      <c r="B624" s="125">
        <f>+IFERROR(VLOOKUP(L624,'DB Mapping'!A:D,4,0),0)</f>
        <v>0</v>
      </c>
      <c r="C624" s="125">
        <f>+IFERROR(VLOOKUP(L624,'DB Mapping'!A:C,3,0),0)</f>
        <v>0</v>
      </c>
      <c r="D624" s="125" t="str">
        <f t="shared" si="67"/>
        <v>LIC1620</v>
      </c>
      <c r="E624" s="125" t="str">
        <f t="shared" si="68"/>
        <v>LIC1620</v>
      </c>
      <c r="F624" s="157" t="s">
        <v>34</v>
      </c>
      <c r="H624" s="122"/>
      <c r="I624" s="150" t="s">
        <v>287</v>
      </c>
      <c r="L624" s="212" t="s">
        <v>1795</v>
      </c>
      <c r="M624" s="212"/>
      <c r="N624" s="212" t="s">
        <v>1631</v>
      </c>
      <c r="Z624" s="213">
        <v>0</v>
      </c>
      <c r="AA624" s="213">
        <v>0</v>
      </c>
      <c r="AB624" s="152">
        <f t="shared" si="69"/>
        <v>0</v>
      </c>
      <c r="AC624" s="122" t="s">
        <v>1837</v>
      </c>
    </row>
    <row r="625" spans="1:29" ht="12.75" hidden="1" customHeight="1">
      <c r="A625" s="125" t="str">
        <f t="shared" si="66"/>
        <v>LIC162PAYABLE - MANAGEMENT FEES</v>
      </c>
      <c r="B625" s="125">
        <f>+IFERROR(VLOOKUP(L625,'DB Mapping'!A:D,4,0),0)</f>
        <v>0</v>
      </c>
      <c r="C625" s="125">
        <f>+IFERROR(VLOOKUP(L625,'DB Mapping'!A:C,3,0),0)</f>
        <v>0</v>
      </c>
      <c r="D625" s="125" t="str">
        <f t="shared" si="67"/>
        <v>LIC1620</v>
      </c>
      <c r="E625" s="125" t="str">
        <f t="shared" si="68"/>
        <v>LIC1620</v>
      </c>
      <c r="F625" s="157" t="s">
        <v>34</v>
      </c>
      <c r="H625" s="122"/>
      <c r="I625" s="150" t="s">
        <v>287</v>
      </c>
      <c r="L625" s="212" t="s">
        <v>1727</v>
      </c>
      <c r="M625" s="212"/>
      <c r="N625" s="212" t="s">
        <v>1632</v>
      </c>
      <c r="Z625" s="213">
        <v>0</v>
      </c>
      <c r="AA625" s="213">
        <v>67639.56</v>
      </c>
      <c r="AB625" s="152">
        <f t="shared" si="69"/>
        <v>-6.7639559999999998E-3</v>
      </c>
      <c r="AC625" s="122" t="s">
        <v>1837</v>
      </c>
    </row>
    <row r="626" spans="1:29" ht="12.75" hidden="1" customHeight="1">
      <c r="A626" s="125" t="str">
        <f t="shared" si="66"/>
        <v>LIC162PAYABLE - OTHER FEES</v>
      </c>
      <c r="B626" s="125">
        <f>+IFERROR(VLOOKUP(L626,'DB Mapping'!A:D,4,0),0)</f>
        <v>0</v>
      </c>
      <c r="C626" s="125">
        <f>+IFERROR(VLOOKUP(L626,'DB Mapping'!A:C,3,0),0)</f>
        <v>0</v>
      </c>
      <c r="D626" s="125" t="str">
        <f t="shared" si="67"/>
        <v>LIC1620</v>
      </c>
      <c r="E626" s="125" t="str">
        <f t="shared" si="68"/>
        <v>LIC1620</v>
      </c>
      <c r="F626" s="157" t="s">
        <v>34</v>
      </c>
      <c r="H626" s="122"/>
      <c r="I626" s="150" t="s">
        <v>287</v>
      </c>
      <c r="L626" s="212" t="s">
        <v>1728</v>
      </c>
      <c r="M626" s="212"/>
      <c r="N626" s="212" t="s">
        <v>1633</v>
      </c>
      <c r="Z626" s="213">
        <v>0</v>
      </c>
      <c r="AA626" s="213">
        <v>338967.68</v>
      </c>
      <c r="AB626" s="152">
        <f t="shared" si="69"/>
        <v>-3.3896768000000001E-2</v>
      </c>
      <c r="AC626" s="122" t="s">
        <v>1837</v>
      </c>
    </row>
    <row r="627" spans="1:29" ht="12.75" hidden="1" customHeight="1">
      <c r="A627" s="125" t="str">
        <f t="shared" si="66"/>
        <v>LIC162PAYABLE - OTHER FEES (SELLING &amp; DISTRIBUTION)</v>
      </c>
      <c r="B627" s="125">
        <f>+IFERROR(VLOOKUP(L627,'DB Mapping'!A:D,4,0),0)</f>
        <v>0</v>
      </c>
      <c r="C627" s="125">
        <f>+IFERROR(VLOOKUP(L627,'DB Mapping'!A:C,3,0),0)</f>
        <v>0</v>
      </c>
      <c r="D627" s="125" t="str">
        <f t="shared" si="67"/>
        <v>LIC1620</v>
      </c>
      <c r="E627" s="125" t="str">
        <f t="shared" si="68"/>
        <v>LIC1620</v>
      </c>
      <c r="F627" s="157" t="s">
        <v>34</v>
      </c>
      <c r="H627" s="122"/>
      <c r="I627" s="150" t="s">
        <v>287</v>
      </c>
      <c r="L627" s="212" t="s">
        <v>1729</v>
      </c>
      <c r="M627" s="212"/>
      <c r="N627" s="212" t="s">
        <v>1634</v>
      </c>
      <c r="Z627" s="213">
        <v>0</v>
      </c>
      <c r="AA627" s="213">
        <v>674.43</v>
      </c>
      <c r="AB627" s="152">
        <f t="shared" si="69"/>
        <v>-6.7442999999999998E-5</v>
      </c>
      <c r="AC627" s="122" t="s">
        <v>1837</v>
      </c>
    </row>
    <row r="628" spans="1:29" ht="12.75" hidden="1" customHeight="1">
      <c r="A628" s="125" t="str">
        <f t="shared" si="66"/>
        <v>LIC162PAYABLE - SERVICE TAX</v>
      </c>
      <c r="B628" s="125">
        <f>+IFERROR(VLOOKUP(L628,'DB Mapping'!A:D,4,0),0)</f>
        <v>0</v>
      </c>
      <c r="C628" s="125">
        <f>+IFERROR(VLOOKUP(L628,'DB Mapping'!A:C,3,0),0)</f>
        <v>0</v>
      </c>
      <c r="D628" s="125" t="str">
        <f t="shared" si="67"/>
        <v>LIC1620</v>
      </c>
      <c r="E628" s="125" t="str">
        <f t="shared" si="68"/>
        <v>LIC1620</v>
      </c>
      <c r="F628" s="157" t="s">
        <v>34</v>
      </c>
      <c r="H628" s="122"/>
      <c r="I628" s="150" t="s">
        <v>287</v>
      </c>
      <c r="L628" s="212" t="s">
        <v>1730</v>
      </c>
      <c r="M628" s="212"/>
      <c r="N628" s="212" t="s">
        <v>1635</v>
      </c>
      <c r="Z628" s="213">
        <v>0</v>
      </c>
      <c r="AA628" s="213">
        <v>0</v>
      </c>
      <c r="AB628" s="152">
        <f t="shared" si="69"/>
        <v>0</v>
      </c>
      <c r="AC628" s="122" t="s">
        <v>1837</v>
      </c>
    </row>
    <row r="629" spans="1:29" ht="12.75" hidden="1" customHeight="1">
      <c r="A629" s="125" t="str">
        <f t="shared" si="66"/>
        <v>LIC162PAYABLE - TRAIL BROKERAGE</v>
      </c>
      <c r="B629" s="125">
        <f>+IFERROR(VLOOKUP(L629,'DB Mapping'!A:D,4,0),0)</f>
        <v>0</v>
      </c>
      <c r="C629" s="125">
        <f>+IFERROR(VLOOKUP(L629,'DB Mapping'!A:C,3,0),0)</f>
        <v>0</v>
      </c>
      <c r="D629" s="125" t="str">
        <f t="shared" si="67"/>
        <v>LIC1620</v>
      </c>
      <c r="E629" s="125" t="str">
        <f t="shared" si="68"/>
        <v>LIC1620</v>
      </c>
      <c r="F629" s="157" t="s">
        <v>34</v>
      </c>
      <c r="H629" s="122"/>
      <c r="I629" s="150" t="s">
        <v>287</v>
      </c>
      <c r="L629" s="212" t="s">
        <v>1731</v>
      </c>
      <c r="M629" s="212"/>
      <c r="N629" s="212" t="s">
        <v>1636</v>
      </c>
      <c r="Z629" s="213">
        <v>167.62</v>
      </c>
      <c r="AA629" s="213">
        <v>0</v>
      </c>
      <c r="AB629" s="152">
        <f t="shared" si="69"/>
        <v>1.6762E-5</v>
      </c>
      <c r="AC629" s="122" t="s">
        <v>1837</v>
      </c>
    </row>
    <row r="630" spans="1:29" ht="12.75" hidden="1" customHeight="1">
      <c r="A630" s="125" t="str">
        <f t="shared" si="66"/>
        <v>LIC162PAYABLE - INTERNAL AUDIT FEES</v>
      </c>
      <c r="B630" s="125">
        <f>+IFERROR(VLOOKUP(L630,'DB Mapping'!A:D,4,0),0)</f>
        <v>0</v>
      </c>
      <c r="C630" s="125">
        <f>+IFERROR(VLOOKUP(L630,'DB Mapping'!A:C,3,0),0)</f>
        <v>0</v>
      </c>
      <c r="D630" s="125" t="str">
        <f t="shared" si="67"/>
        <v>LIC1620</v>
      </c>
      <c r="E630" s="125" t="str">
        <f t="shared" si="68"/>
        <v>LIC1620</v>
      </c>
      <c r="F630" s="157" t="s">
        <v>34</v>
      </c>
      <c r="H630" s="122"/>
      <c r="I630" s="150" t="s">
        <v>287</v>
      </c>
      <c r="L630" s="212" t="s">
        <v>1732</v>
      </c>
      <c r="M630" s="212"/>
      <c r="N630" s="212" t="s">
        <v>1637</v>
      </c>
      <c r="Z630" s="213">
        <v>0</v>
      </c>
      <c r="AA630" s="213">
        <v>4859.43</v>
      </c>
      <c r="AB630" s="152">
        <f t="shared" si="69"/>
        <v>-4.8594300000000002E-4</v>
      </c>
      <c r="AC630" s="122" t="s">
        <v>1837</v>
      </c>
    </row>
    <row r="631" spans="1:29" ht="12.75" hidden="1" customHeight="1">
      <c r="A631" s="125" t="str">
        <f t="shared" si="66"/>
        <v>LIC162CGST EXPS PAYABLE ON MFEES</v>
      </c>
      <c r="B631" s="125">
        <f>+IFERROR(VLOOKUP(L631,'DB Mapping'!A:D,4,0),0)</f>
        <v>0</v>
      </c>
      <c r="C631" s="125">
        <f>+IFERROR(VLOOKUP(L631,'DB Mapping'!A:C,3,0),0)</f>
        <v>0</v>
      </c>
      <c r="D631" s="125" t="str">
        <f t="shared" si="67"/>
        <v>LIC1620</v>
      </c>
      <c r="E631" s="125" t="str">
        <f t="shared" si="68"/>
        <v>LIC1620</v>
      </c>
      <c r="F631" s="157" t="s">
        <v>34</v>
      </c>
      <c r="H631" s="122"/>
      <c r="I631" s="150" t="s">
        <v>287</v>
      </c>
      <c r="L631" s="212" t="s">
        <v>1733</v>
      </c>
      <c r="M631" s="212"/>
      <c r="N631" s="212" t="s">
        <v>1638</v>
      </c>
      <c r="Z631" s="213">
        <v>0</v>
      </c>
      <c r="AA631" s="213">
        <v>6087.84</v>
      </c>
      <c r="AB631" s="152">
        <f t="shared" si="69"/>
        <v>-6.0878400000000002E-4</v>
      </c>
      <c r="AC631" s="122" t="s">
        <v>1837</v>
      </c>
    </row>
    <row r="632" spans="1:29" ht="12.75" hidden="1" customHeight="1">
      <c r="A632" s="125" t="str">
        <f t="shared" si="66"/>
        <v>LIC162SGST EXPS PAYABLE ON MFEES</v>
      </c>
      <c r="B632" s="125">
        <f>+IFERROR(VLOOKUP(L632,'DB Mapping'!A:D,4,0),0)</f>
        <v>0</v>
      </c>
      <c r="C632" s="125">
        <f>+IFERROR(VLOOKUP(L632,'DB Mapping'!A:C,3,0),0)</f>
        <v>0</v>
      </c>
      <c r="D632" s="125" t="str">
        <f t="shared" si="67"/>
        <v>LIC1620</v>
      </c>
      <c r="E632" s="125" t="str">
        <f t="shared" si="68"/>
        <v>LIC1620</v>
      </c>
      <c r="F632" s="157" t="s">
        <v>34</v>
      </c>
      <c r="H632" s="122"/>
      <c r="I632" s="150" t="s">
        <v>287</v>
      </c>
      <c r="L632" s="212" t="s">
        <v>1734</v>
      </c>
      <c r="M632" s="212"/>
      <c r="N632" s="212" t="s">
        <v>1639</v>
      </c>
      <c r="Z632" s="213">
        <v>0</v>
      </c>
      <c r="AA632" s="213">
        <v>6087.84</v>
      </c>
      <c r="AB632" s="152">
        <f t="shared" si="69"/>
        <v>-6.0878400000000002E-4</v>
      </c>
      <c r="AC632" s="122" t="s">
        <v>1837</v>
      </c>
    </row>
    <row r="633" spans="1:29" ht="12.75" hidden="1" customHeight="1">
      <c r="A633" s="125" t="str">
        <f t="shared" si="66"/>
        <v>LIC162PAYABLE - INVESTOR EDUCATION FUND</v>
      </c>
      <c r="B633" s="125">
        <f>+IFERROR(VLOOKUP(L633,'DB Mapping'!A:D,4,0),0)</f>
        <v>0</v>
      </c>
      <c r="C633" s="125">
        <f>+IFERROR(VLOOKUP(L633,'DB Mapping'!A:C,3,0),0)</f>
        <v>0</v>
      </c>
      <c r="D633" s="125" t="str">
        <f t="shared" si="67"/>
        <v>LIC1620</v>
      </c>
      <c r="E633" s="125" t="str">
        <f t="shared" si="68"/>
        <v>LIC1620</v>
      </c>
      <c r="F633" s="157" t="s">
        <v>34</v>
      </c>
      <c r="H633" s="122"/>
      <c r="I633" s="150" t="s">
        <v>287</v>
      </c>
      <c r="L633" s="212" t="s">
        <v>1735</v>
      </c>
      <c r="M633" s="212"/>
      <c r="N633" s="212" t="s">
        <v>1640</v>
      </c>
      <c r="Z633" s="213">
        <v>0</v>
      </c>
      <c r="AA633" s="213">
        <v>3262.86</v>
      </c>
      <c r="AB633" s="152">
        <f t="shared" si="69"/>
        <v>-3.2628600000000001E-4</v>
      </c>
      <c r="AC633" s="122" t="s">
        <v>1837</v>
      </c>
    </row>
    <row r="634" spans="1:29" ht="12.75" hidden="1" customHeight="1">
      <c r="A634" s="125" t="str">
        <f t="shared" si="66"/>
        <v>LIC162PAYABLE - INVESTOR EDUCATION FUND - AMFI</v>
      </c>
      <c r="B634" s="125">
        <f>+IFERROR(VLOOKUP(L634,'DB Mapping'!A:D,4,0),0)</f>
        <v>0</v>
      </c>
      <c r="C634" s="125">
        <f>+IFERROR(VLOOKUP(L634,'DB Mapping'!A:C,3,0),0)</f>
        <v>0</v>
      </c>
      <c r="D634" s="125" t="str">
        <f t="shared" si="67"/>
        <v>LIC1620</v>
      </c>
      <c r="E634" s="125" t="str">
        <f t="shared" si="68"/>
        <v>LIC1620</v>
      </c>
      <c r="F634" s="157" t="s">
        <v>34</v>
      </c>
      <c r="H634" s="122"/>
      <c r="I634" s="150" t="s">
        <v>287</v>
      </c>
      <c r="L634" s="212" t="s">
        <v>1737</v>
      </c>
      <c r="M634" s="212"/>
      <c r="N634" s="212" t="s">
        <v>1641</v>
      </c>
      <c r="Z634" s="213">
        <v>0</v>
      </c>
      <c r="AA634" s="213">
        <v>3262.86</v>
      </c>
      <c r="AB634" s="152">
        <f t="shared" si="69"/>
        <v>-3.2628600000000001E-4</v>
      </c>
      <c r="AC634" s="122" t="s">
        <v>1837</v>
      </c>
    </row>
    <row r="635" spans="1:29" ht="12.75" hidden="1" customHeight="1">
      <c r="A635" s="125" t="str">
        <f t="shared" si="66"/>
        <v>LIC162Other Liability – CGST on Brokerage A/C</v>
      </c>
      <c r="B635" s="125">
        <f>+IFERROR(VLOOKUP(L635,'DB Mapping'!A:D,4,0),0)</f>
        <v>0</v>
      </c>
      <c r="C635" s="125">
        <f>+IFERROR(VLOOKUP(L635,'DB Mapping'!A:C,3,0),0)</f>
        <v>0</v>
      </c>
      <c r="D635" s="125" t="str">
        <f t="shared" si="67"/>
        <v>LIC1620</v>
      </c>
      <c r="E635" s="125" t="str">
        <f t="shared" si="68"/>
        <v>LIC1620</v>
      </c>
      <c r="F635" s="157" t="s">
        <v>34</v>
      </c>
      <c r="H635" s="122"/>
      <c r="I635" s="150" t="s">
        <v>287</v>
      </c>
      <c r="L635" s="212" t="s">
        <v>1738</v>
      </c>
      <c r="M635" s="212"/>
      <c r="N635" s="212" t="s">
        <v>1642</v>
      </c>
      <c r="Z635" s="213">
        <v>0</v>
      </c>
      <c r="AA635" s="213">
        <v>0</v>
      </c>
      <c r="AB635" s="152">
        <f t="shared" si="69"/>
        <v>0</v>
      </c>
      <c r="AC635" s="122" t="s">
        <v>1837</v>
      </c>
    </row>
    <row r="636" spans="1:29" ht="12.75" hidden="1" customHeight="1">
      <c r="A636" s="125" t="str">
        <f t="shared" si="66"/>
        <v>LIC162Other Liability – SGST on Brokerage A/C</v>
      </c>
      <c r="B636" s="125">
        <f>+IFERROR(VLOOKUP(L636,'DB Mapping'!A:D,4,0),0)</f>
        <v>0</v>
      </c>
      <c r="C636" s="125">
        <f>+IFERROR(VLOOKUP(L636,'DB Mapping'!A:C,3,0),0)</f>
        <v>0</v>
      </c>
      <c r="D636" s="125" t="str">
        <f t="shared" si="67"/>
        <v>LIC1620</v>
      </c>
      <c r="E636" s="125" t="str">
        <f t="shared" si="68"/>
        <v>LIC1620</v>
      </c>
      <c r="F636" s="157" t="s">
        <v>34</v>
      </c>
      <c r="H636" s="122"/>
      <c r="I636" s="150" t="s">
        <v>287</v>
      </c>
      <c r="L636" s="212" t="s">
        <v>1739</v>
      </c>
      <c r="M636" s="212"/>
      <c r="N636" s="212" t="s">
        <v>1643</v>
      </c>
      <c r="Z636" s="213">
        <v>0</v>
      </c>
      <c r="AA636" s="213">
        <v>0</v>
      </c>
      <c r="AB636" s="152">
        <f t="shared" si="69"/>
        <v>0</v>
      </c>
      <c r="AC636" s="122" t="s">
        <v>1837</v>
      </c>
    </row>
    <row r="637" spans="1:29" ht="12.75" hidden="1" customHeight="1">
      <c r="A637" s="125" t="str">
        <f t="shared" si="66"/>
        <v>LIC162Other Liability – IGST on Brokerage A/C</v>
      </c>
      <c r="B637" s="125">
        <f>+IFERROR(VLOOKUP(L637,'DB Mapping'!A:D,4,0),0)</f>
        <v>0</v>
      </c>
      <c r="C637" s="125">
        <f>+IFERROR(VLOOKUP(L637,'DB Mapping'!A:C,3,0),0)</f>
        <v>0</v>
      </c>
      <c r="D637" s="125" t="str">
        <f t="shared" si="67"/>
        <v>LIC1620</v>
      </c>
      <c r="E637" s="125" t="str">
        <f t="shared" si="68"/>
        <v>LIC1620</v>
      </c>
      <c r="F637" s="157" t="s">
        <v>34</v>
      </c>
      <c r="H637" s="122"/>
      <c r="I637" s="150" t="s">
        <v>287</v>
      </c>
      <c r="L637" s="212" t="s">
        <v>1740</v>
      </c>
      <c r="M637" s="212"/>
      <c r="N637" s="212" t="s">
        <v>1644</v>
      </c>
      <c r="Z637" s="213">
        <v>0</v>
      </c>
      <c r="AA637" s="213">
        <v>0</v>
      </c>
      <c r="AB637" s="152">
        <f t="shared" si="69"/>
        <v>0</v>
      </c>
      <c r="AC637" s="122" t="s">
        <v>1837</v>
      </c>
    </row>
    <row r="638" spans="1:29" ht="12.75" hidden="1" customHeight="1">
      <c r="A638" s="125" t="str">
        <f t="shared" si="66"/>
        <v>LIC162DIVIDEND DISTRIBUTION PAYABLE</v>
      </c>
      <c r="B638" s="125">
        <f>+IFERROR(VLOOKUP(L638,'DB Mapping'!A:D,4,0),0)</f>
        <v>0</v>
      </c>
      <c r="C638" s="125">
        <f>+IFERROR(VLOOKUP(L638,'DB Mapping'!A:C,3,0),0)</f>
        <v>0</v>
      </c>
      <c r="D638" s="125" t="str">
        <f t="shared" si="67"/>
        <v>LIC1620</v>
      </c>
      <c r="E638" s="125" t="str">
        <f t="shared" si="68"/>
        <v>LIC1620</v>
      </c>
      <c r="F638" s="157" t="s">
        <v>34</v>
      </c>
      <c r="H638" s="122"/>
      <c r="I638" s="150" t="s">
        <v>287</v>
      </c>
      <c r="L638" s="212" t="s">
        <v>1741</v>
      </c>
      <c r="M638" s="212"/>
      <c r="N638" s="212" t="s">
        <v>1645</v>
      </c>
      <c r="Z638" s="213">
        <v>0</v>
      </c>
      <c r="AA638" s="213">
        <v>1524432.82</v>
      </c>
      <c r="AB638" s="152">
        <f t="shared" si="69"/>
        <v>-0.15244328200000001</v>
      </c>
      <c r="AC638" s="122" t="s">
        <v>1837</v>
      </c>
    </row>
    <row r="639" spans="1:29" ht="12.75" hidden="1" customHeight="1">
      <c r="A639" s="125" t="str">
        <f t="shared" si="66"/>
        <v>LIC162CLIENT SERVICING FEES PAYABLE</v>
      </c>
      <c r="B639" s="125">
        <f>+IFERROR(VLOOKUP(L639,'DB Mapping'!A:D,4,0),0)</f>
        <v>0</v>
      </c>
      <c r="C639" s="125">
        <f>+IFERROR(VLOOKUP(L639,'DB Mapping'!A:C,3,0),0)</f>
        <v>0</v>
      </c>
      <c r="D639" s="125" t="str">
        <f t="shared" si="67"/>
        <v>LIC1620</v>
      </c>
      <c r="E639" s="125" t="str">
        <f t="shared" si="68"/>
        <v>LIC1620</v>
      </c>
      <c r="F639" s="157" t="s">
        <v>34</v>
      </c>
      <c r="H639" s="122"/>
      <c r="I639" s="150" t="s">
        <v>287</v>
      </c>
      <c r="L639" s="212" t="s">
        <v>1742</v>
      </c>
      <c r="M639" s="212"/>
      <c r="N639" s="212" t="s">
        <v>1646</v>
      </c>
      <c r="Z639" s="213">
        <v>0</v>
      </c>
      <c r="AA639" s="213">
        <v>13544.11</v>
      </c>
      <c r="AB639" s="152">
        <f t="shared" si="69"/>
        <v>-1.354411E-3</v>
      </c>
      <c r="AC639" s="122" t="s">
        <v>1837</v>
      </c>
    </row>
    <row r="640" spans="1:29" ht="12.75" hidden="1" customHeight="1">
      <c r="A640" s="125" t="str">
        <f t="shared" si="66"/>
        <v>LIC162PROVISION FOR OPERATING EXPENSES</v>
      </c>
      <c r="B640" s="125">
        <f>+IFERROR(VLOOKUP(L640,'DB Mapping'!A:D,4,0),0)</f>
        <v>0</v>
      </c>
      <c r="C640" s="125">
        <f>+IFERROR(VLOOKUP(L640,'DB Mapping'!A:C,3,0),0)</f>
        <v>0</v>
      </c>
      <c r="D640" s="125" t="str">
        <f t="shared" si="67"/>
        <v>LIC1620</v>
      </c>
      <c r="E640" s="125" t="str">
        <f t="shared" si="68"/>
        <v>LIC1620</v>
      </c>
      <c r="F640" s="157" t="s">
        <v>34</v>
      </c>
      <c r="H640" s="122"/>
      <c r="I640" s="150" t="s">
        <v>287</v>
      </c>
      <c r="L640" s="212" t="s">
        <v>1798</v>
      </c>
      <c r="M640" s="212"/>
      <c r="N640" s="212" t="s">
        <v>1647</v>
      </c>
      <c r="Z640" s="213">
        <v>0</v>
      </c>
      <c r="AA640" s="213">
        <v>12040.03</v>
      </c>
      <c r="AB640" s="152">
        <f t="shared" si="69"/>
        <v>-1.2040030000000001E-3</v>
      </c>
      <c r="AC640" s="122" t="s">
        <v>1837</v>
      </c>
    </row>
    <row r="641" spans="1:29" ht="12.75" hidden="1" customHeight="1">
      <c r="A641" s="125" t="str">
        <f t="shared" si="66"/>
        <v>LIC162PROVISION FOR WITHHOLDING BROKERAGE</v>
      </c>
      <c r="B641" s="125">
        <f>+IFERROR(VLOOKUP(L641,'DB Mapping'!A:D,4,0),0)</f>
        <v>0</v>
      </c>
      <c r="C641" s="125">
        <f>+IFERROR(VLOOKUP(L641,'DB Mapping'!A:C,3,0),0)</f>
        <v>0</v>
      </c>
      <c r="D641" s="125" t="str">
        <f t="shared" si="67"/>
        <v>LIC1620</v>
      </c>
      <c r="E641" s="125" t="str">
        <f t="shared" si="68"/>
        <v>LIC1620</v>
      </c>
      <c r="F641" s="157" t="s">
        <v>34</v>
      </c>
      <c r="H641" s="122"/>
      <c r="I641" s="150" t="s">
        <v>287</v>
      </c>
      <c r="L641" s="212" t="s">
        <v>1743</v>
      </c>
      <c r="M641" s="212"/>
      <c r="N641" s="212" t="s">
        <v>1648</v>
      </c>
      <c r="Z641" s="213">
        <v>0</v>
      </c>
      <c r="AA641" s="213">
        <v>5030.4399999999996</v>
      </c>
      <c r="AB641" s="152">
        <f t="shared" si="69"/>
        <v>-5.0304399999999991E-4</v>
      </c>
      <c r="AC641" s="122" t="s">
        <v>1837</v>
      </c>
    </row>
    <row r="642" spans="1:29" ht="12.75" hidden="1" customHeight="1">
      <c r="A642" s="125" t="str">
        <f t="shared" si="66"/>
        <v>LIC162PROV FOR WITHHOLDING BROKERAGE FY 2016-17</v>
      </c>
      <c r="B642" s="125">
        <f>+IFERROR(VLOOKUP(L642,'DB Mapping'!A:D,4,0),0)</f>
        <v>0</v>
      </c>
      <c r="C642" s="125">
        <f>+IFERROR(VLOOKUP(L642,'DB Mapping'!A:C,3,0),0)</f>
        <v>0</v>
      </c>
      <c r="D642" s="125" t="str">
        <f t="shared" si="67"/>
        <v>LIC1620</v>
      </c>
      <c r="E642" s="125" t="str">
        <f t="shared" si="68"/>
        <v>LIC1620</v>
      </c>
      <c r="F642" s="157" t="s">
        <v>34</v>
      </c>
      <c r="H642" s="122"/>
      <c r="I642" s="150" t="s">
        <v>287</v>
      </c>
      <c r="L642" s="212" t="s">
        <v>1744</v>
      </c>
      <c r="M642" s="212"/>
      <c r="N642" s="212" t="s">
        <v>1649</v>
      </c>
      <c r="Z642" s="213">
        <v>815.37</v>
      </c>
      <c r="AA642" s="213">
        <v>0</v>
      </c>
      <c r="AB642" s="152">
        <f t="shared" si="69"/>
        <v>8.1537000000000002E-5</v>
      </c>
      <c r="AC642" s="122" t="s">
        <v>1837</v>
      </c>
    </row>
    <row r="643" spans="1:29" ht="12.75" hidden="1" customHeight="1">
      <c r="A643" s="125" t="str">
        <f t="shared" si="66"/>
        <v>LIC162PAYABLE - WITHHOLD BROKERAGE</v>
      </c>
      <c r="B643" s="125">
        <f>+IFERROR(VLOOKUP(L643,'DB Mapping'!A:D,4,0),0)</f>
        <v>0</v>
      </c>
      <c r="C643" s="125">
        <f>+IFERROR(VLOOKUP(L643,'DB Mapping'!A:C,3,0),0)</f>
        <v>0</v>
      </c>
      <c r="D643" s="125" t="str">
        <f t="shared" si="67"/>
        <v>LIC1620</v>
      </c>
      <c r="E643" s="125" t="str">
        <f t="shared" si="68"/>
        <v>LIC1620</v>
      </c>
      <c r="F643" s="157" t="s">
        <v>34</v>
      </c>
      <c r="H643" s="122"/>
      <c r="I643" s="150" t="s">
        <v>287</v>
      </c>
      <c r="L643" s="212" t="s">
        <v>1745</v>
      </c>
      <c r="M643" s="212"/>
      <c r="N643" s="212" t="s">
        <v>1650</v>
      </c>
      <c r="Z643" s="213">
        <v>3708.8</v>
      </c>
      <c r="AA643" s="213">
        <v>0</v>
      </c>
      <c r="AB643" s="152">
        <f t="shared" si="69"/>
        <v>3.7088000000000003E-4</v>
      </c>
      <c r="AC643" s="122" t="s">
        <v>1837</v>
      </c>
    </row>
    <row r="644" spans="1:29" ht="12.75" hidden="1" customHeight="1">
      <c r="A644" s="125" t="str">
        <f t="shared" si="66"/>
        <v>LIC162UNIT CAPITAL - REGULAR DIV</v>
      </c>
      <c r="B644" s="125">
        <f>+IFERROR(VLOOKUP(L644,'DB Mapping'!A:D,4,0),0)</f>
        <v>0</v>
      </c>
      <c r="C644" s="125" t="str">
        <f>+IFERROR(VLOOKUP(L644,'DB Mapping'!A:C,3,0),0)</f>
        <v>Unit Capital</v>
      </c>
      <c r="D644" s="125" t="str">
        <f t="shared" si="67"/>
        <v>LIC1620</v>
      </c>
      <c r="E644" s="125" t="str">
        <f t="shared" si="68"/>
        <v>LIC162Unit Capital</v>
      </c>
      <c r="F644" s="157" t="s">
        <v>34</v>
      </c>
      <c r="H644" s="122"/>
      <c r="I644" s="150" t="s">
        <v>287</v>
      </c>
      <c r="L644" s="212" t="s">
        <v>1746</v>
      </c>
      <c r="M644" s="212"/>
      <c r="N644" s="212" t="s">
        <v>1651</v>
      </c>
      <c r="Z644" s="213">
        <v>0</v>
      </c>
      <c r="AA644" s="213">
        <v>9751934.6199999992</v>
      </c>
      <c r="AB644" s="152">
        <f t="shared" si="69"/>
        <v>-0.9751934619999999</v>
      </c>
      <c r="AC644" s="122" t="s">
        <v>1837</v>
      </c>
    </row>
    <row r="645" spans="1:29" ht="12.75" hidden="1" customHeight="1">
      <c r="A645" s="125" t="str">
        <f t="shared" si="66"/>
        <v>LIC162UNIT CAPITAL - REGULAR GROWTH</v>
      </c>
      <c r="B645" s="125">
        <f>+IFERROR(VLOOKUP(L645,'DB Mapping'!A:D,4,0),0)</f>
        <v>0</v>
      </c>
      <c r="C645" s="125" t="str">
        <f>+IFERROR(VLOOKUP(L645,'DB Mapping'!A:C,3,0),0)</f>
        <v>Unit Capital</v>
      </c>
      <c r="D645" s="125" t="str">
        <f t="shared" si="67"/>
        <v>LIC1620</v>
      </c>
      <c r="E645" s="125" t="str">
        <f t="shared" si="68"/>
        <v>LIC162Unit Capital</v>
      </c>
      <c r="F645" s="157" t="s">
        <v>34</v>
      </c>
      <c r="H645" s="122"/>
      <c r="I645" s="150" t="s">
        <v>287</v>
      </c>
      <c r="L645" s="212" t="s">
        <v>1747</v>
      </c>
      <c r="M645" s="212"/>
      <c r="N645" s="212" t="s">
        <v>1652</v>
      </c>
      <c r="Z645" s="213">
        <v>0</v>
      </c>
      <c r="AA645" s="213">
        <v>215276079.93000001</v>
      </c>
      <c r="AB645" s="152">
        <f t="shared" si="69"/>
        <v>-21.527607993</v>
      </c>
      <c r="AC645" s="122" t="s">
        <v>1837</v>
      </c>
    </row>
    <row r="646" spans="1:29" ht="12.75" hidden="1" customHeight="1">
      <c r="A646" s="125" t="str">
        <f t="shared" si="66"/>
        <v>LIC162UNIT CAPITAL - DIRECT DIVIDEND</v>
      </c>
      <c r="B646" s="125">
        <f>+IFERROR(VLOOKUP(L646,'DB Mapping'!A:D,4,0),0)</f>
        <v>0</v>
      </c>
      <c r="C646" s="125" t="str">
        <f>+IFERROR(VLOOKUP(L646,'DB Mapping'!A:C,3,0),0)</f>
        <v>Unit Capital</v>
      </c>
      <c r="D646" s="125" t="str">
        <f t="shared" si="67"/>
        <v>LIC1620</v>
      </c>
      <c r="E646" s="125" t="str">
        <f t="shared" si="68"/>
        <v>LIC162Unit Capital</v>
      </c>
      <c r="F646" s="157" t="s">
        <v>34</v>
      </c>
      <c r="H646" s="122"/>
      <c r="I646" s="150" t="s">
        <v>287</v>
      </c>
      <c r="L646" s="212" t="s">
        <v>1748</v>
      </c>
      <c r="M646" s="212"/>
      <c r="N646" s="212" t="s">
        <v>1653</v>
      </c>
      <c r="Z646" s="213">
        <v>0</v>
      </c>
      <c r="AA646" s="213">
        <v>40000</v>
      </c>
      <c r="AB646" s="152">
        <f t="shared" si="69"/>
        <v>-4.0000000000000001E-3</v>
      </c>
      <c r="AC646" s="122" t="s">
        <v>1837</v>
      </c>
    </row>
    <row r="647" spans="1:29" ht="12.75" hidden="1" customHeight="1">
      <c r="A647" s="125" t="str">
        <f t="shared" si="66"/>
        <v>LIC162UNIT CAPITAL - DIRECT GROWTH</v>
      </c>
      <c r="B647" s="125">
        <f>+IFERROR(VLOOKUP(L647,'DB Mapping'!A:D,4,0),0)</f>
        <v>0</v>
      </c>
      <c r="C647" s="125" t="str">
        <f>+IFERROR(VLOOKUP(L647,'DB Mapping'!A:C,3,0),0)</f>
        <v>Unit Capital</v>
      </c>
      <c r="D647" s="125" t="str">
        <f t="shared" si="67"/>
        <v>LIC1620</v>
      </c>
      <c r="E647" s="125" t="str">
        <f t="shared" si="68"/>
        <v>LIC162Unit Capital</v>
      </c>
      <c r="F647" s="157" t="s">
        <v>34</v>
      </c>
      <c r="H647" s="122"/>
      <c r="I647" s="150" t="s">
        <v>287</v>
      </c>
      <c r="L647" s="212" t="s">
        <v>1749</v>
      </c>
      <c r="M647" s="212"/>
      <c r="N647" s="212" t="s">
        <v>1654</v>
      </c>
      <c r="Z647" s="213">
        <v>0</v>
      </c>
      <c r="AA647" s="213">
        <v>101161401.34999999</v>
      </c>
      <c r="AB647" s="152">
        <f t="shared" si="69"/>
        <v>-10.116140135</v>
      </c>
      <c r="AC647" s="122" t="s">
        <v>1837</v>
      </c>
    </row>
    <row r="648" spans="1:29" ht="12.75" hidden="1" customHeight="1">
      <c r="A648" s="125" t="str">
        <f t="shared" si="66"/>
        <v>LIC162UPR - REGULAR GROWTH</v>
      </c>
      <c r="B648" s="125">
        <f>+IFERROR(VLOOKUP(L648,'DB Mapping'!A:D,4,0),0)</f>
        <v>0</v>
      </c>
      <c r="C648" s="125">
        <f>+IFERROR(VLOOKUP(L648,'DB Mapping'!A:C,3,0),0)</f>
        <v>0</v>
      </c>
      <c r="D648" s="125" t="str">
        <f t="shared" si="67"/>
        <v>LIC1620</v>
      </c>
      <c r="E648" s="125" t="str">
        <f t="shared" si="68"/>
        <v>LIC1620</v>
      </c>
      <c r="F648" s="157" t="s">
        <v>34</v>
      </c>
      <c r="H648" s="122"/>
      <c r="I648" s="150" t="s">
        <v>287</v>
      </c>
      <c r="L648" s="212" t="s">
        <v>1750</v>
      </c>
      <c r="M648" s="212"/>
      <c r="N648" s="212" t="s">
        <v>1655</v>
      </c>
      <c r="Z648" s="213">
        <v>4377.82</v>
      </c>
      <c r="AA648" s="213">
        <v>0</v>
      </c>
      <c r="AB648" s="152">
        <f t="shared" si="69"/>
        <v>4.3778199999999995E-4</v>
      </c>
      <c r="AC648" s="122" t="s">
        <v>1837</v>
      </c>
    </row>
    <row r="649" spans="1:29" ht="12.75" hidden="1" customHeight="1">
      <c r="A649" s="125" t="str">
        <f t="shared" si="66"/>
        <v>LIC162RESERVES &amp; SURPLUS</v>
      </c>
      <c r="B649" s="125">
        <f>+IFERROR(VLOOKUP(L649,'DB Mapping'!A:D,4,0),0)</f>
        <v>0</v>
      </c>
      <c r="C649" s="125">
        <f>+IFERROR(VLOOKUP(L649,'DB Mapping'!A:C,3,0),0)</f>
        <v>0</v>
      </c>
      <c r="D649" s="125" t="str">
        <f t="shared" si="67"/>
        <v>LIC1620</v>
      </c>
      <c r="E649" s="125" t="str">
        <f t="shared" si="68"/>
        <v>LIC1620</v>
      </c>
      <c r="F649" s="157" t="s">
        <v>34</v>
      </c>
      <c r="H649" s="122"/>
      <c r="I649" s="150" t="s">
        <v>287</v>
      </c>
      <c r="L649" s="212" t="s">
        <v>1752</v>
      </c>
      <c r="M649" s="212"/>
      <c r="N649" s="212" t="s">
        <v>1656</v>
      </c>
      <c r="Z649" s="213">
        <v>0</v>
      </c>
      <c r="AA649" s="213">
        <v>47072563.060000002</v>
      </c>
      <c r="AB649" s="152">
        <f t="shared" si="69"/>
        <v>-4.7072563060000006</v>
      </c>
      <c r="AC649" s="122" t="s">
        <v>1837</v>
      </c>
    </row>
    <row r="650" spans="1:29" ht="12.75" hidden="1" customHeight="1">
      <c r="A650" s="125" t="str">
        <f t="shared" si="66"/>
        <v>LIC162DIV DISTRIBUTION - REGULAR DIV</v>
      </c>
      <c r="B650" s="125">
        <f>+IFERROR(VLOOKUP(L650,'DB Mapping'!A:D,4,0),0)</f>
        <v>0</v>
      </c>
      <c r="C650" s="125">
        <f>+IFERROR(VLOOKUP(L650,'DB Mapping'!A:C,3,0),0)</f>
        <v>0</v>
      </c>
      <c r="D650" s="125" t="str">
        <f t="shared" si="67"/>
        <v>LIC1620</v>
      </c>
      <c r="E650" s="125" t="str">
        <f t="shared" si="68"/>
        <v>LIC1620</v>
      </c>
      <c r="F650" s="157" t="s">
        <v>34</v>
      </c>
      <c r="H650" s="122"/>
      <c r="I650" s="150" t="s">
        <v>287</v>
      </c>
      <c r="L650" s="212" t="s">
        <v>1753</v>
      </c>
      <c r="M650" s="212"/>
      <c r="N650" s="212" t="s">
        <v>1657</v>
      </c>
      <c r="Z650" s="213">
        <v>1517974.68</v>
      </c>
      <c r="AA650" s="213">
        <v>0</v>
      </c>
      <c r="AB650" s="152">
        <f t="shared" si="69"/>
        <v>0.15179746799999999</v>
      </c>
      <c r="AC650" s="122" t="s">
        <v>1837</v>
      </c>
    </row>
    <row r="651" spans="1:29" ht="12.75" hidden="1" customHeight="1">
      <c r="A651" s="125" t="str">
        <f t="shared" si="66"/>
        <v>LIC162DIV DISTRIBUTION - DIRECT DIVIDEND</v>
      </c>
      <c r="B651" s="125">
        <f>+IFERROR(VLOOKUP(L651,'DB Mapping'!A:D,4,0),0)</f>
        <v>0</v>
      </c>
      <c r="C651" s="125">
        <f>+IFERROR(VLOOKUP(L651,'DB Mapping'!A:C,3,0),0)</f>
        <v>0</v>
      </c>
      <c r="D651" s="125" t="str">
        <f t="shared" si="67"/>
        <v>LIC1620</v>
      </c>
      <c r="E651" s="125" t="str">
        <f t="shared" si="68"/>
        <v>LIC1620</v>
      </c>
      <c r="F651" s="157" t="s">
        <v>34</v>
      </c>
      <c r="H651" s="122"/>
      <c r="I651" s="150" t="s">
        <v>287</v>
      </c>
      <c r="L651" s="212" t="s">
        <v>1754</v>
      </c>
      <c r="M651" s="212"/>
      <c r="N651" s="212" t="s">
        <v>1658</v>
      </c>
      <c r="Z651" s="213">
        <v>6458.14</v>
      </c>
      <c r="AA651" s="213">
        <v>0</v>
      </c>
      <c r="AB651" s="152">
        <f t="shared" si="69"/>
        <v>6.4581399999999998E-4</v>
      </c>
      <c r="AC651" s="122" t="s">
        <v>1837</v>
      </c>
    </row>
    <row r="652" spans="1:29" ht="12.75" hidden="1" customHeight="1">
      <c r="A652" s="125" t="str">
        <f t="shared" si="66"/>
        <v>LIC162DDT - REGULAR DIV</v>
      </c>
      <c r="B652" s="125">
        <f>+IFERROR(VLOOKUP(L652,'DB Mapping'!A:D,4,0),0)</f>
        <v>0</v>
      </c>
      <c r="C652" s="125">
        <f>+IFERROR(VLOOKUP(L652,'DB Mapping'!A:C,3,0),0)</f>
        <v>0</v>
      </c>
      <c r="D652" s="125" t="str">
        <f t="shared" si="67"/>
        <v>LIC1620</v>
      </c>
      <c r="E652" s="125" t="str">
        <f t="shared" si="68"/>
        <v>LIC1620</v>
      </c>
      <c r="F652" s="157" t="s">
        <v>34</v>
      </c>
      <c r="H652" s="122"/>
      <c r="I652" s="150" t="s">
        <v>287</v>
      </c>
      <c r="L652" s="212" t="s">
        <v>1755</v>
      </c>
      <c r="M652" s="212"/>
      <c r="N652" s="212" t="s">
        <v>1659</v>
      </c>
      <c r="Z652" s="213">
        <v>599676</v>
      </c>
      <c r="AA652" s="213">
        <v>0</v>
      </c>
      <c r="AB652" s="152">
        <f t="shared" si="69"/>
        <v>5.9967600000000003E-2</v>
      </c>
      <c r="AC652" s="122" t="s">
        <v>1837</v>
      </c>
    </row>
    <row r="653" spans="1:29" ht="12.75" hidden="1" customHeight="1">
      <c r="A653" s="125" t="str">
        <f t="shared" si="66"/>
        <v>LIC162DDT - DIRECT DIVIDEND</v>
      </c>
      <c r="B653" s="125">
        <f>+IFERROR(VLOOKUP(L653,'DB Mapping'!A:D,4,0),0)</f>
        <v>0</v>
      </c>
      <c r="C653" s="125">
        <f>+IFERROR(VLOOKUP(L653,'DB Mapping'!A:C,3,0),0)</f>
        <v>0</v>
      </c>
      <c r="D653" s="125" t="str">
        <f t="shared" si="67"/>
        <v>LIC1620</v>
      </c>
      <c r="E653" s="125" t="str">
        <f t="shared" si="68"/>
        <v>LIC1620</v>
      </c>
      <c r="F653" s="157" t="s">
        <v>34</v>
      </c>
      <c r="H653" s="122"/>
      <c r="I653" s="150" t="s">
        <v>287</v>
      </c>
      <c r="L653" s="212" t="s">
        <v>1756</v>
      </c>
      <c r="M653" s="212"/>
      <c r="N653" s="212" t="s">
        <v>1660</v>
      </c>
      <c r="Z653" s="213">
        <v>2484</v>
      </c>
      <c r="AA653" s="213">
        <v>0</v>
      </c>
      <c r="AB653" s="152">
        <f t="shared" si="69"/>
        <v>2.4840000000000002E-4</v>
      </c>
      <c r="AC653" s="122" t="s">
        <v>1837</v>
      </c>
    </row>
    <row r="654" spans="1:29" ht="12.75" hidden="1" customHeight="1">
      <c r="A654" s="125" t="str">
        <f t="shared" si="66"/>
        <v>LIC162UNREALISED GAIN/LOSS - EQUITIES</v>
      </c>
      <c r="B654" s="125">
        <f>+IFERROR(VLOOKUP(L654,'DB Mapping'!A:D,4,0),0)</f>
        <v>0</v>
      </c>
      <c r="C654" s="125">
        <f>+IFERROR(VLOOKUP(L654,'DB Mapping'!A:C,3,0),0)</f>
        <v>0</v>
      </c>
      <c r="D654" s="125" t="str">
        <f t="shared" si="67"/>
        <v>LIC1620</v>
      </c>
      <c r="E654" s="125" t="str">
        <f t="shared" si="68"/>
        <v>LIC1620</v>
      </c>
      <c r="F654" s="157" t="s">
        <v>34</v>
      </c>
      <c r="H654" s="122"/>
      <c r="I654" s="150" t="s">
        <v>287</v>
      </c>
      <c r="L654" s="212" t="s">
        <v>1831</v>
      </c>
      <c r="M654" s="212"/>
      <c r="N654" s="212" t="s">
        <v>1661</v>
      </c>
      <c r="Z654" s="213">
        <v>0</v>
      </c>
      <c r="AA654" s="213">
        <v>0</v>
      </c>
      <c r="AB654" s="152">
        <f t="shared" si="69"/>
        <v>0</v>
      </c>
      <c r="AC654" s="122" t="s">
        <v>1837</v>
      </c>
    </row>
    <row r="655" spans="1:29" ht="12.75" hidden="1" customHeight="1">
      <c r="A655" s="125" t="str">
        <f t="shared" si="66"/>
        <v>LIC162UNREALISED GAIN/LOSS - DEBENTURES</v>
      </c>
      <c r="B655" s="125">
        <f>+IFERROR(VLOOKUP(L655,'DB Mapping'!A:D,4,0),0)</f>
        <v>0</v>
      </c>
      <c r="C655" s="125">
        <f>+IFERROR(VLOOKUP(L655,'DB Mapping'!A:C,3,0),0)</f>
        <v>0</v>
      </c>
      <c r="D655" s="125" t="str">
        <f t="shared" si="67"/>
        <v>LIC1620</v>
      </c>
      <c r="E655" s="125" t="str">
        <f t="shared" si="68"/>
        <v>LIC1620</v>
      </c>
      <c r="F655" s="157" t="s">
        <v>34</v>
      </c>
      <c r="H655" s="122"/>
      <c r="I655" s="150" t="s">
        <v>287</v>
      </c>
      <c r="L655" s="212" t="s">
        <v>1820</v>
      </c>
      <c r="M655" s="212"/>
      <c r="N655" s="212" t="s">
        <v>1662</v>
      </c>
      <c r="Z655" s="213">
        <v>0</v>
      </c>
      <c r="AA655" s="213">
        <v>0</v>
      </c>
      <c r="AB655" s="152">
        <f t="shared" si="69"/>
        <v>0</v>
      </c>
      <c r="AC655" s="122" t="s">
        <v>1837</v>
      </c>
    </row>
    <row r="656" spans="1:29" ht="12.75" hidden="1" customHeight="1">
      <c r="A656" s="125" t="str">
        <f t="shared" si="66"/>
        <v>LIC162DIVIDEND INCOME - EQUITIES</v>
      </c>
      <c r="B656" s="125">
        <f>+IFERROR(VLOOKUP(L656,'DB Mapping'!A:D,4,0),0)</f>
        <v>0</v>
      </c>
      <c r="C656" s="125">
        <f>+IFERROR(VLOOKUP(L656,'DB Mapping'!A:C,3,0),0)</f>
        <v>5.0999999999999996</v>
      </c>
      <c r="D656" s="125" t="str">
        <f t="shared" si="67"/>
        <v>LIC1620</v>
      </c>
      <c r="E656" s="125" t="str">
        <f t="shared" si="68"/>
        <v>LIC1625.1</v>
      </c>
      <c r="F656" s="157" t="s">
        <v>34</v>
      </c>
      <c r="H656" s="122"/>
      <c r="I656" s="150" t="s">
        <v>287</v>
      </c>
      <c r="L656" s="212" t="s">
        <v>1832</v>
      </c>
      <c r="M656" s="212"/>
      <c r="N656" s="212" t="s">
        <v>1663</v>
      </c>
      <c r="Z656" s="213">
        <v>0</v>
      </c>
      <c r="AA656" s="213">
        <v>607907.44999999995</v>
      </c>
      <c r="AB656" s="152">
        <f t="shared" si="69"/>
        <v>-6.0790744999999993E-2</v>
      </c>
      <c r="AC656" s="122" t="s">
        <v>1837</v>
      </c>
    </row>
    <row r="657" spans="1:29" ht="12.75" hidden="1" customHeight="1">
      <c r="A657" s="125" t="str">
        <f t="shared" si="66"/>
        <v>LIC162INTEREST INCOME - DEBENTURES</v>
      </c>
      <c r="B657" s="125">
        <f>+IFERROR(VLOOKUP(L657,'DB Mapping'!A:D,4,0),0)</f>
        <v>0</v>
      </c>
      <c r="C657" s="125">
        <f>+IFERROR(VLOOKUP(L657,'DB Mapping'!A:C,3,0),0)</f>
        <v>5.2</v>
      </c>
      <c r="D657" s="125" t="str">
        <f t="shared" si="67"/>
        <v>LIC1620</v>
      </c>
      <c r="E657" s="125" t="str">
        <f t="shared" si="68"/>
        <v>LIC1625.2</v>
      </c>
      <c r="F657" s="157" t="s">
        <v>34</v>
      </c>
      <c r="H657" s="122"/>
      <c r="I657" s="150" t="s">
        <v>287</v>
      </c>
      <c r="L657" s="212" t="s">
        <v>1822</v>
      </c>
      <c r="M657" s="212"/>
      <c r="N657" s="212" t="s">
        <v>1664</v>
      </c>
      <c r="Z657" s="213">
        <v>0</v>
      </c>
      <c r="AA657" s="213">
        <v>11087074.710000001</v>
      </c>
      <c r="AB657" s="152">
        <f t="shared" si="69"/>
        <v>-1.108707471</v>
      </c>
      <c r="AC657" s="122" t="s">
        <v>1837</v>
      </c>
    </row>
    <row r="658" spans="1:29" ht="12.75" hidden="1" customHeight="1">
      <c r="A658" s="125" t="str">
        <f t="shared" si="66"/>
        <v>LIC162INTEREST INCOME - REPO TRANSACTIONS</v>
      </c>
      <c r="B658" s="125">
        <f>+IFERROR(VLOOKUP(L658,'DB Mapping'!A:D,4,0),0)</f>
        <v>0</v>
      </c>
      <c r="C658" s="125">
        <f>+IFERROR(VLOOKUP(L658,'DB Mapping'!A:C,3,0),0)</f>
        <v>5.2</v>
      </c>
      <c r="D658" s="125" t="str">
        <f t="shared" si="67"/>
        <v>LIC1620</v>
      </c>
      <c r="E658" s="125" t="str">
        <f t="shared" si="68"/>
        <v>LIC1625.2</v>
      </c>
      <c r="F658" s="157" t="s">
        <v>34</v>
      </c>
      <c r="H658" s="122"/>
      <c r="I658" s="150" t="s">
        <v>287</v>
      </c>
      <c r="L658" s="212" t="s">
        <v>1803</v>
      </c>
      <c r="M658" s="212"/>
      <c r="N658" s="212" t="s">
        <v>1665</v>
      </c>
      <c r="Z658" s="213">
        <v>0</v>
      </c>
      <c r="AA658" s="213">
        <v>289601.33</v>
      </c>
      <c r="AB658" s="152">
        <f t="shared" si="69"/>
        <v>-2.8960133000000002E-2</v>
      </c>
      <c r="AC658" s="122" t="s">
        <v>1837</v>
      </c>
    </row>
    <row r="659" spans="1:29" ht="12.75" hidden="1" customHeight="1">
      <c r="A659" s="125" t="str">
        <f t="shared" si="66"/>
        <v>LIC162PROFIT ON SALE - EQUITIES</v>
      </c>
      <c r="B659" s="125">
        <f>+IFERROR(VLOOKUP(L659,'DB Mapping'!A:D,4,0),0)</f>
        <v>0</v>
      </c>
      <c r="C659" s="125">
        <f>+IFERROR(VLOOKUP(L659,'DB Mapping'!A:C,3,0),0)</f>
        <v>5.3</v>
      </c>
      <c r="D659" s="125" t="str">
        <f t="shared" si="67"/>
        <v>LIC1620</v>
      </c>
      <c r="E659" s="125" t="str">
        <f t="shared" si="68"/>
        <v>LIC1625.3</v>
      </c>
      <c r="F659" s="157" t="s">
        <v>34</v>
      </c>
      <c r="H659" s="122"/>
      <c r="I659" s="150" t="s">
        <v>287</v>
      </c>
      <c r="L659" s="212" t="s">
        <v>1833</v>
      </c>
      <c r="M659" s="212"/>
      <c r="N659" s="212" t="s">
        <v>1666</v>
      </c>
      <c r="Z659" s="213">
        <v>0</v>
      </c>
      <c r="AA659" s="213">
        <v>18131568.390000001</v>
      </c>
      <c r="AB659" s="152">
        <f t="shared" si="69"/>
        <v>-1.8131568390000001</v>
      </c>
      <c r="AC659" s="122" t="s">
        <v>1837</v>
      </c>
    </row>
    <row r="660" spans="1:29" ht="12.75" hidden="1" customHeight="1">
      <c r="A660" s="125" t="str">
        <f t="shared" si="66"/>
        <v>LIC162AMORTISATION INCOME - CBLO</v>
      </c>
      <c r="B660" s="125">
        <f>+IFERROR(VLOOKUP(L660,'DB Mapping'!A:D,4,0),0)</f>
        <v>0</v>
      </c>
      <c r="C660" s="125">
        <f>+IFERROR(VLOOKUP(L660,'DB Mapping'!A:C,3,0),0)</f>
        <v>5.2</v>
      </c>
      <c r="D660" s="125" t="str">
        <f t="shared" si="67"/>
        <v>LIC1620</v>
      </c>
      <c r="E660" s="125" t="str">
        <f t="shared" si="68"/>
        <v>LIC1625.2</v>
      </c>
      <c r="F660" s="157" t="s">
        <v>34</v>
      </c>
      <c r="H660" s="122"/>
      <c r="I660" s="150" t="s">
        <v>287</v>
      </c>
      <c r="L660" s="212" t="s">
        <v>1757</v>
      </c>
      <c r="M660" s="212"/>
      <c r="N660" s="212" t="s">
        <v>1667</v>
      </c>
      <c r="Z660" s="213">
        <v>0</v>
      </c>
      <c r="AA660" s="213">
        <v>5261339</v>
      </c>
      <c r="AB660" s="152">
        <f t="shared" si="69"/>
        <v>-0.52613390000000004</v>
      </c>
      <c r="AC660" s="122" t="s">
        <v>1837</v>
      </c>
    </row>
    <row r="661" spans="1:29" ht="12.75" hidden="1" customHeight="1">
      <c r="A661" s="125" t="str">
        <f t="shared" si="66"/>
        <v>LIC162MISCELLEANOUS INCOME</v>
      </c>
      <c r="B661" s="125">
        <f>+IFERROR(VLOOKUP(L661,'DB Mapping'!A:D,4,0),0)</f>
        <v>0</v>
      </c>
      <c r="C661" s="125">
        <f>+IFERROR(VLOOKUP(L661,'DB Mapping'!A:C,3,0),0)</f>
        <v>5.5</v>
      </c>
      <c r="D661" s="125" t="str">
        <f t="shared" si="67"/>
        <v>LIC1620</v>
      </c>
      <c r="E661" s="125" t="str">
        <f t="shared" si="68"/>
        <v>LIC1625.5</v>
      </c>
      <c r="F661" s="157" t="s">
        <v>34</v>
      </c>
      <c r="H661" s="122"/>
      <c r="I661" s="150" t="s">
        <v>287</v>
      </c>
      <c r="L661" s="212" t="s">
        <v>1759</v>
      </c>
      <c r="M661" s="212"/>
      <c r="N661" s="212" t="s">
        <v>1668</v>
      </c>
      <c r="Z661" s="213">
        <v>0</v>
      </c>
      <c r="AA661" s="213">
        <v>583.07000000000005</v>
      </c>
      <c r="AB661" s="152">
        <f t="shared" si="69"/>
        <v>-5.8307000000000003E-5</v>
      </c>
      <c r="AC661" s="122" t="s">
        <v>1837</v>
      </c>
    </row>
    <row r="662" spans="1:29" ht="12.75" hidden="1" customHeight="1">
      <c r="A662" s="125" t="str">
        <f t="shared" si="66"/>
        <v>LIC162LOSS ON SALE - EQUITIES</v>
      </c>
      <c r="B662" s="125">
        <f>+IFERROR(VLOOKUP(L662,'DB Mapping'!A:D,4,0),0)</f>
        <v>0</v>
      </c>
      <c r="C662" s="125">
        <f>+IFERROR(VLOOKUP(L662,'DB Mapping'!A:C,3,0),0)</f>
        <v>5.3</v>
      </c>
      <c r="D662" s="125" t="str">
        <f t="shared" si="67"/>
        <v>LIC1620</v>
      </c>
      <c r="E662" s="125" t="str">
        <f t="shared" si="68"/>
        <v>LIC1625.3</v>
      </c>
      <c r="F662" s="157" t="s">
        <v>34</v>
      </c>
      <c r="H662" s="122"/>
      <c r="I662" s="150" t="s">
        <v>287</v>
      </c>
      <c r="L662" s="212" t="s">
        <v>1835</v>
      </c>
      <c r="M662" s="212"/>
      <c r="N662" s="212" t="s">
        <v>1669</v>
      </c>
      <c r="Z662" s="213">
        <v>2838672.94</v>
      </c>
      <c r="AA662" s="213">
        <v>0</v>
      </c>
      <c r="AB662" s="152">
        <f t="shared" si="69"/>
        <v>0.28386729399999999</v>
      </c>
      <c r="AC662" s="122" t="s">
        <v>1837</v>
      </c>
    </row>
    <row r="663" spans="1:29" ht="12.75" hidden="1" customHeight="1">
      <c r="A663" s="125" t="str">
        <f t="shared" si="66"/>
        <v>LIC162LOSS ON SALE - DEBENTURES</v>
      </c>
      <c r="B663" s="125">
        <f>+IFERROR(VLOOKUP(L663,'DB Mapping'!A:D,4,0),0)</f>
        <v>0</v>
      </c>
      <c r="C663" s="125">
        <f>+IFERROR(VLOOKUP(L663,'DB Mapping'!A:C,3,0),0)</f>
        <v>5.3</v>
      </c>
      <c r="D663" s="125" t="str">
        <f t="shared" si="67"/>
        <v>LIC1620</v>
      </c>
      <c r="E663" s="125" t="str">
        <f t="shared" si="68"/>
        <v>LIC1625.3</v>
      </c>
      <c r="F663" s="157" t="s">
        <v>34</v>
      </c>
      <c r="H663" s="122"/>
      <c r="I663" s="150" t="s">
        <v>287</v>
      </c>
      <c r="L663" s="212" t="s">
        <v>1824</v>
      </c>
      <c r="M663" s="212"/>
      <c r="N663" s="212" t="s">
        <v>1670</v>
      </c>
      <c r="Z663" s="213">
        <v>14050</v>
      </c>
      <c r="AA663" s="213">
        <v>0</v>
      </c>
      <c r="AB663" s="152">
        <f t="shared" si="69"/>
        <v>1.405E-3</v>
      </c>
      <c r="AC663" s="122" t="s">
        <v>1837</v>
      </c>
    </row>
    <row r="664" spans="1:29" ht="12.75" hidden="1" customHeight="1">
      <c r="A664" s="125" t="str">
        <f t="shared" ref="A664:A688" si="70">+F664&amp;N664</f>
        <v>LIC162LOSS ON REDEMPTION - DEBENTURES</v>
      </c>
      <c r="B664" s="125">
        <f>+IFERROR(VLOOKUP(L664,'DB Mapping'!A:D,4,0),0)</f>
        <v>0</v>
      </c>
      <c r="C664" s="125">
        <f>+IFERROR(VLOOKUP(L664,'DB Mapping'!A:C,3,0),0)</f>
        <v>5.3</v>
      </c>
      <c r="D664" s="125" t="str">
        <f t="shared" ref="D664:D688" si="71">+F664&amp;B664</f>
        <v>LIC1620</v>
      </c>
      <c r="E664" s="125" t="str">
        <f t="shared" ref="E664:E688" si="72">+F664&amp;C664</f>
        <v>LIC1625.3</v>
      </c>
      <c r="F664" s="157" t="s">
        <v>34</v>
      </c>
      <c r="H664" s="122"/>
      <c r="I664" s="150" t="s">
        <v>287</v>
      </c>
      <c r="L664" s="212" t="s">
        <v>1825</v>
      </c>
      <c r="M664" s="212"/>
      <c r="N664" s="212" t="s">
        <v>1671</v>
      </c>
      <c r="Z664" s="213">
        <v>1368734</v>
      </c>
      <c r="AA664" s="213">
        <v>0</v>
      </c>
      <c r="AB664" s="152">
        <f t="shared" ref="AB664:AB688" si="73">+(Z664-AA664)/10000000</f>
        <v>0.13687340000000001</v>
      </c>
      <c r="AC664" s="122" t="s">
        <v>1837</v>
      </c>
    </row>
    <row r="665" spans="1:29" ht="12.75" hidden="1" customHeight="1">
      <c r="A665" s="125" t="str">
        <f t="shared" si="70"/>
        <v>LIC162MANAGEMENT FEES - REGULAR DIV</v>
      </c>
      <c r="B665" s="125">
        <f>+IFERROR(VLOOKUP(L665,'DB Mapping'!A:D,4,0),0)</f>
        <v>6.1</v>
      </c>
      <c r="C665" s="125">
        <f>+IFERROR(VLOOKUP(L665,'DB Mapping'!A:C,3,0),0)</f>
        <v>6.3</v>
      </c>
      <c r="D665" s="125" t="str">
        <f t="shared" si="71"/>
        <v>LIC1626.1</v>
      </c>
      <c r="E665" s="125" t="str">
        <f t="shared" si="72"/>
        <v>LIC1626.3</v>
      </c>
      <c r="F665" s="157" t="s">
        <v>34</v>
      </c>
      <c r="H665" s="122"/>
      <c r="I665" s="150" t="s">
        <v>287</v>
      </c>
      <c r="L665" s="212" t="s">
        <v>1805</v>
      </c>
      <c r="M665" s="212"/>
      <c r="N665" s="212" t="s">
        <v>1672</v>
      </c>
      <c r="Z665" s="213">
        <v>161082.03</v>
      </c>
      <c r="AA665" s="213">
        <v>0</v>
      </c>
      <c r="AB665" s="152">
        <f t="shared" si="73"/>
        <v>1.6108203000000001E-2</v>
      </c>
      <c r="AC665" s="122" t="s">
        <v>1837</v>
      </c>
    </row>
    <row r="666" spans="1:29" ht="12.75" hidden="1" customHeight="1">
      <c r="A666" s="125" t="str">
        <f t="shared" si="70"/>
        <v>LIC162MANAGEMENT FEES - REGULAR GROWTH</v>
      </c>
      <c r="B666" s="125">
        <f>+IFERROR(VLOOKUP(L666,'DB Mapping'!A:D,4,0),0)</f>
        <v>6.1</v>
      </c>
      <c r="C666" s="125">
        <f>+IFERROR(VLOOKUP(L666,'DB Mapping'!A:C,3,0),0)</f>
        <v>6.3</v>
      </c>
      <c r="D666" s="125" t="str">
        <f t="shared" si="71"/>
        <v>LIC1626.1</v>
      </c>
      <c r="E666" s="125" t="str">
        <f t="shared" si="72"/>
        <v>LIC1626.3</v>
      </c>
      <c r="F666" s="157" t="s">
        <v>34</v>
      </c>
      <c r="H666" s="122"/>
      <c r="I666" s="150" t="s">
        <v>287</v>
      </c>
      <c r="L666" s="212" t="s">
        <v>1806</v>
      </c>
      <c r="M666" s="212"/>
      <c r="N666" s="212" t="s">
        <v>1673</v>
      </c>
      <c r="Z666" s="213">
        <v>3555919.97</v>
      </c>
      <c r="AA666" s="213">
        <v>0</v>
      </c>
      <c r="AB666" s="152">
        <f t="shared" si="73"/>
        <v>0.35559199699999999</v>
      </c>
      <c r="AC666" s="122" t="s">
        <v>1837</v>
      </c>
    </row>
    <row r="667" spans="1:29" ht="12.75" hidden="1" customHeight="1">
      <c r="A667" s="125" t="str">
        <f t="shared" si="70"/>
        <v>LIC162MANAGEMENT FEES - DIRECT DIVIDEND</v>
      </c>
      <c r="B667" s="125">
        <f>+IFERROR(VLOOKUP(L667,'DB Mapping'!A:D,4,0),0)</f>
        <v>6.1</v>
      </c>
      <c r="C667" s="125">
        <f>+IFERROR(VLOOKUP(L667,'DB Mapping'!A:C,3,0),0)</f>
        <v>6.3</v>
      </c>
      <c r="D667" s="125" t="str">
        <f t="shared" si="71"/>
        <v>LIC1626.1</v>
      </c>
      <c r="E667" s="125" t="str">
        <f t="shared" si="72"/>
        <v>LIC1626.3</v>
      </c>
      <c r="F667" s="157" t="s">
        <v>34</v>
      </c>
      <c r="H667" s="122"/>
      <c r="I667" s="150" t="s">
        <v>287</v>
      </c>
      <c r="L667" s="212" t="s">
        <v>1807</v>
      </c>
      <c r="M667" s="212"/>
      <c r="N667" s="212" t="s">
        <v>1674</v>
      </c>
      <c r="Z667" s="213">
        <v>664.05</v>
      </c>
      <c r="AA667" s="213">
        <v>0</v>
      </c>
      <c r="AB667" s="152">
        <f t="shared" si="73"/>
        <v>6.6404999999999999E-5</v>
      </c>
      <c r="AC667" s="122" t="s">
        <v>1837</v>
      </c>
    </row>
    <row r="668" spans="1:29" ht="12.75" hidden="1" customHeight="1">
      <c r="A668" s="125" t="str">
        <f t="shared" si="70"/>
        <v>LIC162MANAGEMENT FEES - DIRECT GROWTH</v>
      </c>
      <c r="B668" s="125">
        <f>+IFERROR(VLOOKUP(L668,'DB Mapping'!A:D,4,0),0)</f>
        <v>6.1</v>
      </c>
      <c r="C668" s="125">
        <f>+IFERROR(VLOOKUP(L668,'DB Mapping'!A:C,3,0),0)</f>
        <v>6.3</v>
      </c>
      <c r="D668" s="125" t="str">
        <f t="shared" si="71"/>
        <v>LIC1626.1</v>
      </c>
      <c r="E668" s="125" t="str">
        <f t="shared" si="72"/>
        <v>LIC1626.3</v>
      </c>
      <c r="F668" s="157" t="s">
        <v>34</v>
      </c>
      <c r="H668" s="122"/>
      <c r="I668" s="150" t="s">
        <v>287</v>
      </c>
      <c r="L668" s="212" t="s">
        <v>1808</v>
      </c>
      <c r="M668" s="212"/>
      <c r="N668" s="212" t="s">
        <v>1675</v>
      </c>
      <c r="Z668" s="213">
        <v>1679460.13</v>
      </c>
      <c r="AA668" s="213">
        <v>0</v>
      </c>
      <c r="AB668" s="152">
        <f t="shared" si="73"/>
        <v>0.16794601299999998</v>
      </c>
      <c r="AC668" s="122" t="s">
        <v>1837</v>
      </c>
    </row>
    <row r="669" spans="1:29" ht="12.75" hidden="1" customHeight="1">
      <c r="A669" s="125" t="str">
        <f t="shared" si="70"/>
        <v>LIC162OTHER FEES - REGULAR DIV</v>
      </c>
      <c r="B669" s="125">
        <f>+IFERROR(VLOOKUP(L669,'DB Mapping'!A:D,4,0),0)</f>
        <v>0</v>
      </c>
      <c r="C669" s="125">
        <f>+IFERROR(VLOOKUP(L669,'DB Mapping'!A:C,3,0),0)</f>
        <v>6.3</v>
      </c>
      <c r="D669" s="125" t="str">
        <f t="shared" si="71"/>
        <v>LIC1620</v>
      </c>
      <c r="E669" s="125" t="str">
        <f t="shared" si="72"/>
        <v>LIC1626.3</v>
      </c>
      <c r="F669" s="157" t="s">
        <v>34</v>
      </c>
      <c r="H669" s="122"/>
      <c r="I669" s="150" t="s">
        <v>287</v>
      </c>
      <c r="L669" s="212" t="s">
        <v>1762</v>
      </c>
      <c r="M669" s="212"/>
      <c r="N669" s="212" t="s">
        <v>1676</v>
      </c>
      <c r="Z669" s="213">
        <v>10116.76</v>
      </c>
      <c r="AA669" s="213">
        <v>0</v>
      </c>
      <c r="AB669" s="152">
        <f t="shared" si="73"/>
        <v>1.011676E-3</v>
      </c>
      <c r="AC669" s="122" t="s">
        <v>1837</v>
      </c>
    </row>
    <row r="670" spans="1:29" ht="12.75" hidden="1" customHeight="1">
      <c r="A670" s="125" t="str">
        <f t="shared" si="70"/>
        <v>LIC162OTHER FEES - REGULAR GROWTH</v>
      </c>
      <c r="B670" s="125">
        <f>+IFERROR(VLOOKUP(L670,'DB Mapping'!A:D,4,0),0)</f>
        <v>0</v>
      </c>
      <c r="C670" s="125">
        <f>+IFERROR(VLOOKUP(L670,'DB Mapping'!A:C,3,0),0)</f>
        <v>6.3</v>
      </c>
      <c r="D670" s="125" t="str">
        <f t="shared" si="71"/>
        <v>LIC1620</v>
      </c>
      <c r="E670" s="125" t="str">
        <f t="shared" si="72"/>
        <v>LIC1626.3</v>
      </c>
      <c r="F670" s="157" t="s">
        <v>34</v>
      </c>
      <c r="H670" s="122"/>
      <c r="I670" s="150" t="s">
        <v>287</v>
      </c>
      <c r="L670" s="212" t="s">
        <v>1763</v>
      </c>
      <c r="M670" s="212"/>
      <c r="N670" s="212" t="s">
        <v>1677</v>
      </c>
      <c r="Z670" s="213">
        <v>223330.46</v>
      </c>
      <c r="AA670" s="213">
        <v>0</v>
      </c>
      <c r="AB670" s="152">
        <f t="shared" si="73"/>
        <v>2.2333045999999999E-2</v>
      </c>
      <c r="AC670" s="122" t="s">
        <v>1837</v>
      </c>
    </row>
    <row r="671" spans="1:29" ht="12.75" hidden="1" customHeight="1">
      <c r="A671" s="125" t="str">
        <f t="shared" si="70"/>
        <v>LIC162OTHER FEES - DIRECT DIVIDEND</v>
      </c>
      <c r="B671" s="125">
        <f>+IFERROR(VLOOKUP(L671,'DB Mapping'!A:D,4,0),0)</f>
        <v>0</v>
      </c>
      <c r="C671" s="125">
        <f>+IFERROR(VLOOKUP(L671,'DB Mapping'!A:C,3,0),0)</f>
        <v>6.3</v>
      </c>
      <c r="D671" s="125" t="str">
        <f t="shared" si="71"/>
        <v>LIC1620</v>
      </c>
      <c r="E671" s="125" t="str">
        <f t="shared" si="72"/>
        <v>LIC1626.3</v>
      </c>
      <c r="F671" s="157" t="s">
        <v>34</v>
      </c>
      <c r="H671" s="122"/>
      <c r="I671" s="150" t="s">
        <v>287</v>
      </c>
      <c r="L671" s="212" t="s">
        <v>1764</v>
      </c>
      <c r="M671" s="212"/>
      <c r="N671" s="212" t="s">
        <v>1678</v>
      </c>
      <c r="Z671" s="213">
        <v>41.48</v>
      </c>
      <c r="AA671" s="213">
        <v>0</v>
      </c>
      <c r="AB671" s="152">
        <f t="shared" si="73"/>
        <v>4.1479999999999999E-6</v>
      </c>
      <c r="AC671" s="122" t="s">
        <v>1837</v>
      </c>
    </row>
    <row r="672" spans="1:29" ht="12.75" hidden="1" customHeight="1">
      <c r="A672" s="125" t="str">
        <f t="shared" si="70"/>
        <v>LIC162OTHER FEES - DIRECT GROWTH</v>
      </c>
      <c r="B672" s="125">
        <f>+IFERROR(VLOOKUP(L672,'DB Mapping'!A:D,4,0),0)</f>
        <v>0</v>
      </c>
      <c r="C672" s="125">
        <f>+IFERROR(VLOOKUP(L672,'DB Mapping'!A:C,3,0),0)</f>
        <v>6.3</v>
      </c>
      <c r="D672" s="125" t="str">
        <f t="shared" si="71"/>
        <v>LIC1620</v>
      </c>
      <c r="E672" s="125" t="str">
        <f t="shared" si="72"/>
        <v>LIC1626.3</v>
      </c>
      <c r="F672" s="157" t="s">
        <v>34</v>
      </c>
      <c r="H672" s="122"/>
      <c r="I672" s="150" t="s">
        <v>287</v>
      </c>
      <c r="L672" s="212" t="s">
        <v>1765</v>
      </c>
      <c r="M672" s="212"/>
      <c r="N672" s="212" t="s">
        <v>1679</v>
      </c>
      <c r="Z672" s="213">
        <v>105478.98</v>
      </c>
      <c r="AA672" s="213">
        <v>0</v>
      </c>
      <c r="AB672" s="152">
        <f t="shared" si="73"/>
        <v>1.0547898E-2</v>
      </c>
      <c r="AC672" s="122" t="s">
        <v>1837</v>
      </c>
    </row>
    <row r="673" spans="1:29" ht="12.75" hidden="1" customHeight="1">
      <c r="A673" s="125" t="str">
        <f t="shared" si="70"/>
        <v>LIC162OTHER FEES (SELLING &amp; DISTRIBUTION)</v>
      </c>
      <c r="B673" s="125">
        <f>+IFERROR(VLOOKUP(L673,'DB Mapping'!A:D,4,0),0)</f>
        <v>0</v>
      </c>
      <c r="C673" s="125">
        <f>+IFERROR(VLOOKUP(L673,'DB Mapping'!A:C,3,0),0)</f>
        <v>6.3</v>
      </c>
      <c r="D673" s="125" t="str">
        <f t="shared" si="71"/>
        <v>LIC1620</v>
      </c>
      <c r="E673" s="125" t="str">
        <f t="shared" si="72"/>
        <v>LIC1626.3</v>
      </c>
      <c r="F673" s="157" t="s">
        <v>34</v>
      </c>
      <c r="H673" s="122"/>
      <c r="I673" s="150" t="s">
        <v>287</v>
      </c>
      <c r="L673" s="212" t="s">
        <v>1766</v>
      </c>
      <c r="M673" s="212"/>
      <c r="N673" s="212" t="s">
        <v>1680</v>
      </c>
      <c r="Z673" s="213">
        <v>674.43</v>
      </c>
      <c r="AA673" s="213">
        <v>0</v>
      </c>
      <c r="AB673" s="152">
        <f t="shared" si="73"/>
        <v>6.7442999999999998E-5</v>
      </c>
      <c r="AC673" s="122" t="s">
        <v>1837</v>
      </c>
    </row>
    <row r="674" spans="1:29" ht="12.75" hidden="1" customHeight="1">
      <c r="A674" s="125" t="str">
        <f t="shared" si="70"/>
        <v>LIC162SERVICE TAX - MANAGEMENT FEES</v>
      </c>
      <c r="B674" s="125">
        <f>+IFERROR(VLOOKUP(L674,'DB Mapping'!A:D,4,0),0)</f>
        <v>6.1</v>
      </c>
      <c r="C674" s="125">
        <f>+IFERROR(VLOOKUP(L674,'DB Mapping'!A:C,3,0),0)</f>
        <v>6.3</v>
      </c>
      <c r="D674" s="125" t="str">
        <f t="shared" si="71"/>
        <v>LIC1626.1</v>
      </c>
      <c r="E674" s="125" t="str">
        <f t="shared" si="72"/>
        <v>LIC1626.3</v>
      </c>
      <c r="F674" s="157" t="s">
        <v>34</v>
      </c>
      <c r="H674" s="122"/>
      <c r="I674" s="150" t="s">
        <v>287</v>
      </c>
      <c r="L674" s="212" t="s">
        <v>1809</v>
      </c>
      <c r="M674" s="212"/>
      <c r="N674" s="212" t="s">
        <v>1681</v>
      </c>
      <c r="Z674" s="213">
        <v>298629.76000000001</v>
      </c>
      <c r="AA674" s="213">
        <v>0</v>
      </c>
      <c r="AB674" s="152">
        <f t="shared" si="73"/>
        <v>2.9862975999999999E-2</v>
      </c>
      <c r="AC674" s="122" t="s">
        <v>1837</v>
      </c>
    </row>
    <row r="675" spans="1:29" ht="12.75" hidden="1" customHeight="1">
      <c r="A675" s="125" t="str">
        <f t="shared" si="70"/>
        <v>LIC162CGST EXPENSE</v>
      </c>
      <c r="B675" s="125">
        <f>+IFERROR(VLOOKUP(L675,'DB Mapping'!A:D,4,0),0)</f>
        <v>6.1</v>
      </c>
      <c r="C675" s="125">
        <f>+IFERROR(VLOOKUP(L675,'DB Mapping'!A:C,3,0),0)</f>
        <v>6.3</v>
      </c>
      <c r="D675" s="125" t="str">
        <f t="shared" si="71"/>
        <v>LIC1626.1</v>
      </c>
      <c r="E675" s="125" t="str">
        <f t="shared" si="72"/>
        <v>LIC1626.3</v>
      </c>
      <c r="F675" s="157" t="s">
        <v>34</v>
      </c>
      <c r="H675" s="122"/>
      <c r="I675" s="150" t="s">
        <v>287</v>
      </c>
      <c r="L675" s="212" t="s">
        <v>1767</v>
      </c>
      <c r="M675" s="212"/>
      <c r="N675" s="212" t="s">
        <v>1682</v>
      </c>
      <c r="Z675" s="213">
        <v>306563.8</v>
      </c>
      <c r="AA675" s="213">
        <v>0</v>
      </c>
      <c r="AB675" s="152">
        <f t="shared" si="73"/>
        <v>3.065638E-2</v>
      </c>
      <c r="AC675" s="122" t="s">
        <v>1837</v>
      </c>
    </row>
    <row r="676" spans="1:29" ht="12.75" hidden="1" customHeight="1">
      <c r="A676" s="125" t="str">
        <f t="shared" si="70"/>
        <v>LIC162SGST EXPENSE</v>
      </c>
      <c r="B676" s="125">
        <f>+IFERROR(VLOOKUP(L676,'DB Mapping'!A:D,4,0),0)</f>
        <v>6.1</v>
      </c>
      <c r="C676" s="125">
        <f>+IFERROR(VLOOKUP(L676,'DB Mapping'!A:C,3,0),0)</f>
        <v>6.3</v>
      </c>
      <c r="D676" s="125" t="str">
        <f t="shared" si="71"/>
        <v>LIC1626.1</v>
      </c>
      <c r="E676" s="125" t="str">
        <f t="shared" si="72"/>
        <v>LIC1626.3</v>
      </c>
      <c r="F676" s="157" t="s">
        <v>34</v>
      </c>
      <c r="H676" s="122"/>
      <c r="I676" s="150" t="s">
        <v>287</v>
      </c>
      <c r="L676" s="212" t="s">
        <v>1768</v>
      </c>
      <c r="M676" s="212"/>
      <c r="N676" s="212" t="s">
        <v>1683</v>
      </c>
      <c r="Z676" s="213">
        <v>306563.8</v>
      </c>
      <c r="AA676" s="213">
        <v>0</v>
      </c>
      <c r="AB676" s="152">
        <f t="shared" si="73"/>
        <v>3.065638E-2</v>
      </c>
      <c r="AC676" s="122" t="s">
        <v>1837</v>
      </c>
    </row>
    <row r="677" spans="1:29" ht="12.75" hidden="1" customHeight="1">
      <c r="A677" s="125" t="str">
        <f t="shared" si="70"/>
        <v>LIC162EXPENSE ALLOCATION ACCOUNT</v>
      </c>
      <c r="B677" s="125">
        <f>+IFERROR(VLOOKUP(L677,'DB Mapping'!A:D,4,0),0)</f>
        <v>0</v>
      </c>
      <c r="C677" s="125">
        <f>+IFERROR(VLOOKUP(L677,'DB Mapping'!A:C,3,0),0)</f>
        <v>6.3</v>
      </c>
      <c r="D677" s="125" t="str">
        <f t="shared" si="71"/>
        <v>LIC1620</v>
      </c>
      <c r="E677" s="125" t="str">
        <f t="shared" si="72"/>
        <v>LIC1626.3</v>
      </c>
      <c r="F677" s="157" t="s">
        <v>34</v>
      </c>
      <c r="H677" s="122"/>
      <c r="I677" s="150" t="s">
        <v>287</v>
      </c>
      <c r="L677" s="212" t="s">
        <v>1769</v>
      </c>
      <c r="M677" s="212"/>
      <c r="N677" s="212" t="s">
        <v>1684</v>
      </c>
      <c r="Z677" s="213">
        <v>0</v>
      </c>
      <c r="AA677" s="213">
        <v>119817.13</v>
      </c>
      <c r="AB677" s="152">
        <f t="shared" si="73"/>
        <v>-1.1981713E-2</v>
      </c>
      <c r="AC677" s="122" t="s">
        <v>1837</v>
      </c>
    </row>
    <row r="678" spans="1:29" ht="12.75" hidden="1" customHeight="1">
      <c r="A678" s="125" t="str">
        <f t="shared" si="70"/>
        <v>LIC162R&amp;T - OTHER CHARGES</v>
      </c>
      <c r="B678" s="125">
        <f>+IFERROR(VLOOKUP(L678,'DB Mapping'!A:D,4,0),0)</f>
        <v>0</v>
      </c>
      <c r="C678" s="125">
        <f>+IFERROR(VLOOKUP(L678,'DB Mapping'!A:C,3,0),0)</f>
        <v>6.3</v>
      </c>
      <c r="D678" s="125" t="str">
        <f t="shared" si="71"/>
        <v>LIC1620</v>
      </c>
      <c r="E678" s="125" t="str">
        <f t="shared" si="72"/>
        <v>LIC1626.3</v>
      </c>
      <c r="F678" s="157" t="s">
        <v>34</v>
      </c>
      <c r="H678" s="122"/>
      <c r="I678" s="150" t="s">
        <v>287</v>
      </c>
      <c r="L678" s="212" t="s">
        <v>1770</v>
      </c>
      <c r="M678" s="212"/>
      <c r="N678" s="212" t="s">
        <v>1685</v>
      </c>
      <c r="Z678" s="213">
        <v>4631.4799999999996</v>
      </c>
      <c r="AA678" s="213">
        <v>0</v>
      </c>
      <c r="AB678" s="152">
        <f t="shared" si="73"/>
        <v>4.6314799999999998E-4</v>
      </c>
      <c r="AC678" s="122" t="s">
        <v>1837</v>
      </c>
    </row>
    <row r="679" spans="1:29" ht="12.75" hidden="1" customHeight="1">
      <c r="A679" s="125" t="str">
        <f t="shared" si="70"/>
        <v>LIC162AUDIT FEES</v>
      </c>
      <c r="B679" s="125">
        <f>+IFERROR(VLOOKUP(L679,'DB Mapping'!A:D,4,0),0)</f>
        <v>0</v>
      </c>
      <c r="C679" s="125">
        <f>+IFERROR(VLOOKUP(L679,'DB Mapping'!A:C,3,0),0)</f>
        <v>6.3</v>
      </c>
      <c r="D679" s="125" t="str">
        <f t="shared" si="71"/>
        <v>LIC1620</v>
      </c>
      <c r="E679" s="125" t="str">
        <f t="shared" si="72"/>
        <v>LIC1626.3</v>
      </c>
      <c r="F679" s="157" t="s">
        <v>34</v>
      </c>
      <c r="H679" s="122"/>
      <c r="I679" s="150" t="s">
        <v>287</v>
      </c>
      <c r="L679" s="212" t="s">
        <v>1771</v>
      </c>
      <c r="M679" s="212"/>
      <c r="N679" s="212" t="s">
        <v>1686</v>
      </c>
      <c r="Z679" s="213">
        <v>531.48</v>
      </c>
      <c r="AA679" s="213">
        <v>0</v>
      </c>
      <c r="AB679" s="152">
        <f t="shared" si="73"/>
        <v>5.3148E-5</v>
      </c>
      <c r="AC679" s="122" t="s">
        <v>1837</v>
      </c>
    </row>
    <row r="680" spans="1:29" ht="12.75" hidden="1" customHeight="1">
      <c r="A680" s="125" t="str">
        <f t="shared" si="70"/>
        <v>LIC162CUSTODIAN FEE</v>
      </c>
      <c r="B680" s="125">
        <f>+IFERROR(VLOOKUP(L680,'DB Mapping'!A:D,4,0),0)</f>
        <v>0</v>
      </c>
      <c r="C680" s="125">
        <f>+IFERROR(VLOOKUP(L680,'DB Mapping'!A:C,3,0),0)</f>
        <v>6.3</v>
      </c>
      <c r="D680" s="125" t="str">
        <f t="shared" si="71"/>
        <v>LIC1620</v>
      </c>
      <c r="E680" s="125" t="str">
        <f t="shared" si="72"/>
        <v>LIC1626.3</v>
      </c>
      <c r="F680" s="157" t="s">
        <v>34</v>
      </c>
      <c r="H680" s="122"/>
      <c r="I680" s="150" t="s">
        <v>287</v>
      </c>
      <c r="L680" s="212" t="s">
        <v>1772</v>
      </c>
      <c r="M680" s="212"/>
      <c r="N680" s="212" t="s">
        <v>1687</v>
      </c>
      <c r="Z680" s="213">
        <v>18352.22</v>
      </c>
      <c r="AA680" s="213">
        <v>0</v>
      </c>
      <c r="AB680" s="152">
        <f t="shared" si="73"/>
        <v>1.8352220000000001E-3</v>
      </c>
      <c r="AC680" s="122" t="s">
        <v>1837</v>
      </c>
    </row>
    <row r="681" spans="1:29" ht="12.75" hidden="1" customHeight="1">
      <c r="A681" s="125" t="str">
        <f t="shared" si="70"/>
        <v>LIC162TRUSTEE FEES</v>
      </c>
      <c r="B681" s="125">
        <f>+IFERROR(VLOOKUP(L681,'DB Mapping'!A:D,4,0),0)</f>
        <v>6.2</v>
      </c>
      <c r="C681" s="125">
        <f>+IFERROR(VLOOKUP(L681,'DB Mapping'!A:C,3,0),0)</f>
        <v>6.3</v>
      </c>
      <c r="D681" s="125" t="str">
        <f t="shared" si="71"/>
        <v>LIC1626.2</v>
      </c>
      <c r="E681" s="125" t="str">
        <f t="shared" si="72"/>
        <v>LIC1626.3</v>
      </c>
      <c r="F681" s="157" t="s">
        <v>34</v>
      </c>
      <c r="H681" s="122"/>
      <c r="I681" s="150" t="s">
        <v>287</v>
      </c>
      <c r="L681" s="212" t="s">
        <v>1773</v>
      </c>
      <c r="M681" s="212"/>
      <c r="N681" s="212" t="s">
        <v>1688</v>
      </c>
      <c r="Z681" s="213">
        <v>2663.81</v>
      </c>
      <c r="AA681" s="213">
        <v>0</v>
      </c>
      <c r="AB681" s="152">
        <f t="shared" si="73"/>
        <v>2.66381E-4</v>
      </c>
      <c r="AC681" s="122" t="s">
        <v>1837</v>
      </c>
    </row>
    <row r="682" spans="1:29" ht="12.75" hidden="1" customHeight="1">
      <c r="A682" s="125" t="str">
        <f t="shared" si="70"/>
        <v>LIC162OTHER OPERATING EXPENSES</v>
      </c>
      <c r="B682" s="125">
        <f>+IFERROR(VLOOKUP(L682,'DB Mapping'!A:D,4,0),0)</f>
        <v>0</v>
      </c>
      <c r="C682" s="125">
        <f>+IFERROR(VLOOKUP(L682,'DB Mapping'!A:C,3,0),0)</f>
        <v>6.3</v>
      </c>
      <c r="D682" s="125" t="str">
        <f t="shared" si="71"/>
        <v>LIC1620</v>
      </c>
      <c r="E682" s="125" t="str">
        <f t="shared" si="72"/>
        <v>LIC1626.3</v>
      </c>
      <c r="F682" s="157" t="s">
        <v>34</v>
      </c>
      <c r="H682" s="122"/>
      <c r="I682" s="150" t="s">
        <v>287</v>
      </c>
      <c r="L682" s="212" t="s">
        <v>1774</v>
      </c>
      <c r="M682" s="212"/>
      <c r="N682" s="212" t="s">
        <v>1689</v>
      </c>
      <c r="Z682" s="213">
        <v>437.14</v>
      </c>
      <c r="AA682" s="213">
        <v>0</v>
      </c>
      <c r="AB682" s="152">
        <f t="shared" si="73"/>
        <v>4.3714000000000002E-5</v>
      </c>
      <c r="AC682" s="122" t="s">
        <v>1837</v>
      </c>
    </row>
    <row r="683" spans="1:29" ht="12.75" hidden="1" customHeight="1">
      <c r="A683" s="125" t="str">
        <f t="shared" si="70"/>
        <v>LIC162SEBI ANNUAL FEES EXPENSE</v>
      </c>
      <c r="B683" s="125">
        <f>+IFERROR(VLOOKUP(L683,'DB Mapping'!A:D,4,0),0)</f>
        <v>0</v>
      </c>
      <c r="C683" s="125">
        <f>+IFERROR(VLOOKUP(L683,'DB Mapping'!A:C,3,0),0)</f>
        <v>6.3</v>
      </c>
      <c r="D683" s="125" t="str">
        <f t="shared" si="71"/>
        <v>LIC1620</v>
      </c>
      <c r="E683" s="125" t="str">
        <f t="shared" si="72"/>
        <v>LIC1626.3</v>
      </c>
      <c r="F683" s="157" t="s">
        <v>34</v>
      </c>
      <c r="H683" s="122"/>
      <c r="I683" s="150" t="s">
        <v>287</v>
      </c>
      <c r="L683" s="212" t="s">
        <v>1775</v>
      </c>
      <c r="M683" s="212"/>
      <c r="N683" s="212" t="s">
        <v>1690</v>
      </c>
      <c r="Z683" s="213">
        <v>4794.76</v>
      </c>
      <c r="AA683" s="213">
        <v>0</v>
      </c>
      <c r="AB683" s="152">
        <f t="shared" si="73"/>
        <v>4.79476E-4</v>
      </c>
      <c r="AC683" s="122" t="s">
        <v>1837</v>
      </c>
    </row>
    <row r="684" spans="1:29" ht="12.75" hidden="1" customHeight="1">
      <c r="A684" s="125" t="str">
        <f t="shared" si="70"/>
        <v>LIC162CCIL CHARGES</v>
      </c>
      <c r="B684" s="125">
        <f>+IFERROR(VLOOKUP(L684,'DB Mapping'!A:D,4,0),0)</f>
        <v>0</v>
      </c>
      <c r="C684" s="125">
        <f>+IFERROR(VLOOKUP(L684,'DB Mapping'!A:C,3,0),0)</f>
        <v>6.3</v>
      </c>
      <c r="D684" s="125" t="str">
        <f t="shared" si="71"/>
        <v>LIC1620</v>
      </c>
      <c r="E684" s="125" t="str">
        <f t="shared" si="72"/>
        <v>LIC1626.3</v>
      </c>
      <c r="F684" s="157" t="s">
        <v>34</v>
      </c>
      <c r="H684" s="122"/>
      <c r="I684" s="150" t="s">
        <v>287</v>
      </c>
      <c r="L684" s="212" t="s">
        <v>1777</v>
      </c>
      <c r="M684" s="212"/>
      <c r="N684" s="212" t="s">
        <v>1691</v>
      </c>
      <c r="Z684" s="213">
        <v>29620.5</v>
      </c>
      <c r="AA684" s="213">
        <v>0</v>
      </c>
      <c r="AB684" s="152">
        <f t="shared" si="73"/>
        <v>2.9620499999999999E-3</v>
      </c>
      <c r="AC684" s="122" t="s">
        <v>1837</v>
      </c>
    </row>
    <row r="685" spans="1:29" ht="12.75" hidden="1" customHeight="1">
      <c r="A685" s="125" t="str">
        <f t="shared" si="70"/>
        <v>LIC162INTERNAL AUDIT FEES</v>
      </c>
      <c r="B685" s="125">
        <f>+IFERROR(VLOOKUP(L685,'DB Mapping'!A:D,4,0),0)</f>
        <v>0</v>
      </c>
      <c r="C685" s="125">
        <f>+IFERROR(VLOOKUP(L685,'DB Mapping'!A:C,3,0),0)</f>
        <v>6.3</v>
      </c>
      <c r="D685" s="125" t="str">
        <f t="shared" si="71"/>
        <v>LIC1620</v>
      </c>
      <c r="E685" s="125" t="str">
        <f t="shared" si="72"/>
        <v>LIC1626.3</v>
      </c>
      <c r="F685" s="157" t="s">
        <v>34</v>
      </c>
      <c r="H685" s="122"/>
      <c r="I685" s="150" t="s">
        <v>287</v>
      </c>
      <c r="L685" s="212" t="s">
        <v>1778</v>
      </c>
      <c r="M685" s="212"/>
      <c r="N685" s="212" t="s">
        <v>1692</v>
      </c>
      <c r="Z685" s="213">
        <v>6636.74</v>
      </c>
      <c r="AA685" s="213">
        <v>0</v>
      </c>
      <c r="AB685" s="152">
        <f t="shared" si="73"/>
        <v>6.6367399999999995E-4</v>
      </c>
      <c r="AC685" s="122" t="s">
        <v>1837</v>
      </c>
    </row>
    <row r="686" spans="1:29" ht="12.75" hidden="1" customHeight="1">
      <c r="A686" s="125" t="str">
        <f t="shared" si="70"/>
        <v>LIC162CLIENT SERVICING EXPENES</v>
      </c>
      <c r="B686" s="125">
        <f>+IFERROR(VLOOKUP(L686,'DB Mapping'!A:D,4,0),0)</f>
        <v>0</v>
      </c>
      <c r="C686" s="125">
        <f>+IFERROR(VLOOKUP(L686,'DB Mapping'!A:C,3,0),0)</f>
        <v>6.3</v>
      </c>
      <c r="D686" s="125" t="str">
        <f t="shared" si="71"/>
        <v>LIC1620</v>
      </c>
      <c r="E686" s="125" t="str">
        <f t="shared" si="72"/>
        <v>LIC1626.3</v>
      </c>
      <c r="F686" s="157" t="s">
        <v>34</v>
      </c>
      <c r="H686" s="122"/>
      <c r="I686" s="150" t="s">
        <v>287</v>
      </c>
      <c r="L686" s="212" t="s">
        <v>1779</v>
      </c>
      <c r="M686" s="212"/>
      <c r="N686" s="212" t="s">
        <v>1693</v>
      </c>
      <c r="Z686" s="213">
        <v>89113.23</v>
      </c>
      <c r="AA686" s="213">
        <v>0</v>
      </c>
      <c r="AB686" s="152">
        <f t="shared" si="73"/>
        <v>8.9113229999999988E-3</v>
      </c>
      <c r="AC686" s="122" t="s">
        <v>1837</v>
      </c>
    </row>
    <row r="687" spans="1:29" ht="12.75" hidden="1" customHeight="1">
      <c r="A687" s="125" t="str">
        <f t="shared" si="70"/>
        <v>LIC162INVESTOR EDUCATION FUND EXPENSE</v>
      </c>
      <c r="B687" s="125">
        <f>+IFERROR(VLOOKUP(L687,'DB Mapping'!A:D,4,0),0)</f>
        <v>0</v>
      </c>
      <c r="C687" s="125">
        <f>+IFERROR(VLOOKUP(L687,'DB Mapping'!A:C,3,0),0)</f>
        <v>6.3</v>
      </c>
      <c r="D687" s="125" t="str">
        <f t="shared" si="71"/>
        <v>LIC1620</v>
      </c>
      <c r="E687" s="125" t="str">
        <f t="shared" si="72"/>
        <v>LIC1626.3</v>
      </c>
      <c r="F687" s="157" t="s">
        <v>34</v>
      </c>
      <c r="H687" s="122"/>
      <c r="I687" s="150" t="s">
        <v>287</v>
      </c>
      <c r="L687" s="212" t="s">
        <v>1780</v>
      </c>
      <c r="M687" s="212"/>
      <c r="N687" s="212" t="s">
        <v>1694</v>
      </c>
      <c r="Z687" s="213">
        <v>26074.5</v>
      </c>
      <c r="AA687" s="213">
        <v>0</v>
      </c>
      <c r="AB687" s="152">
        <f t="shared" si="73"/>
        <v>2.6074499999999999E-3</v>
      </c>
      <c r="AC687" s="122" t="s">
        <v>1837</v>
      </c>
    </row>
    <row r="688" spans="1:29" ht="12.75" hidden="1" customHeight="1">
      <c r="A688" s="125" t="str">
        <f t="shared" si="70"/>
        <v>LIC162INVESTOR EDUCATION FUND EXPENSE - AMFI</v>
      </c>
      <c r="B688" s="125">
        <f>+IFERROR(VLOOKUP(L688,'DB Mapping'!A:D,4,0),0)</f>
        <v>0</v>
      </c>
      <c r="C688" s="125">
        <f>+IFERROR(VLOOKUP(L688,'DB Mapping'!A:C,3,0),0)</f>
        <v>6.3</v>
      </c>
      <c r="D688" s="125" t="str">
        <f t="shared" si="71"/>
        <v>LIC1620</v>
      </c>
      <c r="E688" s="125" t="str">
        <f t="shared" si="72"/>
        <v>LIC1626.3</v>
      </c>
      <c r="F688" s="157" t="s">
        <v>34</v>
      </c>
      <c r="H688" s="122"/>
      <c r="I688" s="150" t="s">
        <v>287</v>
      </c>
      <c r="L688" s="212" t="s">
        <v>1781</v>
      </c>
      <c r="M688" s="212"/>
      <c r="N688" s="212" t="s">
        <v>1695</v>
      </c>
      <c r="Z688" s="213">
        <v>26074.5</v>
      </c>
      <c r="AA688" s="213">
        <v>0</v>
      </c>
      <c r="AB688" s="152">
        <f t="shared" si="73"/>
        <v>2.6074499999999999E-3</v>
      </c>
      <c r="AC688" s="122" t="s">
        <v>1837</v>
      </c>
    </row>
    <row r="689" spans="1:29" s="217" customFormat="1" ht="12.75" hidden="1" customHeight="1">
      <c r="F689" s="218"/>
      <c r="G689" s="219"/>
      <c r="H689" s="219"/>
      <c r="I689" s="219"/>
      <c r="J689" s="219"/>
      <c r="K689" s="219"/>
      <c r="L689" s="219"/>
      <c r="M689" s="219"/>
      <c r="N689" s="219"/>
      <c r="O689" s="219"/>
      <c r="P689" s="219"/>
      <c r="Q689" s="219"/>
      <c r="R689" s="219"/>
      <c r="S689" s="219"/>
      <c r="T689" s="219"/>
      <c r="U689" s="219"/>
      <c r="V689" s="219"/>
      <c r="W689" s="219"/>
      <c r="X689" s="219"/>
      <c r="Y689" s="219"/>
      <c r="Z689" s="219"/>
      <c r="AA689" s="219"/>
    </row>
    <row r="690" spans="1:29" ht="12.75" hidden="1" customHeight="1">
      <c r="AC690" s="122" t="s">
        <v>1838</v>
      </c>
    </row>
    <row r="691" spans="1:29" ht="12.75" hidden="1" customHeight="1">
      <c r="A691" s="125" t="str">
        <f t="shared" ref="A691:A754" si="74">+F691&amp;N691</f>
        <v>LIC169Investment - Equities</v>
      </c>
      <c r="B691" s="125">
        <f>+IFERROR(VLOOKUP(L691,'TB mapping'!A:D,4,0),0)</f>
        <v>0</v>
      </c>
      <c r="C691" s="125">
        <f>+IFERROR(VLOOKUP(L691,'TB mapping'!A:C,3,0),0)</f>
        <v>0</v>
      </c>
      <c r="D691" s="125" t="str">
        <f t="shared" ref="D691:D754" si="75">+F691&amp;B691</f>
        <v>LIC1690</v>
      </c>
      <c r="E691" s="125" t="str">
        <f t="shared" ref="E691:E754" si="76">+F691&amp;C691</f>
        <v>LIC1690</v>
      </c>
      <c r="F691" s="150" t="s">
        <v>40</v>
      </c>
      <c r="G691" s="127" t="s">
        <v>453</v>
      </c>
      <c r="H691" s="127" t="s">
        <v>776</v>
      </c>
      <c r="I691" s="127" t="s">
        <v>777</v>
      </c>
      <c r="J691" s="128">
        <v>101000</v>
      </c>
      <c r="K691" s="127" t="s">
        <v>591</v>
      </c>
      <c r="L691" s="151">
        <v>101100</v>
      </c>
      <c r="M691" s="128">
        <v>0</v>
      </c>
      <c r="N691" s="127" t="s">
        <v>592</v>
      </c>
      <c r="O691" s="127" t="s">
        <v>457</v>
      </c>
      <c r="P691" s="128">
        <v>0</v>
      </c>
      <c r="Q691" s="128">
        <v>0</v>
      </c>
      <c r="R691" s="128">
        <v>0</v>
      </c>
      <c r="S691" s="128">
        <v>0.01</v>
      </c>
      <c r="T691" s="128">
        <v>0</v>
      </c>
      <c r="U691" s="128">
        <v>0.01</v>
      </c>
      <c r="V691" s="128">
        <v>0</v>
      </c>
      <c r="W691" s="128">
        <v>0</v>
      </c>
      <c r="X691" s="128">
        <v>0</v>
      </c>
      <c r="Y691" s="128">
        <v>0.01</v>
      </c>
      <c r="Z691" s="128">
        <v>0</v>
      </c>
      <c r="AA691" s="128">
        <v>0.01</v>
      </c>
      <c r="AB691" s="126">
        <f t="shared" ref="AB691:AB754" si="77">SUM(-Z691-AA691)/10^7</f>
        <v>-1.0000000000000001E-9</v>
      </c>
      <c r="AC691" s="122" t="s">
        <v>1838</v>
      </c>
    </row>
    <row r="692" spans="1:29" ht="12.75" hidden="1" customHeight="1">
      <c r="A692" s="125" t="str">
        <f t="shared" si="74"/>
        <v>LIC169Investment - CBLO</v>
      </c>
      <c r="B692" s="125">
        <f>+IFERROR(VLOOKUP(L692,'TB mapping'!A:D,4,0),0)</f>
        <v>0</v>
      </c>
      <c r="C692" s="125">
        <f>+IFERROR(VLOOKUP(L692,'TB mapping'!A:C,3,0),0)</f>
        <v>0</v>
      </c>
      <c r="D692" s="125" t="str">
        <f t="shared" si="75"/>
        <v>LIC1690</v>
      </c>
      <c r="E692" s="125" t="str">
        <f t="shared" si="76"/>
        <v>LIC1690</v>
      </c>
      <c r="F692" s="150" t="s">
        <v>40</v>
      </c>
      <c r="G692" s="127" t="s">
        <v>453</v>
      </c>
      <c r="H692" s="127" t="s">
        <v>776</v>
      </c>
      <c r="I692" s="127" t="s">
        <v>777</v>
      </c>
      <c r="J692" s="128">
        <v>110000</v>
      </c>
      <c r="K692" s="127" t="s">
        <v>462</v>
      </c>
      <c r="L692" s="151">
        <v>110100</v>
      </c>
      <c r="M692" s="128">
        <v>0</v>
      </c>
      <c r="N692" s="127" t="s">
        <v>463</v>
      </c>
      <c r="O692" s="127" t="s">
        <v>457</v>
      </c>
      <c r="P692" s="128">
        <v>0</v>
      </c>
      <c r="Q692" s="128">
        <v>0</v>
      </c>
      <c r="R692" s="128">
        <v>-392281619.19</v>
      </c>
      <c r="S692" s="128">
        <v>0</v>
      </c>
      <c r="T692" s="128">
        <v>-392281619.19</v>
      </c>
      <c r="U692" s="128">
        <v>0</v>
      </c>
      <c r="V692" s="128">
        <v>0</v>
      </c>
      <c r="W692" s="128">
        <v>0</v>
      </c>
      <c r="X692" s="128">
        <v>-392281619.19</v>
      </c>
      <c r="Y692" s="128">
        <v>0</v>
      </c>
      <c r="Z692" s="128">
        <v>-392281619.19</v>
      </c>
      <c r="AA692" s="128">
        <v>0</v>
      </c>
      <c r="AB692" s="126">
        <f t="shared" si="77"/>
        <v>39.228161919000001</v>
      </c>
      <c r="AC692" s="122" t="s">
        <v>1838</v>
      </c>
    </row>
    <row r="693" spans="1:29" ht="12.75" hidden="1" customHeight="1">
      <c r="A693" s="125" t="str">
        <f t="shared" si="74"/>
        <v>LIC169Due From Broker - Equities</v>
      </c>
      <c r="B693" s="125">
        <f>+IFERROR(VLOOKUP(L693,'TB mapping'!A:D,4,0),0)</f>
        <v>0</v>
      </c>
      <c r="C693" s="125">
        <f>+IFERROR(VLOOKUP(L693,'TB mapping'!A:C,3,0),0)</f>
        <v>0</v>
      </c>
      <c r="D693" s="125" t="str">
        <f t="shared" si="75"/>
        <v>LIC1690</v>
      </c>
      <c r="E693" s="125" t="str">
        <f t="shared" si="76"/>
        <v>LIC1690</v>
      </c>
      <c r="F693" s="150" t="s">
        <v>40</v>
      </c>
      <c r="G693" s="127" t="s">
        <v>453</v>
      </c>
      <c r="H693" s="127" t="s">
        <v>776</v>
      </c>
      <c r="I693" s="127" t="s">
        <v>777</v>
      </c>
      <c r="J693" s="128">
        <v>132000</v>
      </c>
      <c r="K693" s="127" t="s">
        <v>466</v>
      </c>
      <c r="L693" s="151">
        <v>132150</v>
      </c>
      <c r="M693" s="128">
        <v>0</v>
      </c>
      <c r="N693" s="127" t="s">
        <v>594</v>
      </c>
      <c r="O693" s="127" t="s">
        <v>457</v>
      </c>
      <c r="P693" s="128">
        <v>0</v>
      </c>
      <c r="Q693" s="128">
        <v>0</v>
      </c>
      <c r="R693" s="128">
        <v>-30831.919999999998</v>
      </c>
      <c r="S693" s="128">
        <v>0</v>
      </c>
      <c r="T693" s="128">
        <v>-30831.919999999998</v>
      </c>
      <c r="U693" s="128">
        <v>0</v>
      </c>
      <c r="V693" s="128">
        <v>0</v>
      </c>
      <c r="W693" s="128">
        <v>0</v>
      </c>
      <c r="X693" s="128">
        <v>-30831.919999999998</v>
      </c>
      <c r="Y693" s="128">
        <v>0</v>
      </c>
      <c r="Z693" s="128">
        <v>-30831.919999999998</v>
      </c>
      <c r="AA693" s="128">
        <v>0</v>
      </c>
      <c r="AB693" s="126">
        <f t="shared" si="77"/>
        <v>3.0831919999999998E-3</v>
      </c>
      <c r="AC693" s="122" t="s">
        <v>1838</v>
      </c>
    </row>
    <row r="694" spans="1:29" ht="12.75" hidden="1" customHeight="1">
      <c r="A694" s="125" t="str">
        <f t="shared" si="74"/>
        <v>LIC169CCIL Settlement A/C</v>
      </c>
      <c r="B694" s="125">
        <f>+IFERROR(VLOOKUP(L694,'TB mapping'!A:D,4,0),0)</f>
        <v>0</v>
      </c>
      <c r="C694" s="125">
        <f>+IFERROR(VLOOKUP(L694,'TB mapping'!A:C,3,0),0)</f>
        <v>0</v>
      </c>
      <c r="D694" s="125" t="str">
        <f t="shared" si="75"/>
        <v>LIC1690</v>
      </c>
      <c r="E694" s="125" t="str">
        <f t="shared" si="76"/>
        <v>LIC1690</v>
      </c>
      <c r="F694" s="150" t="s">
        <v>40</v>
      </c>
      <c r="G694" s="127" t="s">
        <v>453</v>
      </c>
      <c r="H694" s="127" t="s">
        <v>776</v>
      </c>
      <c r="I694" s="127" t="s">
        <v>777</v>
      </c>
      <c r="J694" s="128">
        <v>140000</v>
      </c>
      <c r="K694" s="127" t="s">
        <v>472</v>
      </c>
      <c r="L694" s="151">
        <v>132237</v>
      </c>
      <c r="M694" s="128">
        <v>0</v>
      </c>
      <c r="N694" s="127" t="s">
        <v>473</v>
      </c>
      <c r="O694" s="127" t="s">
        <v>457</v>
      </c>
      <c r="P694" s="128">
        <v>0</v>
      </c>
      <c r="Q694" s="128">
        <v>0</v>
      </c>
      <c r="R694" s="128">
        <v>0</v>
      </c>
      <c r="S694" s="128">
        <v>0.04</v>
      </c>
      <c r="T694" s="128">
        <v>0</v>
      </c>
      <c r="U694" s="128">
        <v>0.04</v>
      </c>
      <c r="V694" s="128">
        <v>0</v>
      </c>
      <c r="W694" s="128">
        <v>0</v>
      </c>
      <c r="X694" s="128">
        <v>0</v>
      </c>
      <c r="Y694" s="128">
        <v>0.04</v>
      </c>
      <c r="Z694" s="128">
        <v>0</v>
      </c>
      <c r="AA694" s="128">
        <v>0.04</v>
      </c>
      <c r="AB694" s="126">
        <f t="shared" si="77"/>
        <v>-4.0000000000000002E-9</v>
      </c>
      <c r="AC694" s="122" t="s">
        <v>1838</v>
      </c>
    </row>
    <row r="695" spans="1:29" ht="12.75" hidden="1" customHeight="1">
      <c r="A695" s="125" t="str">
        <f t="shared" si="74"/>
        <v>LIC169HDFC Current Account</v>
      </c>
      <c r="B695" s="125">
        <f>+IFERROR(VLOOKUP(L695,'TB mapping'!A:D,4,0),0)</f>
        <v>0</v>
      </c>
      <c r="C695" s="125">
        <f>+IFERROR(VLOOKUP(L695,'TB mapping'!A:C,3,0),0)</f>
        <v>0</v>
      </c>
      <c r="D695" s="125" t="str">
        <f t="shared" si="75"/>
        <v>LIC1690</v>
      </c>
      <c r="E695" s="125" t="str">
        <f t="shared" si="76"/>
        <v>LIC1690</v>
      </c>
      <c r="F695" s="150" t="s">
        <v>40</v>
      </c>
      <c r="G695" s="127" t="s">
        <v>453</v>
      </c>
      <c r="H695" s="127" t="s">
        <v>776</v>
      </c>
      <c r="I695" s="127" t="s">
        <v>777</v>
      </c>
      <c r="J695" s="128">
        <v>140000</v>
      </c>
      <c r="K695" s="127" t="s">
        <v>472</v>
      </c>
      <c r="L695" s="151">
        <v>140330</v>
      </c>
      <c r="M695" s="128">
        <v>0</v>
      </c>
      <c r="N695" s="127" t="s">
        <v>475</v>
      </c>
      <c r="O695" s="127" t="s">
        <v>457</v>
      </c>
      <c r="P695" s="128">
        <v>0</v>
      </c>
      <c r="Q695" s="128">
        <v>0</v>
      </c>
      <c r="R695" s="128">
        <v>-0.36</v>
      </c>
      <c r="S695" s="128">
        <v>0</v>
      </c>
      <c r="T695" s="128">
        <v>-0.36</v>
      </c>
      <c r="U695" s="128">
        <v>0</v>
      </c>
      <c r="V695" s="128">
        <v>0</v>
      </c>
      <c r="W695" s="128">
        <v>0</v>
      </c>
      <c r="X695" s="128">
        <v>-0.36</v>
      </c>
      <c r="Y695" s="128">
        <v>0</v>
      </c>
      <c r="Z695" s="128">
        <v>-0.36</v>
      </c>
      <c r="AA695" s="128">
        <v>0</v>
      </c>
      <c r="AB695" s="126">
        <f t="shared" si="77"/>
        <v>3.5999999999999998E-8</v>
      </c>
      <c r="AC695" s="122" t="s">
        <v>1838</v>
      </c>
    </row>
    <row r="696" spans="1:29" ht="12.75" hidden="1" customHeight="1">
      <c r="A696" s="125" t="str">
        <f t="shared" si="74"/>
        <v>LIC169HDFC Bank Ltd</v>
      </c>
      <c r="B696" s="125">
        <f>+IFERROR(VLOOKUP(L696,'TB mapping'!A:D,4,0),0)</f>
        <v>0</v>
      </c>
      <c r="C696" s="125">
        <f>+IFERROR(VLOOKUP(L696,'TB mapping'!A:C,3,0),0)</f>
        <v>0</v>
      </c>
      <c r="D696" s="125" t="str">
        <f t="shared" si="75"/>
        <v>LIC1690</v>
      </c>
      <c r="E696" s="125" t="str">
        <f t="shared" si="76"/>
        <v>LIC1690</v>
      </c>
      <c r="F696" s="150" t="s">
        <v>40</v>
      </c>
      <c r="G696" s="127" t="s">
        <v>453</v>
      </c>
      <c r="H696" s="127" t="s">
        <v>776</v>
      </c>
      <c r="I696" s="127" t="s">
        <v>777</v>
      </c>
      <c r="J696" s="128">
        <v>140000</v>
      </c>
      <c r="K696" s="127" t="s">
        <v>472</v>
      </c>
      <c r="L696" s="151">
        <v>140372</v>
      </c>
      <c r="M696" s="128">
        <v>0</v>
      </c>
      <c r="N696" s="127" t="s">
        <v>476</v>
      </c>
      <c r="O696" s="127" t="s">
        <v>457</v>
      </c>
      <c r="P696" s="128">
        <v>0</v>
      </c>
      <c r="Q696" s="128">
        <v>0</v>
      </c>
      <c r="R696" s="128">
        <v>0</v>
      </c>
      <c r="S696" s="128">
        <v>5.32</v>
      </c>
      <c r="T696" s="128">
        <v>0</v>
      </c>
      <c r="U696" s="128">
        <v>5.32</v>
      </c>
      <c r="V696" s="128">
        <v>0</v>
      </c>
      <c r="W696" s="128">
        <v>0</v>
      </c>
      <c r="X696" s="128">
        <v>0</v>
      </c>
      <c r="Y696" s="128">
        <v>5.32</v>
      </c>
      <c r="Z696" s="128">
        <v>0</v>
      </c>
      <c r="AA696" s="128">
        <v>5.32</v>
      </c>
      <c r="AB696" s="126">
        <f t="shared" si="77"/>
        <v>-5.3200000000000005E-7</v>
      </c>
      <c r="AC696" s="122" t="s">
        <v>1838</v>
      </c>
    </row>
    <row r="697" spans="1:29" ht="12.75" hidden="1" customHeight="1">
      <c r="A697" s="125" t="str">
        <f t="shared" si="74"/>
        <v>LIC169Standard Chartered Bank- India</v>
      </c>
      <c r="B697" s="125">
        <f>+IFERROR(VLOOKUP(L697,'TB mapping'!A:D,4,0),0)</f>
        <v>0</v>
      </c>
      <c r="C697" s="125">
        <f>+IFERROR(VLOOKUP(L697,'TB mapping'!A:C,3,0),0)</f>
        <v>0</v>
      </c>
      <c r="D697" s="125" t="str">
        <f t="shared" si="75"/>
        <v>LIC1690</v>
      </c>
      <c r="E697" s="125" t="str">
        <f t="shared" si="76"/>
        <v>LIC1690</v>
      </c>
      <c r="F697" s="150" t="s">
        <v>40</v>
      </c>
      <c r="G697" s="127" t="s">
        <v>453</v>
      </c>
      <c r="H697" s="127" t="s">
        <v>776</v>
      </c>
      <c r="I697" s="127" t="s">
        <v>777</v>
      </c>
      <c r="J697" s="128">
        <v>140000</v>
      </c>
      <c r="K697" s="127" t="s">
        <v>472</v>
      </c>
      <c r="L697" s="151">
        <v>140500</v>
      </c>
      <c r="M697" s="128">
        <v>0</v>
      </c>
      <c r="N697" s="127" t="s">
        <v>477</v>
      </c>
      <c r="O697" s="127" t="s">
        <v>457</v>
      </c>
      <c r="P697" s="128">
        <v>0</v>
      </c>
      <c r="Q697" s="128">
        <v>0</v>
      </c>
      <c r="R697" s="128">
        <v>-168065.8</v>
      </c>
      <c r="S697" s="128">
        <v>0</v>
      </c>
      <c r="T697" s="128">
        <v>-168065.8</v>
      </c>
      <c r="U697" s="128">
        <v>0</v>
      </c>
      <c r="V697" s="128">
        <v>0</v>
      </c>
      <c r="W697" s="128">
        <v>0</v>
      </c>
      <c r="X697" s="128">
        <v>-168065.8</v>
      </c>
      <c r="Y697" s="128">
        <v>0</v>
      </c>
      <c r="Z697" s="128">
        <v>-168065.8</v>
      </c>
      <c r="AA697" s="128">
        <v>0</v>
      </c>
      <c r="AB697" s="126">
        <f t="shared" si="77"/>
        <v>1.6806579999999998E-2</v>
      </c>
      <c r="AC697" s="122" t="s">
        <v>1838</v>
      </c>
    </row>
    <row r="698" spans="1:29" ht="12.75" hidden="1" customHeight="1">
      <c r="A698" s="125" t="str">
        <f t="shared" si="74"/>
        <v>LIC169Amort Receivable - CBLO</v>
      </c>
      <c r="B698" s="125">
        <f>+IFERROR(VLOOKUP(L698,'TB mapping'!A:D,4,0),0)</f>
        <v>0</v>
      </c>
      <c r="C698" s="125">
        <f>+IFERROR(VLOOKUP(L698,'TB mapping'!A:C,3,0),0)</f>
        <v>0</v>
      </c>
      <c r="D698" s="125" t="str">
        <f t="shared" si="75"/>
        <v>LIC1690</v>
      </c>
      <c r="E698" s="125" t="str">
        <f t="shared" si="76"/>
        <v>LIC1690</v>
      </c>
      <c r="F698" s="150" t="s">
        <v>40</v>
      </c>
      <c r="G698" s="127" t="s">
        <v>453</v>
      </c>
      <c r="H698" s="127" t="s">
        <v>776</v>
      </c>
      <c r="I698" s="127" t="s">
        <v>777</v>
      </c>
      <c r="J698" s="128">
        <v>152000</v>
      </c>
      <c r="K698" s="127" t="s">
        <v>478</v>
      </c>
      <c r="L698" s="151">
        <v>152232</v>
      </c>
      <c r="M698" s="128">
        <v>0</v>
      </c>
      <c r="N698" s="127" t="s">
        <v>482</v>
      </c>
      <c r="O698" s="127" t="s">
        <v>457</v>
      </c>
      <c r="P698" s="128">
        <v>0</v>
      </c>
      <c r="Q698" s="128">
        <v>0</v>
      </c>
      <c r="R698" s="128">
        <v>-61821.54</v>
      </c>
      <c r="S698" s="128">
        <v>0</v>
      </c>
      <c r="T698" s="128">
        <v>-61821.54</v>
      </c>
      <c r="U698" s="128">
        <v>0</v>
      </c>
      <c r="V698" s="128">
        <v>0</v>
      </c>
      <c r="W698" s="128">
        <v>0</v>
      </c>
      <c r="X698" s="128">
        <v>-61821.54</v>
      </c>
      <c r="Y698" s="128">
        <v>0</v>
      </c>
      <c r="Z698" s="128">
        <v>-61821.54</v>
      </c>
      <c r="AA698" s="128">
        <v>0</v>
      </c>
      <c r="AB698" s="126">
        <f t="shared" si="77"/>
        <v>6.1821540000000005E-3</v>
      </c>
      <c r="AC698" s="122" t="s">
        <v>1838</v>
      </c>
    </row>
    <row r="699" spans="1:29" ht="12.75" hidden="1" customHeight="1">
      <c r="A699" s="125" t="str">
        <f t="shared" si="74"/>
        <v>LIC169Payable - Withhold Brokerage</v>
      </c>
      <c r="B699" s="125">
        <f>+IFERROR(VLOOKUP(L699,'TB mapping'!A:D,4,0),0)</f>
        <v>0</v>
      </c>
      <c r="C699" s="125">
        <f>+IFERROR(VLOOKUP(L699,'TB mapping'!A:C,3,0),0)</f>
        <v>0</v>
      </c>
      <c r="D699" s="125" t="str">
        <f t="shared" si="75"/>
        <v>LIC1690</v>
      </c>
      <c r="E699" s="125" t="str">
        <f t="shared" si="76"/>
        <v>LIC1690</v>
      </c>
      <c r="F699" s="150" t="s">
        <v>40</v>
      </c>
      <c r="G699" s="127" t="s">
        <v>453</v>
      </c>
      <c r="H699" s="127" t="s">
        <v>776</v>
      </c>
      <c r="I699" s="127" t="s">
        <v>777</v>
      </c>
      <c r="J699" s="128">
        <v>212000</v>
      </c>
      <c r="K699" s="127" t="s">
        <v>487</v>
      </c>
      <c r="L699" s="151">
        <v>210164</v>
      </c>
      <c r="M699" s="128">
        <v>0</v>
      </c>
      <c r="N699" s="127" t="s">
        <v>488</v>
      </c>
      <c r="O699" s="127" t="s">
        <v>457</v>
      </c>
      <c r="P699" s="128">
        <v>0</v>
      </c>
      <c r="Q699" s="128">
        <v>0</v>
      </c>
      <c r="R699" s="128">
        <v>0</v>
      </c>
      <c r="S699" s="128">
        <v>265.39</v>
      </c>
      <c r="T699" s="128">
        <v>0</v>
      </c>
      <c r="U699" s="128">
        <v>265.39</v>
      </c>
      <c r="V699" s="128">
        <v>0</v>
      </c>
      <c r="W699" s="128">
        <v>0</v>
      </c>
      <c r="X699" s="128">
        <v>0</v>
      </c>
      <c r="Y699" s="128">
        <v>265.39</v>
      </c>
      <c r="Z699" s="128">
        <v>0</v>
      </c>
      <c r="AA699" s="128">
        <v>265.39</v>
      </c>
      <c r="AB699" s="126">
        <f t="shared" si="77"/>
        <v>-2.6538999999999998E-5</v>
      </c>
      <c r="AC699" s="122" t="s">
        <v>1838</v>
      </c>
    </row>
    <row r="700" spans="1:29" ht="12.75" hidden="1" customHeight="1">
      <c r="A700" s="125" t="str">
        <f t="shared" si="74"/>
        <v>LIC169Dividend Payable</v>
      </c>
      <c r="B700" s="125">
        <f>+IFERROR(VLOOKUP(L700,'TB mapping'!A:D,4,0),0)</f>
        <v>0</v>
      </c>
      <c r="C700" s="125">
        <f>+IFERROR(VLOOKUP(L700,'TB mapping'!A:C,3,0),0)</f>
        <v>0</v>
      </c>
      <c r="D700" s="125" t="str">
        <f t="shared" si="75"/>
        <v>LIC1690</v>
      </c>
      <c r="E700" s="125" t="str">
        <f t="shared" si="76"/>
        <v>LIC1690</v>
      </c>
      <c r="F700" s="150" t="s">
        <v>40</v>
      </c>
      <c r="G700" s="127" t="s">
        <v>453</v>
      </c>
      <c r="H700" s="127" t="s">
        <v>776</v>
      </c>
      <c r="I700" s="127" t="s">
        <v>777</v>
      </c>
      <c r="J700" s="128">
        <v>212000</v>
      </c>
      <c r="K700" s="127" t="s">
        <v>487</v>
      </c>
      <c r="L700" s="151">
        <v>212100</v>
      </c>
      <c r="M700" s="128">
        <v>0</v>
      </c>
      <c r="N700" s="127" t="s">
        <v>489</v>
      </c>
      <c r="O700" s="127" t="s">
        <v>457</v>
      </c>
      <c r="P700" s="128">
        <v>0</v>
      </c>
      <c r="Q700" s="128">
        <v>0</v>
      </c>
      <c r="R700" s="128">
        <v>0</v>
      </c>
      <c r="S700" s="128">
        <v>4608705.38</v>
      </c>
      <c r="T700" s="128">
        <v>0</v>
      </c>
      <c r="U700" s="128">
        <v>4608705.38</v>
      </c>
      <c r="V700" s="128">
        <v>0</v>
      </c>
      <c r="W700" s="128">
        <v>0</v>
      </c>
      <c r="X700" s="128">
        <v>0</v>
      </c>
      <c r="Y700" s="128">
        <v>4608705.38</v>
      </c>
      <c r="Z700" s="128">
        <v>0</v>
      </c>
      <c r="AA700" s="128">
        <v>4608705.38</v>
      </c>
      <c r="AB700" s="126">
        <f t="shared" si="77"/>
        <v>-0.460870538</v>
      </c>
      <c r="AC700" s="122" t="s">
        <v>1838</v>
      </c>
    </row>
    <row r="701" spans="1:29" ht="12.75" hidden="1" customHeight="1">
      <c r="A701" s="125" t="str">
        <f t="shared" si="74"/>
        <v>LIC169CGST Payable</v>
      </c>
      <c r="B701" s="125">
        <f>+IFERROR(VLOOKUP(L701,'TB mapping'!A:D,4,0),0)</f>
        <v>0</v>
      </c>
      <c r="C701" s="125">
        <f>+IFERROR(VLOOKUP(L701,'TB mapping'!A:C,3,0),0)</f>
        <v>0</v>
      </c>
      <c r="D701" s="125" t="str">
        <f t="shared" si="75"/>
        <v>LIC1690</v>
      </c>
      <c r="E701" s="125" t="str">
        <f t="shared" si="76"/>
        <v>LIC1690</v>
      </c>
      <c r="F701" s="150" t="s">
        <v>40</v>
      </c>
      <c r="G701" s="127" t="s">
        <v>453</v>
      </c>
      <c r="H701" s="127" t="s">
        <v>776</v>
      </c>
      <c r="I701" s="127" t="s">
        <v>777</v>
      </c>
      <c r="J701" s="128">
        <v>212000</v>
      </c>
      <c r="K701" s="127" t="s">
        <v>487</v>
      </c>
      <c r="L701" s="151">
        <v>212112</v>
      </c>
      <c r="M701" s="128">
        <v>0</v>
      </c>
      <c r="N701" s="127" t="s">
        <v>490</v>
      </c>
      <c r="O701" s="127" t="s">
        <v>457</v>
      </c>
      <c r="P701" s="128">
        <v>0</v>
      </c>
      <c r="Q701" s="128">
        <v>0</v>
      </c>
      <c r="R701" s="128">
        <v>-70378.87</v>
      </c>
      <c r="S701" s="128">
        <v>0</v>
      </c>
      <c r="T701" s="128">
        <v>-70378.87</v>
      </c>
      <c r="U701" s="128">
        <v>0</v>
      </c>
      <c r="V701" s="128">
        <v>0</v>
      </c>
      <c r="W701" s="128">
        <v>0</v>
      </c>
      <c r="X701" s="128">
        <v>-70378.87</v>
      </c>
      <c r="Y701" s="128">
        <v>0</v>
      </c>
      <c r="Z701" s="128">
        <v>-70378.87</v>
      </c>
      <c r="AA701" s="128">
        <v>0</v>
      </c>
      <c r="AB701" s="126">
        <f t="shared" si="77"/>
        <v>7.0378869999999996E-3</v>
      </c>
      <c r="AC701" s="122" t="s">
        <v>1838</v>
      </c>
    </row>
    <row r="702" spans="1:29" ht="12.75" hidden="1" customHeight="1">
      <c r="A702" s="125" t="str">
        <f t="shared" si="74"/>
        <v>LIC169SGST Payable</v>
      </c>
      <c r="B702" s="125">
        <f>+IFERROR(VLOOKUP(L702,'TB mapping'!A:D,4,0),0)</f>
        <v>0</v>
      </c>
      <c r="C702" s="125">
        <f>+IFERROR(VLOOKUP(L702,'TB mapping'!A:C,3,0),0)</f>
        <v>0</v>
      </c>
      <c r="D702" s="125" t="str">
        <f t="shared" si="75"/>
        <v>LIC1690</v>
      </c>
      <c r="E702" s="125" t="str">
        <f t="shared" si="76"/>
        <v>LIC1690</v>
      </c>
      <c r="F702" s="150" t="s">
        <v>40</v>
      </c>
      <c r="G702" s="127" t="s">
        <v>453</v>
      </c>
      <c r="H702" s="127" t="s">
        <v>776</v>
      </c>
      <c r="I702" s="127" t="s">
        <v>777</v>
      </c>
      <c r="J702" s="128">
        <v>212000</v>
      </c>
      <c r="K702" s="127" t="s">
        <v>487</v>
      </c>
      <c r="L702" s="151">
        <v>212113</v>
      </c>
      <c r="M702" s="128">
        <v>0</v>
      </c>
      <c r="N702" s="127" t="s">
        <v>491</v>
      </c>
      <c r="O702" s="127" t="s">
        <v>457</v>
      </c>
      <c r="P702" s="128">
        <v>0</v>
      </c>
      <c r="Q702" s="128">
        <v>0</v>
      </c>
      <c r="R702" s="128">
        <v>-70378.87</v>
      </c>
      <c r="S702" s="128">
        <v>0</v>
      </c>
      <c r="T702" s="128">
        <v>-70378.87</v>
      </c>
      <c r="U702" s="128">
        <v>0</v>
      </c>
      <c r="V702" s="128">
        <v>0</v>
      </c>
      <c r="W702" s="128">
        <v>0</v>
      </c>
      <c r="X702" s="128">
        <v>-70378.87</v>
      </c>
      <c r="Y702" s="128">
        <v>0</v>
      </c>
      <c r="Z702" s="128">
        <v>-70378.87</v>
      </c>
      <c r="AA702" s="128">
        <v>0</v>
      </c>
      <c r="AB702" s="126">
        <f t="shared" si="77"/>
        <v>7.0378869999999996E-3</v>
      </c>
      <c r="AC702" s="122" t="s">
        <v>1838</v>
      </c>
    </row>
    <row r="703" spans="1:29" ht="12.75" hidden="1" customHeight="1">
      <c r="A703" s="125" t="str">
        <f t="shared" si="74"/>
        <v>LIC169Audit Fee-Payable</v>
      </c>
      <c r="B703" s="125">
        <f>+IFERROR(VLOOKUP(L703,'TB mapping'!A:D,4,0),0)</f>
        <v>0</v>
      </c>
      <c r="C703" s="125">
        <f>+IFERROR(VLOOKUP(L703,'TB mapping'!A:C,3,0),0)</f>
        <v>0</v>
      </c>
      <c r="D703" s="125" t="str">
        <f t="shared" si="75"/>
        <v>LIC1690</v>
      </c>
      <c r="E703" s="125" t="str">
        <f t="shared" si="76"/>
        <v>LIC1690</v>
      </c>
      <c r="F703" s="150" t="s">
        <v>40</v>
      </c>
      <c r="G703" s="127" t="s">
        <v>453</v>
      </c>
      <c r="H703" s="127" t="s">
        <v>776</v>
      </c>
      <c r="I703" s="127" t="s">
        <v>777</v>
      </c>
      <c r="J703" s="128">
        <v>212000</v>
      </c>
      <c r="K703" s="127" t="s">
        <v>487</v>
      </c>
      <c r="L703" s="151">
        <v>212194</v>
      </c>
      <c r="M703" s="128">
        <v>0</v>
      </c>
      <c r="N703" s="127" t="s">
        <v>496</v>
      </c>
      <c r="O703" s="127" t="s">
        <v>457</v>
      </c>
      <c r="P703" s="128">
        <v>0</v>
      </c>
      <c r="Q703" s="128">
        <v>0</v>
      </c>
      <c r="R703" s="128">
        <v>-237.3</v>
      </c>
      <c r="S703" s="128">
        <v>0</v>
      </c>
      <c r="T703" s="128">
        <v>-237.3</v>
      </c>
      <c r="U703" s="128">
        <v>0</v>
      </c>
      <c r="V703" s="128">
        <v>0</v>
      </c>
      <c r="W703" s="128">
        <v>0</v>
      </c>
      <c r="X703" s="128">
        <v>-237.3</v>
      </c>
      <c r="Y703" s="128">
        <v>0</v>
      </c>
      <c r="Z703" s="128">
        <v>-237.3</v>
      </c>
      <c r="AA703" s="128">
        <v>0</v>
      </c>
      <c r="AB703" s="126">
        <f t="shared" si="77"/>
        <v>2.3730000000000001E-5</v>
      </c>
      <c r="AC703" s="122" t="s">
        <v>1838</v>
      </c>
    </row>
    <row r="704" spans="1:29" ht="12.75" hidden="1" customHeight="1">
      <c r="A704" s="125" t="str">
        <f t="shared" si="74"/>
        <v>LIC169Other Exp- Payable</v>
      </c>
      <c r="B704" s="125">
        <f>+IFERROR(VLOOKUP(L704,'TB mapping'!A:D,4,0),0)</f>
        <v>0</v>
      </c>
      <c r="C704" s="125">
        <f>+IFERROR(VLOOKUP(L704,'TB mapping'!A:C,3,0),0)</f>
        <v>0</v>
      </c>
      <c r="D704" s="125" t="str">
        <f t="shared" si="75"/>
        <v>LIC1690</v>
      </c>
      <c r="E704" s="125" t="str">
        <f t="shared" si="76"/>
        <v>LIC1690</v>
      </c>
      <c r="F704" s="150" t="s">
        <v>40</v>
      </c>
      <c r="G704" s="127" t="s">
        <v>453</v>
      </c>
      <c r="H704" s="127" t="s">
        <v>776</v>
      </c>
      <c r="I704" s="127" t="s">
        <v>777</v>
      </c>
      <c r="J704" s="128">
        <v>212000</v>
      </c>
      <c r="K704" s="127" t="s">
        <v>487</v>
      </c>
      <c r="L704" s="151">
        <v>212220</v>
      </c>
      <c r="M704" s="128">
        <v>0</v>
      </c>
      <c r="N704" s="127" t="s">
        <v>497</v>
      </c>
      <c r="O704" s="127" t="s">
        <v>457</v>
      </c>
      <c r="P704" s="128">
        <v>0</v>
      </c>
      <c r="Q704" s="128">
        <v>0</v>
      </c>
      <c r="R704" s="128">
        <v>0</v>
      </c>
      <c r="S704" s="128">
        <v>541158.40000000002</v>
      </c>
      <c r="T704" s="128">
        <v>0</v>
      </c>
      <c r="U704" s="128">
        <v>541158.40000000002</v>
      </c>
      <c r="V704" s="128">
        <v>0</v>
      </c>
      <c r="W704" s="128">
        <v>0</v>
      </c>
      <c r="X704" s="128">
        <v>0</v>
      </c>
      <c r="Y704" s="128">
        <v>541158.40000000002</v>
      </c>
      <c r="Z704" s="128">
        <v>0</v>
      </c>
      <c r="AA704" s="128">
        <v>541158.40000000002</v>
      </c>
      <c r="AB704" s="126">
        <f t="shared" si="77"/>
        <v>-5.4115840000000005E-2</v>
      </c>
      <c r="AC704" s="122" t="s">
        <v>1838</v>
      </c>
    </row>
    <row r="705" spans="1:29" ht="12.75" hidden="1" customHeight="1">
      <c r="A705" s="125" t="str">
        <f t="shared" si="74"/>
        <v>LIC169Expense Allocation-Liab'ity Ac</v>
      </c>
      <c r="B705" s="125">
        <f>+IFERROR(VLOOKUP(L705,'TB mapping'!A:D,4,0),0)</f>
        <v>0</v>
      </c>
      <c r="C705" s="125">
        <f>+IFERROR(VLOOKUP(L705,'TB mapping'!A:C,3,0),0)</f>
        <v>0</v>
      </c>
      <c r="D705" s="125" t="str">
        <f t="shared" si="75"/>
        <v>LIC1690</v>
      </c>
      <c r="E705" s="125" t="str">
        <f t="shared" si="76"/>
        <v>LIC1690</v>
      </c>
      <c r="F705" s="150" t="s">
        <v>40</v>
      </c>
      <c r="G705" s="127" t="s">
        <v>453</v>
      </c>
      <c r="H705" s="127" t="s">
        <v>776</v>
      </c>
      <c r="I705" s="127" t="s">
        <v>777</v>
      </c>
      <c r="J705" s="128">
        <v>212000</v>
      </c>
      <c r="K705" s="127" t="s">
        <v>487</v>
      </c>
      <c r="L705" s="151">
        <v>212223</v>
      </c>
      <c r="M705" s="128">
        <v>0</v>
      </c>
      <c r="N705" s="127" t="s">
        <v>498</v>
      </c>
      <c r="O705" s="127" t="s">
        <v>457</v>
      </c>
      <c r="P705" s="128">
        <v>0</v>
      </c>
      <c r="Q705" s="128">
        <v>0</v>
      </c>
      <c r="R705" s="128">
        <v>-121374.75</v>
      </c>
      <c r="S705" s="128">
        <v>0</v>
      </c>
      <c r="T705" s="128">
        <v>-121374.75</v>
      </c>
      <c r="U705" s="128">
        <v>0</v>
      </c>
      <c r="V705" s="128">
        <v>0</v>
      </c>
      <c r="W705" s="128">
        <v>0</v>
      </c>
      <c r="X705" s="128">
        <v>-121374.75</v>
      </c>
      <c r="Y705" s="128">
        <v>0</v>
      </c>
      <c r="Z705" s="128">
        <v>-121374.75</v>
      </c>
      <c r="AA705" s="128">
        <v>0</v>
      </c>
      <c r="AB705" s="126">
        <f t="shared" si="77"/>
        <v>1.2137475E-2</v>
      </c>
      <c r="AC705" s="122" t="s">
        <v>1838</v>
      </c>
    </row>
    <row r="706" spans="1:29" ht="12.75" hidden="1" customHeight="1">
      <c r="A706" s="125" t="str">
        <f t="shared" si="74"/>
        <v>LIC169Investor Education Payable</v>
      </c>
      <c r="B706" s="125">
        <f>+IFERROR(VLOOKUP(L706,'TB mapping'!A:D,4,0),0)</f>
        <v>0</v>
      </c>
      <c r="C706" s="125">
        <f>+IFERROR(VLOOKUP(L706,'TB mapping'!A:C,3,0),0)</f>
        <v>0</v>
      </c>
      <c r="D706" s="125" t="str">
        <f t="shared" si="75"/>
        <v>LIC1690</v>
      </c>
      <c r="E706" s="125" t="str">
        <f t="shared" si="76"/>
        <v>LIC1690</v>
      </c>
      <c r="F706" s="150" t="s">
        <v>40</v>
      </c>
      <c r="G706" s="127" t="s">
        <v>453</v>
      </c>
      <c r="H706" s="127" t="s">
        <v>776</v>
      </c>
      <c r="I706" s="127" t="s">
        <v>777</v>
      </c>
      <c r="J706" s="128">
        <v>212000</v>
      </c>
      <c r="K706" s="127" t="s">
        <v>487</v>
      </c>
      <c r="L706" s="151">
        <v>212240</v>
      </c>
      <c r="M706" s="128">
        <v>0</v>
      </c>
      <c r="N706" s="127" t="s">
        <v>500</v>
      </c>
      <c r="O706" s="127" t="s">
        <v>457</v>
      </c>
      <c r="P706" s="128">
        <v>0</v>
      </c>
      <c r="Q706" s="128">
        <v>0</v>
      </c>
      <c r="R706" s="128">
        <v>0</v>
      </c>
      <c r="S706" s="128">
        <v>536.91</v>
      </c>
      <c r="T706" s="128">
        <v>0</v>
      </c>
      <c r="U706" s="128">
        <v>536.91</v>
      </c>
      <c r="V706" s="128">
        <v>0</v>
      </c>
      <c r="W706" s="128">
        <v>0</v>
      </c>
      <c r="X706" s="128">
        <v>0</v>
      </c>
      <c r="Y706" s="128">
        <v>536.91</v>
      </c>
      <c r="Z706" s="128">
        <v>0</v>
      </c>
      <c r="AA706" s="128">
        <v>536.91</v>
      </c>
      <c r="AB706" s="126">
        <f t="shared" si="77"/>
        <v>-5.3690999999999998E-5</v>
      </c>
      <c r="AC706" s="122" t="s">
        <v>1838</v>
      </c>
    </row>
    <row r="707" spans="1:29" ht="12.75" hidden="1" customHeight="1">
      <c r="A707" s="125" t="str">
        <f t="shared" si="74"/>
        <v>LIC169Transaction Charges Payable</v>
      </c>
      <c r="B707" s="125">
        <f>+IFERROR(VLOOKUP(L707,'TB mapping'!A:D,4,0),0)</f>
        <v>0</v>
      </c>
      <c r="C707" s="125">
        <f>+IFERROR(VLOOKUP(L707,'TB mapping'!A:C,3,0),0)</f>
        <v>0</v>
      </c>
      <c r="D707" s="125" t="str">
        <f t="shared" si="75"/>
        <v>LIC1690</v>
      </c>
      <c r="E707" s="125" t="str">
        <f t="shared" si="76"/>
        <v>LIC1690</v>
      </c>
      <c r="F707" s="150" t="s">
        <v>40</v>
      </c>
      <c r="G707" s="127" t="s">
        <v>453</v>
      </c>
      <c r="H707" s="127" t="s">
        <v>776</v>
      </c>
      <c r="I707" s="127" t="s">
        <v>777</v>
      </c>
      <c r="J707" s="128">
        <v>212000</v>
      </c>
      <c r="K707" s="127" t="s">
        <v>487</v>
      </c>
      <c r="L707" s="151">
        <v>212247</v>
      </c>
      <c r="M707" s="128">
        <v>0</v>
      </c>
      <c r="N707" s="127" t="s">
        <v>501</v>
      </c>
      <c r="O707" s="127" t="s">
        <v>457</v>
      </c>
      <c r="P707" s="128">
        <v>0</v>
      </c>
      <c r="Q707" s="128">
        <v>0</v>
      </c>
      <c r="R707" s="128">
        <v>0</v>
      </c>
      <c r="S707" s="128">
        <v>1500</v>
      </c>
      <c r="T707" s="128">
        <v>0</v>
      </c>
      <c r="U707" s="128">
        <v>1500</v>
      </c>
      <c r="V707" s="128">
        <v>0</v>
      </c>
      <c r="W707" s="128">
        <v>0</v>
      </c>
      <c r="X707" s="128">
        <v>0</v>
      </c>
      <c r="Y707" s="128">
        <v>1500</v>
      </c>
      <c r="Z707" s="128">
        <v>0</v>
      </c>
      <c r="AA707" s="128">
        <v>1500</v>
      </c>
      <c r="AB707" s="126">
        <f t="shared" si="77"/>
        <v>-1.4999999999999999E-4</v>
      </c>
      <c r="AC707" s="122" t="s">
        <v>1838</v>
      </c>
    </row>
    <row r="708" spans="1:29" ht="12.75" hidden="1" customHeight="1">
      <c r="A708" s="125" t="str">
        <f t="shared" si="74"/>
        <v>LIC169Brokerage &amp; Dist Exp Payable</v>
      </c>
      <c r="B708" s="125">
        <f>+IFERROR(VLOOKUP(L708,'TB mapping'!A:D,4,0),0)</f>
        <v>0</v>
      </c>
      <c r="C708" s="125">
        <f>+IFERROR(VLOOKUP(L708,'TB mapping'!A:C,3,0),0)</f>
        <v>0</v>
      </c>
      <c r="D708" s="125" t="str">
        <f t="shared" si="75"/>
        <v>LIC1690</v>
      </c>
      <c r="E708" s="125" t="str">
        <f t="shared" si="76"/>
        <v>LIC1690</v>
      </c>
      <c r="F708" s="150" t="s">
        <v>40</v>
      </c>
      <c r="G708" s="127" t="s">
        <v>453</v>
      </c>
      <c r="H708" s="127" t="s">
        <v>776</v>
      </c>
      <c r="I708" s="127" t="s">
        <v>777</v>
      </c>
      <c r="J708" s="128">
        <v>212000</v>
      </c>
      <c r="K708" s="127" t="s">
        <v>487</v>
      </c>
      <c r="L708" s="151">
        <v>212255</v>
      </c>
      <c r="M708" s="128">
        <v>0</v>
      </c>
      <c r="N708" s="127" t="s">
        <v>503</v>
      </c>
      <c r="O708" s="127" t="s">
        <v>457</v>
      </c>
      <c r="P708" s="128">
        <v>0</v>
      </c>
      <c r="Q708" s="128">
        <v>0</v>
      </c>
      <c r="R708" s="128">
        <v>0</v>
      </c>
      <c r="S708" s="128">
        <v>13021.13</v>
      </c>
      <c r="T708" s="128">
        <v>0</v>
      </c>
      <c r="U708" s="128">
        <v>13021.13</v>
      </c>
      <c r="V708" s="128">
        <v>0</v>
      </c>
      <c r="W708" s="128">
        <v>0</v>
      </c>
      <c r="X708" s="128">
        <v>0</v>
      </c>
      <c r="Y708" s="128">
        <v>13021.13</v>
      </c>
      <c r="Z708" s="128">
        <v>0</v>
      </c>
      <c r="AA708" s="128">
        <v>13021.13</v>
      </c>
      <c r="AB708" s="126">
        <f t="shared" si="77"/>
        <v>-1.3021129999999999E-3</v>
      </c>
      <c r="AC708" s="122" t="s">
        <v>1838</v>
      </c>
    </row>
    <row r="709" spans="1:29" ht="12.75" hidden="1" customHeight="1">
      <c r="A709" s="125" t="str">
        <f t="shared" si="74"/>
        <v>LIC169Upfront Brk &amp; Trail Paid-Liab</v>
      </c>
      <c r="B709" s="125">
        <f>+IFERROR(VLOOKUP(L709,'TB mapping'!A:D,4,0),0)</f>
        <v>0</v>
      </c>
      <c r="C709" s="125">
        <f>+IFERROR(VLOOKUP(L709,'TB mapping'!A:C,3,0),0)</f>
        <v>0</v>
      </c>
      <c r="D709" s="125" t="str">
        <f t="shared" si="75"/>
        <v>LIC1690</v>
      </c>
      <c r="E709" s="125" t="str">
        <f t="shared" si="76"/>
        <v>LIC1690</v>
      </c>
      <c r="F709" s="150" t="s">
        <v>40</v>
      </c>
      <c r="G709" s="127" t="s">
        <v>453</v>
      </c>
      <c r="H709" s="127" t="s">
        <v>776</v>
      </c>
      <c r="I709" s="127" t="s">
        <v>777</v>
      </c>
      <c r="J709" s="128">
        <v>212000</v>
      </c>
      <c r="K709" s="127" t="s">
        <v>487</v>
      </c>
      <c r="L709" s="151">
        <v>212257</v>
      </c>
      <c r="M709" s="128">
        <v>0</v>
      </c>
      <c r="N709" s="127" t="s">
        <v>504</v>
      </c>
      <c r="O709" s="127" t="s">
        <v>457</v>
      </c>
      <c r="P709" s="128">
        <v>0</v>
      </c>
      <c r="Q709" s="128">
        <v>0</v>
      </c>
      <c r="R709" s="128">
        <v>-145.15</v>
      </c>
      <c r="S709" s="128">
        <v>0</v>
      </c>
      <c r="T709" s="128">
        <v>-145.15</v>
      </c>
      <c r="U709" s="128">
        <v>0</v>
      </c>
      <c r="V709" s="128">
        <v>0</v>
      </c>
      <c r="W709" s="128">
        <v>0</v>
      </c>
      <c r="X709" s="128">
        <v>-145.15</v>
      </c>
      <c r="Y709" s="128">
        <v>0</v>
      </c>
      <c r="Z709" s="128">
        <v>-145.15</v>
      </c>
      <c r="AA709" s="128">
        <v>0</v>
      </c>
      <c r="AB709" s="126">
        <f t="shared" si="77"/>
        <v>1.4515000000000001E-5</v>
      </c>
      <c r="AC709" s="122" t="s">
        <v>1838</v>
      </c>
    </row>
    <row r="710" spans="1:29" ht="12.75" hidden="1" customHeight="1">
      <c r="A710" s="125" t="str">
        <f t="shared" si="74"/>
        <v>LIC169Payable CGST on Mfees</v>
      </c>
      <c r="B710" s="125">
        <f>+IFERROR(VLOOKUP(L710,'TB mapping'!A:D,4,0),0)</f>
        <v>0</v>
      </c>
      <c r="C710" s="125">
        <f>+IFERROR(VLOOKUP(L710,'TB mapping'!A:C,3,0),0)</f>
        <v>0</v>
      </c>
      <c r="D710" s="125" t="str">
        <f t="shared" si="75"/>
        <v>LIC1690</v>
      </c>
      <c r="E710" s="125" t="str">
        <f t="shared" si="76"/>
        <v>LIC1690</v>
      </c>
      <c r="F710" s="150" t="s">
        <v>40</v>
      </c>
      <c r="G710" s="127" t="s">
        <v>453</v>
      </c>
      <c r="H710" s="127" t="s">
        <v>776</v>
      </c>
      <c r="I710" s="127" t="s">
        <v>777</v>
      </c>
      <c r="J710" s="128">
        <v>212000</v>
      </c>
      <c r="K710" s="127" t="s">
        <v>487</v>
      </c>
      <c r="L710" s="151">
        <v>212271</v>
      </c>
      <c r="M710" s="128">
        <v>0</v>
      </c>
      <c r="N710" s="127" t="s">
        <v>505</v>
      </c>
      <c r="O710" s="127" t="s">
        <v>457</v>
      </c>
      <c r="P710" s="128">
        <v>0</v>
      </c>
      <c r="Q710" s="128">
        <v>0</v>
      </c>
      <c r="R710" s="128">
        <v>0</v>
      </c>
      <c r="S710" s="128">
        <v>81687.460000000006</v>
      </c>
      <c r="T710" s="128">
        <v>0</v>
      </c>
      <c r="U710" s="128">
        <v>81687.460000000006</v>
      </c>
      <c r="V710" s="128">
        <v>0</v>
      </c>
      <c r="W710" s="128">
        <v>0</v>
      </c>
      <c r="X710" s="128">
        <v>0</v>
      </c>
      <c r="Y710" s="128">
        <v>81687.460000000006</v>
      </c>
      <c r="Z710" s="128">
        <v>0</v>
      </c>
      <c r="AA710" s="128">
        <v>81687.460000000006</v>
      </c>
      <c r="AB710" s="126">
        <f t="shared" si="77"/>
        <v>-8.168746000000001E-3</v>
      </c>
      <c r="AC710" s="122" t="s">
        <v>1838</v>
      </c>
    </row>
    <row r="711" spans="1:29" ht="12.75" hidden="1" customHeight="1">
      <c r="A711" s="125" t="str">
        <f t="shared" si="74"/>
        <v>LIC169Payable SGST on Mfees</v>
      </c>
      <c r="B711" s="125">
        <f>+IFERROR(VLOOKUP(L711,'TB mapping'!A:D,4,0),0)</f>
        <v>0</v>
      </c>
      <c r="C711" s="125">
        <f>+IFERROR(VLOOKUP(L711,'TB mapping'!A:C,3,0),0)</f>
        <v>0</v>
      </c>
      <c r="D711" s="125" t="str">
        <f t="shared" si="75"/>
        <v>LIC1690</v>
      </c>
      <c r="E711" s="125" t="str">
        <f t="shared" si="76"/>
        <v>LIC1690</v>
      </c>
      <c r="F711" s="150" t="s">
        <v>40</v>
      </c>
      <c r="G711" s="127" t="s">
        <v>453</v>
      </c>
      <c r="H711" s="127" t="s">
        <v>776</v>
      </c>
      <c r="I711" s="127" t="s">
        <v>777</v>
      </c>
      <c r="J711" s="128">
        <v>212000</v>
      </c>
      <c r="K711" s="127" t="s">
        <v>487</v>
      </c>
      <c r="L711" s="151">
        <v>212272</v>
      </c>
      <c r="M711" s="128">
        <v>0</v>
      </c>
      <c r="N711" s="127" t="s">
        <v>506</v>
      </c>
      <c r="O711" s="127" t="s">
        <v>457</v>
      </c>
      <c r="P711" s="128">
        <v>0</v>
      </c>
      <c r="Q711" s="128">
        <v>0</v>
      </c>
      <c r="R711" s="128">
        <v>0</v>
      </c>
      <c r="S711" s="128">
        <v>81687.460000000006</v>
      </c>
      <c r="T711" s="128">
        <v>0</v>
      </c>
      <c r="U711" s="128">
        <v>81687.460000000006</v>
      </c>
      <c r="V711" s="128">
        <v>0</v>
      </c>
      <c r="W711" s="128">
        <v>0</v>
      </c>
      <c r="X711" s="128">
        <v>0</v>
      </c>
      <c r="Y711" s="128">
        <v>81687.460000000006</v>
      </c>
      <c r="Z711" s="128">
        <v>0</v>
      </c>
      <c r="AA711" s="128">
        <v>81687.460000000006</v>
      </c>
      <c r="AB711" s="126">
        <f t="shared" si="77"/>
        <v>-8.168746000000001E-3</v>
      </c>
      <c r="AC711" s="122" t="s">
        <v>1838</v>
      </c>
    </row>
    <row r="712" spans="1:29" ht="12.75" hidden="1" customHeight="1">
      <c r="A712" s="125" t="str">
        <f t="shared" si="74"/>
        <v>LIC169Payable -Inv Educ Fund-AMFI</v>
      </c>
      <c r="B712" s="125">
        <f>+IFERROR(VLOOKUP(L712,'TB mapping'!A:D,4,0),0)</f>
        <v>0</v>
      </c>
      <c r="C712" s="125">
        <f>+IFERROR(VLOOKUP(L712,'TB mapping'!A:C,3,0),0)</f>
        <v>0</v>
      </c>
      <c r="D712" s="125" t="str">
        <f t="shared" si="75"/>
        <v>LIC1690</v>
      </c>
      <c r="E712" s="125" t="str">
        <f t="shared" si="76"/>
        <v>LIC1690</v>
      </c>
      <c r="F712" s="150" t="s">
        <v>40</v>
      </c>
      <c r="G712" s="127" t="s">
        <v>453</v>
      </c>
      <c r="H712" s="127" t="s">
        <v>776</v>
      </c>
      <c r="I712" s="127" t="s">
        <v>777</v>
      </c>
      <c r="J712" s="128">
        <v>212000</v>
      </c>
      <c r="K712" s="127" t="s">
        <v>487</v>
      </c>
      <c r="L712" s="151">
        <v>213166</v>
      </c>
      <c r="M712" s="128">
        <v>0</v>
      </c>
      <c r="N712" s="127" t="s">
        <v>507</v>
      </c>
      <c r="O712" s="127" t="s">
        <v>457</v>
      </c>
      <c r="P712" s="128">
        <v>0</v>
      </c>
      <c r="Q712" s="128">
        <v>0</v>
      </c>
      <c r="R712" s="128">
        <v>0</v>
      </c>
      <c r="S712" s="128">
        <v>536.91</v>
      </c>
      <c r="T712" s="128">
        <v>0</v>
      </c>
      <c r="U712" s="128">
        <v>536.91</v>
      </c>
      <c r="V712" s="128">
        <v>0</v>
      </c>
      <c r="W712" s="128">
        <v>0</v>
      </c>
      <c r="X712" s="128">
        <v>0</v>
      </c>
      <c r="Y712" s="128">
        <v>536.91</v>
      </c>
      <c r="Z712" s="128">
        <v>0</v>
      </c>
      <c r="AA712" s="128">
        <v>536.91</v>
      </c>
      <c r="AB712" s="126">
        <f t="shared" si="77"/>
        <v>-5.3690999999999998E-5</v>
      </c>
      <c r="AC712" s="122" t="s">
        <v>1838</v>
      </c>
    </row>
    <row r="713" spans="1:29" ht="12.75" hidden="1" customHeight="1">
      <c r="A713" s="125" t="str">
        <f t="shared" si="74"/>
        <v>LIC169Management Fee Payable</v>
      </c>
      <c r="B713" s="125">
        <f>+IFERROR(VLOOKUP(L713,'TB mapping'!A:D,4,0),0)</f>
        <v>0</v>
      </c>
      <c r="C713" s="125">
        <f>+IFERROR(VLOOKUP(L713,'TB mapping'!A:C,3,0),0)</f>
        <v>0</v>
      </c>
      <c r="D713" s="125" t="str">
        <f t="shared" si="75"/>
        <v>LIC1690</v>
      </c>
      <c r="E713" s="125" t="str">
        <f t="shared" si="76"/>
        <v>LIC1690</v>
      </c>
      <c r="F713" s="150" t="s">
        <v>40</v>
      </c>
      <c r="G713" s="127" t="s">
        <v>453</v>
      </c>
      <c r="H713" s="127" t="s">
        <v>776</v>
      </c>
      <c r="I713" s="127" t="s">
        <v>777</v>
      </c>
      <c r="J713" s="128">
        <v>213000</v>
      </c>
      <c r="K713" s="127" t="s">
        <v>508</v>
      </c>
      <c r="L713" s="151">
        <v>213500</v>
      </c>
      <c r="M713" s="128">
        <v>0</v>
      </c>
      <c r="N713" s="127" t="s">
        <v>509</v>
      </c>
      <c r="O713" s="127" t="s">
        <v>457</v>
      </c>
      <c r="P713" s="128">
        <v>0</v>
      </c>
      <c r="Q713" s="128">
        <v>0</v>
      </c>
      <c r="R713" s="128">
        <v>0</v>
      </c>
      <c r="S713" s="128">
        <v>125628.72</v>
      </c>
      <c r="T713" s="128">
        <v>0</v>
      </c>
      <c r="U713" s="128">
        <v>125628.72</v>
      </c>
      <c r="V713" s="128">
        <v>0</v>
      </c>
      <c r="W713" s="128">
        <v>0</v>
      </c>
      <c r="X713" s="128">
        <v>0</v>
      </c>
      <c r="Y713" s="128">
        <v>125628.72</v>
      </c>
      <c r="Z713" s="128">
        <v>0</v>
      </c>
      <c r="AA713" s="128">
        <v>125628.72</v>
      </c>
      <c r="AB713" s="126">
        <f t="shared" si="77"/>
        <v>-1.2562872000000001E-2</v>
      </c>
      <c r="AC713" s="122" t="s">
        <v>1838</v>
      </c>
    </row>
    <row r="714" spans="1:29" ht="12.75" hidden="1" customHeight="1">
      <c r="A714" s="125" t="str">
        <f t="shared" si="74"/>
        <v>LIC169Other Adjustment A/c.</v>
      </c>
      <c r="B714" s="125">
        <f>+IFERROR(VLOOKUP(L714,'TB mapping'!A:D,4,0),0)</f>
        <v>0</v>
      </c>
      <c r="C714" s="125">
        <f>+IFERROR(VLOOKUP(L714,'TB mapping'!A:C,3,0),0)</f>
        <v>0</v>
      </c>
      <c r="D714" s="125" t="str">
        <f t="shared" si="75"/>
        <v>LIC1690</v>
      </c>
      <c r="E714" s="125" t="str">
        <f t="shared" si="76"/>
        <v>LIC1690</v>
      </c>
      <c r="F714" s="150" t="s">
        <v>40</v>
      </c>
      <c r="G714" s="127" t="s">
        <v>453</v>
      </c>
      <c r="H714" s="127" t="s">
        <v>776</v>
      </c>
      <c r="I714" s="127" t="s">
        <v>777</v>
      </c>
      <c r="J714" s="128">
        <v>220000</v>
      </c>
      <c r="K714" s="127" t="s">
        <v>510</v>
      </c>
      <c r="L714" s="151">
        <v>190000</v>
      </c>
      <c r="M714" s="128">
        <v>0</v>
      </c>
      <c r="N714" s="127" t="s">
        <v>511</v>
      </c>
      <c r="O714" s="127" t="s">
        <v>457</v>
      </c>
      <c r="P714" s="128">
        <v>0</v>
      </c>
      <c r="Q714" s="128">
        <v>0</v>
      </c>
      <c r="R714" s="128">
        <v>0</v>
      </c>
      <c r="S714" s="128">
        <v>0.92</v>
      </c>
      <c r="T714" s="128">
        <v>0</v>
      </c>
      <c r="U714" s="128">
        <v>0.92</v>
      </c>
      <c r="V714" s="128">
        <v>0</v>
      </c>
      <c r="W714" s="128">
        <v>0</v>
      </c>
      <c r="X714" s="128">
        <v>0</v>
      </c>
      <c r="Y714" s="128">
        <v>0.92</v>
      </c>
      <c r="Z714" s="128">
        <v>0</v>
      </c>
      <c r="AA714" s="128">
        <v>0.92</v>
      </c>
      <c r="AB714" s="126">
        <f t="shared" si="77"/>
        <v>-9.2000000000000003E-8</v>
      </c>
      <c r="AC714" s="122" t="s">
        <v>1838</v>
      </c>
    </row>
    <row r="715" spans="1:29" ht="12.75" hidden="1" customHeight="1">
      <c r="A715" s="125" t="str">
        <f t="shared" si="74"/>
        <v>LIC169Prov For Withholding Brokerage</v>
      </c>
      <c r="B715" s="125">
        <f>+IFERROR(VLOOKUP(L715,'TB mapping'!A:D,4,0),0)</f>
        <v>0</v>
      </c>
      <c r="C715" s="125">
        <f>+IFERROR(VLOOKUP(L715,'TB mapping'!A:C,3,0),0)</f>
        <v>0</v>
      </c>
      <c r="D715" s="125" t="str">
        <f t="shared" si="75"/>
        <v>LIC1690</v>
      </c>
      <c r="E715" s="125" t="str">
        <f t="shared" si="76"/>
        <v>LIC1690</v>
      </c>
      <c r="F715" s="150" t="s">
        <v>40</v>
      </c>
      <c r="G715" s="127" t="s">
        <v>453</v>
      </c>
      <c r="H715" s="127" t="s">
        <v>776</v>
      </c>
      <c r="I715" s="127" t="s">
        <v>777</v>
      </c>
      <c r="J715" s="128">
        <v>220000</v>
      </c>
      <c r="K715" s="127" t="s">
        <v>510</v>
      </c>
      <c r="L715" s="151">
        <v>210162</v>
      </c>
      <c r="M715" s="128">
        <v>0</v>
      </c>
      <c r="N715" s="127" t="s">
        <v>512</v>
      </c>
      <c r="O715" s="127" t="s">
        <v>457</v>
      </c>
      <c r="P715" s="128">
        <v>0</v>
      </c>
      <c r="Q715" s="128">
        <v>0</v>
      </c>
      <c r="R715" s="128">
        <v>0</v>
      </c>
      <c r="S715" s="128">
        <v>1336.85</v>
      </c>
      <c r="T715" s="128">
        <v>0</v>
      </c>
      <c r="U715" s="128">
        <v>1336.85</v>
      </c>
      <c r="V715" s="128">
        <v>0</v>
      </c>
      <c r="W715" s="128">
        <v>0</v>
      </c>
      <c r="X715" s="128">
        <v>0</v>
      </c>
      <c r="Y715" s="128">
        <v>1336.85</v>
      </c>
      <c r="Z715" s="128">
        <v>0</v>
      </c>
      <c r="AA715" s="128">
        <v>1336.85</v>
      </c>
      <c r="AB715" s="126">
        <f t="shared" si="77"/>
        <v>-1.3368499999999998E-4</v>
      </c>
      <c r="AC715" s="122" t="s">
        <v>1838</v>
      </c>
    </row>
    <row r="716" spans="1:29" ht="12.75" hidden="1" customHeight="1">
      <c r="A716" s="125" t="str">
        <f t="shared" si="74"/>
        <v>LIC169Prov  Withholding Brok 2016-17</v>
      </c>
      <c r="B716" s="125">
        <f>+IFERROR(VLOOKUP(L716,'TB mapping'!A:D,4,0),0)</f>
        <v>0</v>
      </c>
      <c r="C716" s="125">
        <f>+IFERROR(VLOOKUP(L716,'TB mapping'!A:C,3,0),0)</f>
        <v>0</v>
      </c>
      <c r="D716" s="125" t="str">
        <f t="shared" si="75"/>
        <v>LIC1690</v>
      </c>
      <c r="E716" s="125" t="str">
        <f t="shared" si="76"/>
        <v>LIC1690</v>
      </c>
      <c r="F716" s="150" t="s">
        <v>40</v>
      </c>
      <c r="G716" s="127" t="s">
        <v>453</v>
      </c>
      <c r="H716" s="127" t="s">
        <v>776</v>
      </c>
      <c r="I716" s="127" t="s">
        <v>777</v>
      </c>
      <c r="J716" s="128">
        <v>220000</v>
      </c>
      <c r="K716" s="127" t="s">
        <v>510</v>
      </c>
      <c r="L716" s="151">
        <v>210163</v>
      </c>
      <c r="M716" s="128">
        <v>0</v>
      </c>
      <c r="N716" s="127" t="s">
        <v>513</v>
      </c>
      <c r="O716" s="127" t="s">
        <v>457</v>
      </c>
      <c r="P716" s="128">
        <v>0</v>
      </c>
      <c r="Q716" s="128">
        <v>0</v>
      </c>
      <c r="R716" s="128">
        <v>0</v>
      </c>
      <c r="S716" s="128">
        <v>208.67</v>
      </c>
      <c r="T716" s="128">
        <v>0</v>
      </c>
      <c r="U716" s="128">
        <v>208.67</v>
      </c>
      <c r="V716" s="128">
        <v>0</v>
      </c>
      <c r="W716" s="128">
        <v>0</v>
      </c>
      <c r="X716" s="128">
        <v>0</v>
      </c>
      <c r="Y716" s="128">
        <v>208.67</v>
      </c>
      <c r="Z716" s="128">
        <v>0</v>
      </c>
      <c r="AA716" s="128">
        <v>208.67</v>
      </c>
      <c r="AB716" s="126">
        <f t="shared" si="77"/>
        <v>-2.0866999999999999E-5</v>
      </c>
      <c r="AC716" s="122" t="s">
        <v>1838</v>
      </c>
    </row>
    <row r="717" spans="1:29" ht="12.75" hidden="1" customHeight="1">
      <c r="A717" s="125" t="str">
        <f t="shared" si="74"/>
        <v>LIC169Unit Capital</v>
      </c>
      <c r="B717" s="125">
        <f>+IFERROR(VLOOKUP(L717,'TB mapping'!A:D,4,0),0)</f>
        <v>0</v>
      </c>
      <c r="C717" s="125">
        <f>+IFERROR(VLOOKUP(L717,'TB mapping'!A:C,3,0),0)</f>
        <v>0</v>
      </c>
      <c r="D717" s="125" t="str">
        <f t="shared" si="75"/>
        <v>LIC1690</v>
      </c>
      <c r="E717" s="125" t="str">
        <f t="shared" si="76"/>
        <v>LIC1690</v>
      </c>
      <c r="F717" s="150" t="s">
        <v>40</v>
      </c>
      <c r="G717" s="127" t="s">
        <v>453</v>
      </c>
      <c r="H717" s="127" t="s">
        <v>776</v>
      </c>
      <c r="I717" s="127" t="s">
        <v>777</v>
      </c>
      <c r="J717" s="128">
        <v>301000</v>
      </c>
      <c r="K717" s="127" t="s">
        <v>514</v>
      </c>
      <c r="L717" s="151">
        <v>310000</v>
      </c>
      <c r="M717" s="128">
        <v>0</v>
      </c>
      <c r="N717" s="127" t="s">
        <v>515</v>
      </c>
      <c r="O717" s="127" t="s">
        <v>457</v>
      </c>
      <c r="P717" s="128">
        <v>0</v>
      </c>
      <c r="Q717" s="128">
        <v>0</v>
      </c>
      <c r="R717" s="128">
        <v>0</v>
      </c>
      <c r="S717" s="128">
        <v>336190549.89999998</v>
      </c>
      <c r="T717" s="128">
        <v>0</v>
      </c>
      <c r="U717" s="128">
        <v>336190549.89999998</v>
      </c>
      <c r="V717" s="128">
        <v>0</v>
      </c>
      <c r="W717" s="128">
        <v>0</v>
      </c>
      <c r="X717" s="128">
        <v>0</v>
      </c>
      <c r="Y717" s="128">
        <v>336190549.89999998</v>
      </c>
      <c r="Z717" s="128">
        <v>0</v>
      </c>
      <c r="AA717" s="287">
        <v>0</v>
      </c>
      <c r="AB717" s="126">
        <f t="shared" si="77"/>
        <v>0</v>
      </c>
      <c r="AC717" s="122" t="s">
        <v>1838</v>
      </c>
    </row>
    <row r="718" spans="1:29" ht="12.75" hidden="1" customHeight="1">
      <c r="A718" s="125" t="str">
        <f t="shared" si="74"/>
        <v>LIC169Net Earnings</v>
      </c>
      <c r="B718" s="125">
        <f>+IFERROR(VLOOKUP(L718,'TB mapping'!A:D,4,0),0)</f>
        <v>0</v>
      </c>
      <c r="C718" s="125">
        <f>+IFERROR(VLOOKUP(L718,'TB mapping'!A:C,3,0),0)</f>
        <v>0</v>
      </c>
      <c r="D718" s="125" t="str">
        <f t="shared" si="75"/>
        <v>LIC1690</v>
      </c>
      <c r="E718" s="125" t="str">
        <f t="shared" si="76"/>
        <v>LIC1690</v>
      </c>
      <c r="F718" s="150" t="s">
        <v>40</v>
      </c>
      <c r="G718" s="127" t="s">
        <v>453</v>
      </c>
      <c r="H718" s="127" t="s">
        <v>776</v>
      </c>
      <c r="I718" s="127" t="s">
        <v>777</v>
      </c>
      <c r="J718" s="128">
        <v>303000</v>
      </c>
      <c r="K718" s="127" t="s">
        <v>516</v>
      </c>
      <c r="L718" s="151">
        <v>390000</v>
      </c>
      <c r="M718" s="128">
        <v>0</v>
      </c>
      <c r="N718" s="127" t="s">
        <v>521</v>
      </c>
      <c r="O718" s="127" t="s">
        <v>457</v>
      </c>
      <c r="P718" s="128">
        <v>0</v>
      </c>
      <c r="Q718" s="128">
        <v>0</v>
      </c>
      <c r="R718" s="128">
        <v>0</v>
      </c>
      <c r="S718" s="128">
        <v>3356386.11</v>
      </c>
      <c r="T718" s="128">
        <v>0</v>
      </c>
      <c r="U718" s="128">
        <v>3356386.11</v>
      </c>
      <c r="V718" s="128">
        <v>0</v>
      </c>
      <c r="W718" s="128">
        <v>0</v>
      </c>
      <c r="X718" s="128">
        <v>0</v>
      </c>
      <c r="Y718" s="128">
        <v>3356386.11</v>
      </c>
      <c r="Z718" s="128">
        <v>0</v>
      </c>
      <c r="AA718" s="128">
        <v>3356386.11</v>
      </c>
      <c r="AB718" s="126">
        <f t="shared" si="77"/>
        <v>-0.33563861099999998</v>
      </c>
      <c r="AC718" s="122" t="s">
        <v>1838</v>
      </c>
    </row>
    <row r="719" spans="1:29" ht="12.75" hidden="1" customHeight="1">
      <c r="A719" s="125" t="str">
        <f t="shared" si="74"/>
        <v>LIC169R/L G/P - Equities</v>
      </c>
      <c r="B719" s="125">
        <f>+IFERROR(VLOOKUP(L719,'TB mapping'!A:D,4,0),0)</f>
        <v>0</v>
      </c>
      <c r="C719" s="125">
        <f>+IFERROR(VLOOKUP(L719,'TB mapping'!A:C,3,0),0)</f>
        <v>5.3</v>
      </c>
      <c r="D719" s="125" t="str">
        <f t="shared" si="75"/>
        <v>LIC1690</v>
      </c>
      <c r="E719" s="125" t="str">
        <f t="shared" si="76"/>
        <v>LIC1695.3</v>
      </c>
      <c r="F719" s="150" t="s">
        <v>40</v>
      </c>
      <c r="G719" s="127" t="s">
        <v>453</v>
      </c>
      <c r="H719" s="127" t="s">
        <v>776</v>
      </c>
      <c r="I719" s="127" t="s">
        <v>777</v>
      </c>
      <c r="J719" s="128">
        <v>410000</v>
      </c>
      <c r="K719" s="127" t="s">
        <v>522</v>
      </c>
      <c r="L719" s="151">
        <v>411100</v>
      </c>
      <c r="M719" s="128">
        <v>0</v>
      </c>
      <c r="N719" s="127" t="s">
        <v>596</v>
      </c>
      <c r="O719" s="127" t="s">
        <v>457</v>
      </c>
      <c r="P719" s="128">
        <v>0</v>
      </c>
      <c r="Q719" s="128">
        <v>0</v>
      </c>
      <c r="R719" s="128">
        <v>0</v>
      </c>
      <c r="S719" s="128">
        <v>75140909.670000002</v>
      </c>
      <c r="T719" s="128">
        <v>0</v>
      </c>
      <c r="U719" s="128">
        <v>75140909.670000002</v>
      </c>
      <c r="V719" s="128">
        <v>0</v>
      </c>
      <c r="W719" s="128">
        <v>0</v>
      </c>
      <c r="X719" s="128">
        <v>0</v>
      </c>
      <c r="Y719" s="128">
        <v>75140909.670000002</v>
      </c>
      <c r="Z719" s="128">
        <v>0</v>
      </c>
      <c r="AA719" s="128">
        <v>75140909.670000002</v>
      </c>
      <c r="AB719" s="126">
        <f t="shared" si="77"/>
        <v>-7.5140909670000005</v>
      </c>
      <c r="AC719" s="122" t="s">
        <v>1838</v>
      </c>
    </row>
    <row r="720" spans="1:29" ht="12.75" hidden="1" customHeight="1">
      <c r="A720" s="125" t="str">
        <f t="shared" si="74"/>
        <v>LIC169R/L Gain - Inter Sch Bond/Deb</v>
      </c>
      <c r="B720" s="125">
        <f>+IFERROR(VLOOKUP(L720,'TB mapping'!A:D,4,0),0)</f>
        <v>0</v>
      </c>
      <c r="C720" s="125">
        <f>+IFERROR(VLOOKUP(L720,'TB mapping'!A:C,3,0),0)</f>
        <v>5.4</v>
      </c>
      <c r="D720" s="125" t="str">
        <f t="shared" si="75"/>
        <v>LIC1690</v>
      </c>
      <c r="E720" s="125" t="str">
        <f t="shared" si="76"/>
        <v>LIC1695.4</v>
      </c>
      <c r="F720" s="150" t="s">
        <v>40</v>
      </c>
      <c r="G720" s="127" t="s">
        <v>453</v>
      </c>
      <c r="H720" s="127" t="s">
        <v>776</v>
      </c>
      <c r="I720" s="127" t="s">
        <v>777</v>
      </c>
      <c r="J720" s="128">
        <v>410000</v>
      </c>
      <c r="K720" s="127" t="s">
        <v>522</v>
      </c>
      <c r="L720" s="151">
        <v>427302</v>
      </c>
      <c r="M720" s="128">
        <v>0</v>
      </c>
      <c r="N720" s="127" t="s">
        <v>659</v>
      </c>
      <c r="O720" s="127" t="s">
        <v>457</v>
      </c>
      <c r="P720" s="128">
        <v>0</v>
      </c>
      <c r="Q720" s="128">
        <v>0</v>
      </c>
      <c r="R720" s="128">
        <v>0</v>
      </c>
      <c r="S720" s="128">
        <v>462484.8</v>
      </c>
      <c r="T720" s="128">
        <v>0</v>
      </c>
      <c r="U720" s="128">
        <v>462484.8</v>
      </c>
      <c r="V720" s="128">
        <v>0</v>
      </c>
      <c r="W720" s="128">
        <v>0</v>
      </c>
      <c r="X720" s="128">
        <v>0</v>
      </c>
      <c r="Y720" s="128">
        <v>462484.8</v>
      </c>
      <c r="Z720" s="128">
        <v>0</v>
      </c>
      <c r="AA720" s="128">
        <v>462484.8</v>
      </c>
      <c r="AB720" s="126">
        <f t="shared" si="77"/>
        <v>-4.6248480000000002E-2</v>
      </c>
      <c r="AC720" s="122" t="s">
        <v>1838</v>
      </c>
    </row>
    <row r="721" spans="1:29" ht="12.75" hidden="1" customHeight="1">
      <c r="A721" s="125" t="str">
        <f t="shared" si="74"/>
        <v>LIC169Dividend Income - Equities</v>
      </c>
      <c r="B721" s="125">
        <f>+IFERROR(VLOOKUP(L721,'TB mapping'!A:D,4,0),0)</f>
        <v>0</v>
      </c>
      <c r="C721" s="125">
        <f>+IFERROR(VLOOKUP(L721,'TB mapping'!A:C,3,0),0)</f>
        <v>5.0999999999999996</v>
      </c>
      <c r="D721" s="125" t="str">
        <f t="shared" si="75"/>
        <v>LIC1690</v>
      </c>
      <c r="E721" s="125" t="str">
        <f t="shared" si="76"/>
        <v>LIC1695.1</v>
      </c>
      <c r="F721" s="150" t="s">
        <v>40</v>
      </c>
      <c r="G721" s="127" t="s">
        <v>453</v>
      </c>
      <c r="H721" s="127" t="s">
        <v>776</v>
      </c>
      <c r="I721" s="127" t="s">
        <v>777</v>
      </c>
      <c r="J721" s="128">
        <v>450000</v>
      </c>
      <c r="K721" s="127" t="s">
        <v>532</v>
      </c>
      <c r="L721" s="151">
        <v>451100</v>
      </c>
      <c r="M721" s="128">
        <v>0</v>
      </c>
      <c r="N721" s="127" t="s">
        <v>598</v>
      </c>
      <c r="O721" s="127" t="s">
        <v>457</v>
      </c>
      <c r="P721" s="128">
        <v>0</v>
      </c>
      <c r="Q721" s="128">
        <v>0</v>
      </c>
      <c r="R721" s="128">
        <v>0</v>
      </c>
      <c r="S721" s="128">
        <v>3522223.7</v>
      </c>
      <c r="T721" s="128">
        <v>0</v>
      </c>
      <c r="U721" s="128">
        <v>3522223.7</v>
      </c>
      <c r="V721" s="128">
        <v>0</v>
      </c>
      <c r="W721" s="128">
        <v>0</v>
      </c>
      <c r="X721" s="128">
        <v>0</v>
      </c>
      <c r="Y721" s="128">
        <v>3522223.7</v>
      </c>
      <c r="Z721" s="128">
        <v>0</v>
      </c>
      <c r="AA721" s="128">
        <v>3522223.7</v>
      </c>
      <c r="AB721" s="126">
        <f t="shared" si="77"/>
        <v>-0.35222237000000001</v>
      </c>
      <c r="AC721" s="122" t="s">
        <v>1838</v>
      </c>
    </row>
    <row r="722" spans="1:29" ht="12.75" hidden="1" customHeight="1">
      <c r="A722" s="125" t="str">
        <f t="shared" si="74"/>
        <v>LIC169Int Income - Corporate Bonds</v>
      </c>
      <c r="B722" s="125">
        <f>+IFERROR(VLOOKUP(L722,'TB mapping'!A:D,4,0),0)</f>
        <v>0</v>
      </c>
      <c r="C722" s="125">
        <f>+IFERROR(VLOOKUP(L722,'TB mapping'!A:C,3,0),0)</f>
        <v>5.2</v>
      </c>
      <c r="D722" s="125" t="str">
        <f t="shared" si="75"/>
        <v>LIC1690</v>
      </c>
      <c r="E722" s="125" t="str">
        <f t="shared" si="76"/>
        <v>LIC1695.2</v>
      </c>
      <c r="F722" s="150" t="s">
        <v>40</v>
      </c>
      <c r="G722" s="127" t="s">
        <v>453</v>
      </c>
      <c r="H722" s="127" t="s">
        <v>776</v>
      </c>
      <c r="I722" s="127" t="s">
        <v>777</v>
      </c>
      <c r="J722" s="128">
        <v>450000</v>
      </c>
      <c r="K722" s="127" t="s">
        <v>532</v>
      </c>
      <c r="L722" s="151">
        <v>452120</v>
      </c>
      <c r="M722" s="128">
        <v>0</v>
      </c>
      <c r="N722" s="127" t="s">
        <v>534</v>
      </c>
      <c r="O722" s="127" t="s">
        <v>457</v>
      </c>
      <c r="P722" s="128">
        <v>0</v>
      </c>
      <c r="Q722" s="128">
        <v>0</v>
      </c>
      <c r="R722" s="128">
        <v>0</v>
      </c>
      <c r="S722" s="128">
        <v>31820.05</v>
      </c>
      <c r="T722" s="128">
        <v>0</v>
      </c>
      <c r="U722" s="128">
        <v>31820.05</v>
      </c>
      <c r="V722" s="128">
        <v>0</v>
      </c>
      <c r="W722" s="128">
        <v>0</v>
      </c>
      <c r="X722" s="128">
        <v>0</v>
      </c>
      <c r="Y722" s="128">
        <v>31820.05</v>
      </c>
      <c r="Z722" s="128">
        <v>0</v>
      </c>
      <c r="AA722" s="128">
        <v>31820.05</v>
      </c>
      <c r="AB722" s="126">
        <f t="shared" si="77"/>
        <v>-3.1820049999999999E-3</v>
      </c>
      <c r="AC722" s="122" t="s">
        <v>1838</v>
      </c>
    </row>
    <row r="723" spans="1:29" ht="12.75" hidden="1" customHeight="1">
      <c r="A723" s="125" t="str">
        <f t="shared" si="74"/>
        <v>LIC169Amort. Income - CBLO</v>
      </c>
      <c r="B723" s="125">
        <f>+IFERROR(VLOOKUP(L723,'TB mapping'!A:D,4,0),0)</f>
        <v>0</v>
      </c>
      <c r="C723" s="125">
        <f>+IFERROR(VLOOKUP(L723,'TB mapping'!A:C,3,0),0)</f>
        <v>5.2</v>
      </c>
      <c r="D723" s="125" t="str">
        <f t="shared" si="75"/>
        <v>LIC1690</v>
      </c>
      <c r="E723" s="125" t="str">
        <f t="shared" si="76"/>
        <v>LIC1695.2</v>
      </c>
      <c r="F723" s="150" t="s">
        <v>40</v>
      </c>
      <c r="G723" s="127" t="s">
        <v>453</v>
      </c>
      <c r="H723" s="127" t="s">
        <v>776</v>
      </c>
      <c r="I723" s="127" t="s">
        <v>777</v>
      </c>
      <c r="J723" s="128">
        <v>450000</v>
      </c>
      <c r="K723" s="127" t="s">
        <v>532</v>
      </c>
      <c r="L723" s="151">
        <v>452228</v>
      </c>
      <c r="M723" s="128">
        <v>0</v>
      </c>
      <c r="N723" s="127" t="s">
        <v>537</v>
      </c>
      <c r="O723" s="127" t="s">
        <v>457</v>
      </c>
      <c r="P723" s="128">
        <v>0</v>
      </c>
      <c r="Q723" s="128">
        <v>0</v>
      </c>
      <c r="R723" s="128">
        <v>0</v>
      </c>
      <c r="S723" s="128">
        <v>537904.80000000005</v>
      </c>
      <c r="T723" s="128">
        <v>0</v>
      </c>
      <c r="U723" s="128">
        <v>537904.80000000005</v>
      </c>
      <c r="V723" s="128">
        <v>0</v>
      </c>
      <c r="W723" s="128">
        <v>0</v>
      </c>
      <c r="X723" s="128">
        <v>0</v>
      </c>
      <c r="Y723" s="128">
        <v>537904.80000000005</v>
      </c>
      <c r="Z723" s="128">
        <v>0</v>
      </c>
      <c r="AA723" s="128">
        <v>537904.80000000005</v>
      </c>
      <c r="AB723" s="126">
        <f t="shared" si="77"/>
        <v>-5.3790480000000002E-2</v>
      </c>
      <c r="AC723" s="122" t="s">
        <v>1838</v>
      </c>
    </row>
    <row r="724" spans="1:29" ht="12.75" hidden="1" customHeight="1">
      <c r="A724" s="125" t="str">
        <f t="shared" si="74"/>
        <v>LIC169Int Income - Repo Deposits</v>
      </c>
      <c r="B724" s="125">
        <f>+IFERROR(VLOOKUP(L724,'TB mapping'!A:D,4,0),0)</f>
        <v>0</v>
      </c>
      <c r="C724" s="125">
        <f>+IFERROR(VLOOKUP(L724,'TB mapping'!A:C,3,0),0)</f>
        <v>5.2</v>
      </c>
      <c r="D724" s="125" t="str">
        <f t="shared" si="75"/>
        <v>LIC1690</v>
      </c>
      <c r="E724" s="125" t="str">
        <f t="shared" si="76"/>
        <v>LIC1695.2</v>
      </c>
      <c r="F724" s="150" t="s">
        <v>40</v>
      </c>
      <c r="G724" s="127" t="s">
        <v>453</v>
      </c>
      <c r="H724" s="127" t="s">
        <v>776</v>
      </c>
      <c r="I724" s="127" t="s">
        <v>777</v>
      </c>
      <c r="J724" s="128">
        <v>450000</v>
      </c>
      <c r="K724" s="127" t="s">
        <v>532</v>
      </c>
      <c r="L724" s="151">
        <v>452230</v>
      </c>
      <c r="M724" s="128">
        <v>0</v>
      </c>
      <c r="N724" s="127" t="s">
        <v>538</v>
      </c>
      <c r="O724" s="127" t="s">
        <v>457</v>
      </c>
      <c r="P724" s="128">
        <v>0</v>
      </c>
      <c r="Q724" s="128">
        <v>0</v>
      </c>
      <c r="R724" s="128">
        <v>0</v>
      </c>
      <c r="S724" s="128">
        <v>138082.18</v>
      </c>
      <c r="T724" s="128">
        <v>0</v>
      </c>
      <c r="U724" s="128">
        <v>138082.18</v>
      </c>
      <c r="V724" s="128">
        <v>0</v>
      </c>
      <c r="W724" s="128">
        <v>0</v>
      </c>
      <c r="X724" s="128">
        <v>0</v>
      </c>
      <c r="Y724" s="128">
        <v>138082.18</v>
      </c>
      <c r="Z724" s="128">
        <v>0</v>
      </c>
      <c r="AA724" s="128">
        <v>138082.18</v>
      </c>
      <c r="AB724" s="126">
        <f t="shared" si="77"/>
        <v>-1.3808217999999999E-2</v>
      </c>
      <c r="AC724" s="122" t="s">
        <v>1838</v>
      </c>
    </row>
    <row r="725" spans="1:29" ht="12.75" hidden="1" customHeight="1">
      <c r="A725" s="125" t="str">
        <f t="shared" si="74"/>
        <v>LIC169Other Income</v>
      </c>
      <c r="B725" s="125">
        <f>+IFERROR(VLOOKUP(L725,'TB mapping'!A:D,4,0),0)</f>
        <v>0</v>
      </c>
      <c r="C725" s="125">
        <f>+IFERROR(VLOOKUP(L725,'TB mapping'!A:C,3,0),0)</f>
        <v>5.5</v>
      </c>
      <c r="D725" s="125" t="str">
        <f t="shared" si="75"/>
        <v>LIC1690</v>
      </c>
      <c r="E725" s="125" t="str">
        <f t="shared" si="76"/>
        <v>LIC1695.5</v>
      </c>
      <c r="F725" s="150" t="s">
        <v>40</v>
      </c>
      <c r="G725" s="127" t="s">
        <v>453</v>
      </c>
      <c r="H725" s="127" t="s">
        <v>776</v>
      </c>
      <c r="I725" s="127" t="s">
        <v>777</v>
      </c>
      <c r="J725" s="128">
        <v>460000</v>
      </c>
      <c r="K725" s="127" t="s">
        <v>539</v>
      </c>
      <c r="L725" s="151">
        <v>460000</v>
      </c>
      <c r="M725" s="128">
        <v>0</v>
      </c>
      <c r="N725" s="127" t="s">
        <v>541</v>
      </c>
      <c r="O725" s="127" t="s">
        <v>457</v>
      </c>
      <c r="P725" s="128">
        <v>0</v>
      </c>
      <c r="Q725" s="128">
        <v>0</v>
      </c>
      <c r="R725" s="128">
        <v>0</v>
      </c>
      <c r="S725" s="128">
        <v>607.46</v>
      </c>
      <c r="T725" s="128">
        <v>0</v>
      </c>
      <c r="U725" s="128">
        <v>607.46</v>
      </c>
      <c r="V725" s="128">
        <v>0</v>
      </c>
      <c r="W725" s="128">
        <v>0</v>
      </c>
      <c r="X725" s="128">
        <v>0</v>
      </c>
      <c r="Y725" s="128">
        <v>607.46</v>
      </c>
      <c r="Z725" s="128">
        <v>0</v>
      </c>
      <c r="AA725" s="128">
        <v>607.46</v>
      </c>
      <c r="AB725" s="126">
        <f t="shared" si="77"/>
        <v>-6.0746000000000004E-5</v>
      </c>
      <c r="AC725" s="122" t="s">
        <v>1838</v>
      </c>
    </row>
    <row r="726" spans="1:29" ht="12.75" hidden="1" customHeight="1">
      <c r="A726" s="125" t="str">
        <f t="shared" si="74"/>
        <v>LIC169R/L L/P - Equities</v>
      </c>
      <c r="B726" s="125">
        <f>+IFERROR(VLOOKUP(L726,'TB mapping'!A:D,4,0),0)</f>
        <v>0</v>
      </c>
      <c r="C726" s="125">
        <f>+IFERROR(VLOOKUP(L726,'TB mapping'!A:C,3,0),0)</f>
        <v>5.3</v>
      </c>
      <c r="D726" s="125" t="str">
        <f t="shared" si="75"/>
        <v>LIC1690</v>
      </c>
      <c r="E726" s="125" t="str">
        <f t="shared" si="76"/>
        <v>LIC1695.3</v>
      </c>
      <c r="F726" s="150" t="s">
        <v>40</v>
      </c>
      <c r="G726" s="127" t="s">
        <v>453</v>
      </c>
      <c r="H726" s="127" t="s">
        <v>776</v>
      </c>
      <c r="I726" s="127" t="s">
        <v>777</v>
      </c>
      <c r="J726" s="128">
        <v>510000</v>
      </c>
      <c r="K726" s="127" t="s">
        <v>546</v>
      </c>
      <c r="L726" s="151">
        <v>511100</v>
      </c>
      <c r="M726" s="128">
        <v>0</v>
      </c>
      <c r="N726" s="127" t="s">
        <v>599</v>
      </c>
      <c r="O726" s="127" t="s">
        <v>457</v>
      </c>
      <c r="P726" s="128">
        <v>0</v>
      </c>
      <c r="Q726" s="128">
        <v>0</v>
      </c>
      <c r="R726" s="128">
        <v>-18429396.739999998</v>
      </c>
      <c r="S726" s="128">
        <v>0</v>
      </c>
      <c r="T726" s="128">
        <v>-18429396.739999998</v>
      </c>
      <c r="U726" s="128">
        <v>0</v>
      </c>
      <c r="V726" s="128">
        <v>0</v>
      </c>
      <c r="W726" s="128">
        <v>0</v>
      </c>
      <c r="X726" s="128">
        <v>-18429396.739999998</v>
      </c>
      <c r="Y726" s="128">
        <v>0</v>
      </c>
      <c r="Z726" s="128">
        <v>-18429396.739999998</v>
      </c>
      <c r="AA726" s="128">
        <v>0</v>
      </c>
      <c r="AB726" s="126">
        <f t="shared" si="77"/>
        <v>1.8429396739999999</v>
      </c>
      <c r="AC726" s="122" t="s">
        <v>1838</v>
      </c>
    </row>
    <row r="727" spans="1:29" ht="12.75" hidden="1" customHeight="1">
      <c r="A727" s="125" t="str">
        <f t="shared" si="74"/>
        <v>LIC169SEBI Fees</v>
      </c>
      <c r="B727" s="125">
        <f>+IFERROR(VLOOKUP(L727,'TB mapping'!A:D,4,0),0)</f>
        <v>0</v>
      </c>
      <c r="C727" s="125">
        <f>+IFERROR(VLOOKUP(L727,'TB mapping'!A:C,3,0),0)</f>
        <v>6.3</v>
      </c>
      <c r="D727" s="125" t="str">
        <f t="shared" si="75"/>
        <v>LIC1690</v>
      </c>
      <c r="E727" s="125" t="str">
        <f t="shared" si="76"/>
        <v>LIC1696.3</v>
      </c>
      <c r="F727" s="150" t="s">
        <v>40</v>
      </c>
      <c r="G727" s="127" t="s">
        <v>453</v>
      </c>
      <c r="H727" s="127" t="s">
        <v>776</v>
      </c>
      <c r="I727" s="127" t="s">
        <v>777</v>
      </c>
      <c r="J727" s="128">
        <v>550000</v>
      </c>
      <c r="K727" s="127" t="s">
        <v>550</v>
      </c>
      <c r="L727" s="151">
        <v>553007</v>
      </c>
      <c r="M727" s="128">
        <v>0</v>
      </c>
      <c r="N727" s="127" t="s">
        <v>551</v>
      </c>
      <c r="O727" s="127" t="s">
        <v>457</v>
      </c>
      <c r="P727" s="128">
        <v>0</v>
      </c>
      <c r="Q727" s="128">
        <v>0</v>
      </c>
      <c r="R727" s="128">
        <v>-4160.68</v>
      </c>
      <c r="S727" s="128">
        <v>0</v>
      </c>
      <c r="T727" s="128">
        <v>-4160.68</v>
      </c>
      <c r="U727" s="128">
        <v>0</v>
      </c>
      <c r="V727" s="128">
        <v>0</v>
      </c>
      <c r="W727" s="128">
        <v>0</v>
      </c>
      <c r="X727" s="128">
        <v>-4160.68</v>
      </c>
      <c r="Y727" s="128">
        <v>0</v>
      </c>
      <c r="Z727" s="128">
        <v>-4160.68</v>
      </c>
      <c r="AA727" s="128">
        <v>0</v>
      </c>
      <c r="AB727" s="126">
        <f t="shared" si="77"/>
        <v>4.1606800000000002E-4</v>
      </c>
      <c r="AC727" s="122" t="s">
        <v>1838</v>
      </c>
    </row>
    <row r="728" spans="1:29" ht="12.75" hidden="1" customHeight="1">
      <c r="A728" s="125" t="str">
        <f t="shared" si="74"/>
        <v>LIC169Audit Fee</v>
      </c>
      <c r="B728" s="125">
        <f>+IFERROR(VLOOKUP(L728,'TB mapping'!A:D,4,0),0)</f>
        <v>0</v>
      </c>
      <c r="C728" s="125">
        <f>+IFERROR(VLOOKUP(L728,'TB mapping'!A:C,3,0),0)</f>
        <v>6.3</v>
      </c>
      <c r="D728" s="125" t="str">
        <f t="shared" si="75"/>
        <v>LIC1690</v>
      </c>
      <c r="E728" s="125" t="str">
        <f t="shared" si="76"/>
        <v>LIC1696.3</v>
      </c>
      <c r="F728" s="150" t="s">
        <v>40</v>
      </c>
      <c r="G728" s="127" t="s">
        <v>453</v>
      </c>
      <c r="H728" s="127" t="s">
        <v>776</v>
      </c>
      <c r="I728" s="127" t="s">
        <v>777</v>
      </c>
      <c r="J728" s="128">
        <v>550000</v>
      </c>
      <c r="K728" s="127" t="s">
        <v>550</v>
      </c>
      <c r="L728" s="151">
        <v>553105</v>
      </c>
      <c r="M728" s="128">
        <v>0</v>
      </c>
      <c r="N728" s="127" t="s">
        <v>552</v>
      </c>
      <c r="O728" s="127" t="s">
        <v>457</v>
      </c>
      <c r="P728" s="128">
        <v>0</v>
      </c>
      <c r="Q728" s="128">
        <v>0</v>
      </c>
      <c r="R728" s="128">
        <v>-531.48</v>
      </c>
      <c r="S728" s="128">
        <v>0</v>
      </c>
      <c r="T728" s="128">
        <v>-531.48</v>
      </c>
      <c r="U728" s="128">
        <v>0</v>
      </c>
      <c r="V728" s="128">
        <v>0</v>
      </c>
      <c r="W728" s="128">
        <v>0</v>
      </c>
      <c r="X728" s="128">
        <v>-531.48</v>
      </c>
      <c r="Y728" s="128">
        <v>0</v>
      </c>
      <c r="Z728" s="128">
        <v>-531.48</v>
      </c>
      <c r="AA728" s="128">
        <v>0</v>
      </c>
      <c r="AB728" s="126">
        <f t="shared" si="77"/>
        <v>5.3148E-5</v>
      </c>
      <c r="AC728" s="122" t="s">
        <v>1838</v>
      </c>
    </row>
    <row r="729" spans="1:29" ht="12.75" hidden="1" customHeight="1">
      <c r="A729" s="125" t="str">
        <f t="shared" si="74"/>
        <v>LIC169Custody Fee</v>
      </c>
      <c r="B729" s="125">
        <f>+IFERROR(VLOOKUP(L729,'TB mapping'!A:D,4,0),0)</f>
        <v>0</v>
      </c>
      <c r="C729" s="125">
        <f>+IFERROR(VLOOKUP(L729,'TB mapping'!A:C,3,0),0)</f>
        <v>6.3</v>
      </c>
      <c r="D729" s="125" t="str">
        <f t="shared" si="75"/>
        <v>LIC1690</v>
      </c>
      <c r="E729" s="125" t="str">
        <f t="shared" si="76"/>
        <v>LIC1696.3</v>
      </c>
      <c r="F729" s="150" t="s">
        <v>40</v>
      </c>
      <c r="G729" s="127" t="s">
        <v>453</v>
      </c>
      <c r="H729" s="127" t="s">
        <v>776</v>
      </c>
      <c r="I729" s="127" t="s">
        <v>777</v>
      </c>
      <c r="J729" s="128">
        <v>550000</v>
      </c>
      <c r="K729" s="127" t="s">
        <v>550</v>
      </c>
      <c r="L729" s="151">
        <v>553107</v>
      </c>
      <c r="M729" s="128">
        <v>0</v>
      </c>
      <c r="N729" s="127" t="s">
        <v>553</v>
      </c>
      <c r="O729" s="127" t="s">
        <v>457</v>
      </c>
      <c r="P729" s="128">
        <v>0</v>
      </c>
      <c r="Q729" s="128">
        <v>0</v>
      </c>
      <c r="R729" s="128">
        <v>-37826.83</v>
      </c>
      <c r="S729" s="128">
        <v>0</v>
      </c>
      <c r="T729" s="128">
        <v>-37826.83</v>
      </c>
      <c r="U729" s="128">
        <v>0</v>
      </c>
      <c r="V729" s="128">
        <v>0</v>
      </c>
      <c r="W729" s="128">
        <v>0</v>
      </c>
      <c r="X729" s="128">
        <v>-37826.83</v>
      </c>
      <c r="Y729" s="128">
        <v>0</v>
      </c>
      <c r="Z729" s="128">
        <v>-37826.83</v>
      </c>
      <c r="AA729" s="128">
        <v>0</v>
      </c>
      <c r="AB729" s="126">
        <f t="shared" si="77"/>
        <v>3.7826830000000002E-3</v>
      </c>
      <c r="AC729" s="122" t="s">
        <v>1838</v>
      </c>
    </row>
    <row r="730" spans="1:29" ht="12.75" hidden="1" customHeight="1">
      <c r="A730" s="125" t="str">
        <f t="shared" si="74"/>
        <v>LIC169Expense Allocation Account</v>
      </c>
      <c r="B730" s="125">
        <f>+IFERROR(VLOOKUP(L730,'TB mapping'!A:D,4,0),0)</f>
        <v>0</v>
      </c>
      <c r="C730" s="125">
        <f>+IFERROR(VLOOKUP(L730,'TB mapping'!A:C,3,0),0)</f>
        <v>6.3</v>
      </c>
      <c r="D730" s="125" t="str">
        <f t="shared" si="75"/>
        <v>LIC1690</v>
      </c>
      <c r="E730" s="125" t="str">
        <f t="shared" si="76"/>
        <v>LIC1696.3</v>
      </c>
      <c r="F730" s="150" t="s">
        <v>40</v>
      </c>
      <c r="G730" s="127" t="s">
        <v>453</v>
      </c>
      <c r="H730" s="127" t="s">
        <v>776</v>
      </c>
      <c r="I730" s="127" t="s">
        <v>777</v>
      </c>
      <c r="J730" s="128">
        <v>550000</v>
      </c>
      <c r="K730" s="127" t="s">
        <v>550</v>
      </c>
      <c r="L730" s="151">
        <v>553111</v>
      </c>
      <c r="M730" s="128">
        <v>0</v>
      </c>
      <c r="N730" s="127" t="s">
        <v>554</v>
      </c>
      <c r="O730" s="127" t="s">
        <v>457</v>
      </c>
      <c r="P730" s="128">
        <v>0</v>
      </c>
      <c r="Q730" s="128">
        <v>0</v>
      </c>
      <c r="R730" s="128">
        <v>0</v>
      </c>
      <c r="S730" s="128">
        <v>121375.08</v>
      </c>
      <c r="T730" s="128">
        <v>0</v>
      </c>
      <c r="U730" s="128">
        <v>121375.08</v>
      </c>
      <c r="V730" s="128">
        <v>0</v>
      </c>
      <c r="W730" s="128">
        <v>0</v>
      </c>
      <c r="X730" s="128">
        <v>0</v>
      </c>
      <c r="Y730" s="128">
        <v>121375.08</v>
      </c>
      <c r="Z730" s="128">
        <v>0</v>
      </c>
      <c r="AA730" s="128">
        <v>121375.08</v>
      </c>
      <c r="AB730" s="126">
        <f t="shared" si="77"/>
        <v>-1.2137508E-2</v>
      </c>
      <c r="AC730" s="122" t="s">
        <v>1838</v>
      </c>
    </row>
    <row r="731" spans="1:29" ht="12.75" hidden="1" customHeight="1">
      <c r="A731" s="125" t="str">
        <f t="shared" si="74"/>
        <v>LIC169Trustee Fee</v>
      </c>
      <c r="B731" s="125">
        <f>+IFERROR(VLOOKUP(L731,'TB mapping'!A:D,4,0),0)</f>
        <v>6.2</v>
      </c>
      <c r="C731" s="125">
        <f>+IFERROR(VLOOKUP(L731,'TB mapping'!A:C,3,0),0)</f>
        <v>6.3</v>
      </c>
      <c r="D731" s="125" t="str">
        <f t="shared" si="75"/>
        <v>LIC1696.2</v>
      </c>
      <c r="E731" s="125" t="str">
        <f t="shared" si="76"/>
        <v>LIC1696.3</v>
      </c>
      <c r="F731" s="150" t="s">
        <v>40</v>
      </c>
      <c r="G731" s="127" t="s">
        <v>453</v>
      </c>
      <c r="H731" s="127" t="s">
        <v>776</v>
      </c>
      <c r="I731" s="127" t="s">
        <v>777</v>
      </c>
      <c r="J731" s="128">
        <v>550000</v>
      </c>
      <c r="K731" s="127" t="s">
        <v>550</v>
      </c>
      <c r="L731" s="151">
        <v>553131</v>
      </c>
      <c r="M731" s="128">
        <v>0</v>
      </c>
      <c r="N731" s="127" t="s">
        <v>555</v>
      </c>
      <c r="O731" s="127" t="s">
        <v>457</v>
      </c>
      <c r="P731" s="128">
        <v>0</v>
      </c>
      <c r="Q731" s="128">
        <v>0</v>
      </c>
      <c r="R731" s="128">
        <v>-3183.99</v>
      </c>
      <c r="S731" s="128">
        <v>0</v>
      </c>
      <c r="T731" s="128">
        <v>-3183.99</v>
      </c>
      <c r="U731" s="128">
        <v>0</v>
      </c>
      <c r="V731" s="128">
        <v>0</v>
      </c>
      <c r="W731" s="128">
        <v>0</v>
      </c>
      <c r="X731" s="128">
        <v>-3183.99</v>
      </c>
      <c r="Y731" s="128">
        <v>0</v>
      </c>
      <c r="Z731" s="128">
        <v>-3183.99</v>
      </c>
      <c r="AA731" s="128">
        <v>0</v>
      </c>
      <c r="AB731" s="126">
        <f t="shared" si="77"/>
        <v>3.1839899999999997E-4</v>
      </c>
      <c r="AC731" s="122" t="s">
        <v>1838</v>
      </c>
    </row>
    <row r="732" spans="1:29" ht="12.75" hidden="1" customHeight="1">
      <c r="A732" s="125" t="str">
        <f t="shared" si="74"/>
        <v>LIC169Investor Education Fund Exps</v>
      </c>
      <c r="B732" s="125">
        <f>+IFERROR(VLOOKUP(L732,'TB mapping'!A:D,4,0),0)</f>
        <v>0</v>
      </c>
      <c r="C732" s="125">
        <f>+IFERROR(VLOOKUP(L732,'TB mapping'!A:C,3,0),0)</f>
        <v>6.3</v>
      </c>
      <c r="D732" s="125" t="str">
        <f t="shared" si="75"/>
        <v>LIC1690</v>
      </c>
      <c r="E732" s="125" t="str">
        <f t="shared" si="76"/>
        <v>LIC1696.3</v>
      </c>
      <c r="F732" s="150" t="s">
        <v>40</v>
      </c>
      <c r="G732" s="127" t="s">
        <v>453</v>
      </c>
      <c r="H732" s="127" t="s">
        <v>776</v>
      </c>
      <c r="I732" s="127" t="s">
        <v>777</v>
      </c>
      <c r="J732" s="128">
        <v>550000</v>
      </c>
      <c r="K732" s="127" t="s">
        <v>550</v>
      </c>
      <c r="L732" s="151">
        <v>553171</v>
      </c>
      <c r="M732" s="128">
        <v>0</v>
      </c>
      <c r="N732" s="127" t="s">
        <v>557</v>
      </c>
      <c r="O732" s="127" t="s">
        <v>457</v>
      </c>
      <c r="P732" s="128">
        <v>0</v>
      </c>
      <c r="Q732" s="128">
        <v>0</v>
      </c>
      <c r="R732" s="128">
        <v>-31172.23</v>
      </c>
      <c r="S732" s="128">
        <v>0</v>
      </c>
      <c r="T732" s="128">
        <v>-31172.23</v>
      </c>
      <c r="U732" s="128">
        <v>0</v>
      </c>
      <c r="V732" s="128">
        <v>0</v>
      </c>
      <c r="W732" s="128">
        <v>0</v>
      </c>
      <c r="X732" s="128">
        <v>-31172.23</v>
      </c>
      <c r="Y732" s="128">
        <v>0</v>
      </c>
      <c r="Z732" s="128">
        <v>-31172.23</v>
      </c>
      <c r="AA732" s="128">
        <v>0</v>
      </c>
      <c r="AB732" s="126">
        <f t="shared" si="77"/>
        <v>3.1172230000000001E-3</v>
      </c>
      <c r="AC732" s="122" t="s">
        <v>1838</v>
      </c>
    </row>
    <row r="733" spans="1:29" ht="12.75" hidden="1" customHeight="1">
      <c r="A733" s="125" t="str">
        <f t="shared" si="74"/>
        <v>LIC169Service Tax on Management Fees</v>
      </c>
      <c r="B733" s="125">
        <f>+IFERROR(VLOOKUP(L733,'TB mapping'!A:D,4,0),0)</f>
        <v>6.1</v>
      </c>
      <c r="C733" s="125">
        <f>+IFERROR(VLOOKUP(L733,'TB mapping'!A:C,3,0),0)</f>
        <v>6.3</v>
      </c>
      <c r="D733" s="125" t="str">
        <f t="shared" si="75"/>
        <v>LIC1696.1</v>
      </c>
      <c r="E733" s="125" t="str">
        <f t="shared" si="76"/>
        <v>LIC1696.3</v>
      </c>
      <c r="F733" s="150" t="s">
        <v>40</v>
      </c>
      <c r="G733" s="127" t="s">
        <v>453</v>
      </c>
      <c r="H733" s="127" t="s">
        <v>776</v>
      </c>
      <c r="I733" s="127" t="s">
        <v>777</v>
      </c>
      <c r="J733" s="128">
        <v>550000</v>
      </c>
      <c r="K733" s="127" t="s">
        <v>550</v>
      </c>
      <c r="L733" s="151">
        <v>553172</v>
      </c>
      <c r="M733" s="128">
        <v>0</v>
      </c>
      <c r="N733" s="127" t="s">
        <v>558</v>
      </c>
      <c r="O733" s="127" t="s">
        <v>457</v>
      </c>
      <c r="P733" s="128">
        <v>0</v>
      </c>
      <c r="Q733" s="128">
        <v>0</v>
      </c>
      <c r="R733" s="128">
        <v>-291375.40000000002</v>
      </c>
      <c r="S733" s="128">
        <v>0</v>
      </c>
      <c r="T733" s="128">
        <v>-291375.40000000002</v>
      </c>
      <c r="U733" s="128">
        <v>0</v>
      </c>
      <c r="V733" s="128">
        <v>0</v>
      </c>
      <c r="W733" s="128">
        <v>0</v>
      </c>
      <c r="X733" s="128">
        <v>-291375.40000000002</v>
      </c>
      <c r="Y733" s="128">
        <v>0</v>
      </c>
      <c r="Z733" s="128">
        <v>-291375.40000000002</v>
      </c>
      <c r="AA733" s="128">
        <v>0</v>
      </c>
      <c r="AB733" s="126">
        <f t="shared" si="77"/>
        <v>2.9137540000000003E-2</v>
      </c>
      <c r="AC733" s="122" t="s">
        <v>1838</v>
      </c>
    </row>
    <row r="734" spans="1:29" ht="12.75" hidden="1" customHeight="1">
      <c r="A734" s="125" t="str">
        <f t="shared" si="74"/>
        <v>LIC169CCIL Expenses</v>
      </c>
      <c r="B734" s="125">
        <f>+IFERROR(VLOOKUP(L734,'TB mapping'!A:D,4,0),0)</f>
        <v>0</v>
      </c>
      <c r="C734" s="125">
        <f>+IFERROR(VLOOKUP(L734,'TB mapping'!A:C,3,0),0)</f>
        <v>6.3</v>
      </c>
      <c r="D734" s="125" t="str">
        <f t="shared" si="75"/>
        <v>LIC1690</v>
      </c>
      <c r="E734" s="125" t="str">
        <f t="shared" si="76"/>
        <v>LIC1696.3</v>
      </c>
      <c r="F734" s="150" t="s">
        <v>40</v>
      </c>
      <c r="G734" s="127" t="s">
        <v>453</v>
      </c>
      <c r="H734" s="127" t="s">
        <v>776</v>
      </c>
      <c r="I734" s="127" t="s">
        <v>777</v>
      </c>
      <c r="J734" s="128">
        <v>550000</v>
      </c>
      <c r="K734" s="127" t="s">
        <v>550</v>
      </c>
      <c r="L734" s="151">
        <v>553176</v>
      </c>
      <c r="M734" s="128">
        <v>0</v>
      </c>
      <c r="N734" s="127" t="s">
        <v>559</v>
      </c>
      <c r="O734" s="127" t="s">
        <v>457</v>
      </c>
      <c r="P734" s="128">
        <v>0</v>
      </c>
      <c r="Q734" s="128">
        <v>0</v>
      </c>
      <c r="R734" s="128">
        <v>-1633.01</v>
      </c>
      <c r="S734" s="128">
        <v>0</v>
      </c>
      <c r="T734" s="128">
        <v>-1633.01</v>
      </c>
      <c r="U734" s="128">
        <v>0</v>
      </c>
      <c r="V734" s="128">
        <v>0</v>
      </c>
      <c r="W734" s="128">
        <v>0</v>
      </c>
      <c r="X734" s="128">
        <v>-1633.01</v>
      </c>
      <c r="Y734" s="128">
        <v>0</v>
      </c>
      <c r="Z734" s="128">
        <v>-1633.01</v>
      </c>
      <c r="AA734" s="128">
        <v>0</v>
      </c>
      <c r="AB734" s="126">
        <f t="shared" si="77"/>
        <v>1.63301E-4</v>
      </c>
      <c r="AC734" s="122" t="s">
        <v>1838</v>
      </c>
    </row>
    <row r="735" spans="1:29" ht="12.75" hidden="1" customHeight="1">
      <c r="A735" s="125" t="str">
        <f t="shared" si="74"/>
        <v>LIC169Out of Pocket Expenses - R&amp;T</v>
      </c>
      <c r="B735" s="125">
        <f>+IFERROR(VLOOKUP(L735,'TB mapping'!A:D,4,0),0)</f>
        <v>0</v>
      </c>
      <c r="C735" s="125">
        <f>+IFERROR(VLOOKUP(L735,'TB mapping'!A:C,3,0),0)</f>
        <v>6.3</v>
      </c>
      <c r="D735" s="125" t="str">
        <f t="shared" si="75"/>
        <v>LIC1690</v>
      </c>
      <c r="E735" s="125" t="str">
        <f t="shared" si="76"/>
        <v>LIC1696.3</v>
      </c>
      <c r="F735" s="150" t="s">
        <v>40</v>
      </c>
      <c r="G735" s="127" t="s">
        <v>453</v>
      </c>
      <c r="H735" s="127" t="s">
        <v>776</v>
      </c>
      <c r="I735" s="127" t="s">
        <v>777</v>
      </c>
      <c r="J735" s="128">
        <v>550000</v>
      </c>
      <c r="K735" s="127" t="s">
        <v>550</v>
      </c>
      <c r="L735" s="151">
        <v>553180</v>
      </c>
      <c r="M735" s="128">
        <v>0</v>
      </c>
      <c r="N735" s="127" t="s">
        <v>560</v>
      </c>
      <c r="O735" s="127" t="s">
        <v>457</v>
      </c>
      <c r="P735" s="128">
        <v>0</v>
      </c>
      <c r="Q735" s="128">
        <v>0</v>
      </c>
      <c r="R735" s="128">
        <v>-15132.37</v>
      </c>
      <c r="S735" s="128">
        <v>0</v>
      </c>
      <c r="T735" s="128">
        <v>-15132.37</v>
      </c>
      <c r="U735" s="128">
        <v>0</v>
      </c>
      <c r="V735" s="128">
        <v>0</v>
      </c>
      <c r="W735" s="128">
        <v>0</v>
      </c>
      <c r="X735" s="128">
        <v>-15132.37</v>
      </c>
      <c r="Y735" s="128">
        <v>0</v>
      </c>
      <c r="Z735" s="128">
        <v>-15132.37</v>
      </c>
      <c r="AA735" s="128">
        <v>0</v>
      </c>
      <c r="AB735" s="126">
        <f t="shared" si="77"/>
        <v>1.5132370000000002E-3</v>
      </c>
      <c r="AC735" s="122" t="s">
        <v>1838</v>
      </c>
    </row>
    <row r="736" spans="1:29" ht="12.75" hidden="1" customHeight="1">
      <c r="A736" s="125" t="str">
        <f t="shared" si="74"/>
        <v>LIC169Other Expenses</v>
      </c>
      <c r="B736" s="125">
        <f>+IFERROR(VLOOKUP(L736,'TB mapping'!A:D,4,0),0)</f>
        <v>0</v>
      </c>
      <c r="C736" s="125">
        <f>+IFERROR(VLOOKUP(L736,'TB mapping'!A:C,3,0),0)</f>
        <v>6.3</v>
      </c>
      <c r="D736" s="125" t="str">
        <f t="shared" si="75"/>
        <v>LIC1690</v>
      </c>
      <c r="E736" s="125" t="str">
        <f t="shared" si="76"/>
        <v>LIC1696.3</v>
      </c>
      <c r="F736" s="150" t="s">
        <v>40</v>
      </c>
      <c r="G736" s="127" t="s">
        <v>453</v>
      </c>
      <c r="H736" s="127" t="s">
        <v>776</v>
      </c>
      <c r="I736" s="127" t="s">
        <v>777</v>
      </c>
      <c r="J736" s="128">
        <v>550000</v>
      </c>
      <c r="K736" s="127" t="s">
        <v>550</v>
      </c>
      <c r="L736" s="151">
        <v>553190</v>
      </c>
      <c r="M736" s="128">
        <v>0</v>
      </c>
      <c r="N736" s="127" t="s">
        <v>561</v>
      </c>
      <c r="O736" s="127" t="s">
        <v>457</v>
      </c>
      <c r="P736" s="128">
        <v>0</v>
      </c>
      <c r="Q736" s="128">
        <v>0</v>
      </c>
      <c r="R736" s="128">
        <v>-107051.34</v>
      </c>
      <c r="S736" s="128">
        <v>0</v>
      </c>
      <c r="T736" s="128">
        <v>-107051.34</v>
      </c>
      <c r="U736" s="128">
        <v>0</v>
      </c>
      <c r="V736" s="128">
        <v>0</v>
      </c>
      <c r="W736" s="128">
        <v>0</v>
      </c>
      <c r="X736" s="128">
        <v>-107051.34</v>
      </c>
      <c r="Y736" s="128">
        <v>0</v>
      </c>
      <c r="Z736" s="128">
        <v>-107051.34</v>
      </c>
      <c r="AA736" s="128">
        <v>0</v>
      </c>
      <c r="AB736" s="126">
        <f t="shared" si="77"/>
        <v>1.0705134E-2</v>
      </c>
      <c r="AC736" s="122" t="s">
        <v>1838</v>
      </c>
    </row>
    <row r="737" spans="1:29" ht="12.75" hidden="1" customHeight="1">
      <c r="A737" s="125" t="str">
        <f t="shared" si="74"/>
        <v>LIC169Other Expenses-RG</v>
      </c>
      <c r="B737" s="125">
        <f>+IFERROR(VLOOKUP(L737,'TB mapping'!A:D,4,0),0)</f>
        <v>0</v>
      </c>
      <c r="C737" s="125">
        <f>+IFERROR(VLOOKUP(L737,'TB mapping'!A:C,3,0),0)</f>
        <v>6.3</v>
      </c>
      <c r="D737" s="125" t="str">
        <f t="shared" si="75"/>
        <v>LIC1690</v>
      </c>
      <c r="E737" s="125" t="str">
        <f t="shared" si="76"/>
        <v>LIC1696.3</v>
      </c>
      <c r="F737" s="150" t="s">
        <v>40</v>
      </c>
      <c r="G737" s="127" t="s">
        <v>453</v>
      </c>
      <c r="H737" s="127" t="s">
        <v>776</v>
      </c>
      <c r="I737" s="127" t="s">
        <v>777</v>
      </c>
      <c r="J737" s="128">
        <v>550000</v>
      </c>
      <c r="K737" s="127" t="s">
        <v>550</v>
      </c>
      <c r="L737" s="151">
        <v>553191</v>
      </c>
      <c r="M737" s="128">
        <v>0</v>
      </c>
      <c r="N737" s="127" t="s">
        <v>562</v>
      </c>
      <c r="O737" s="127" t="s">
        <v>457</v>
      </c>
      <c r="P737" s="128">
        <v>0</v>
      </c>
      <c r="Q737" s="128">
        <v>0</v>
      </c>
      <c r="R737" s="128">
        <v>-275224.91000000003</v>
      </c>
      <c r="S737" s="128">
        <v>0</v>
      </c>
      <c r="T737" s="128">
        <v>-275224.91000000003</v>
      </c>
      <c r="U737" s="128">
        <v>0</v>
      </c>
      <c r="V737" s="128">
        <v>0</v>
      </c>
      <c r="W737" s="128">
        <v>0</v>
      </c>
      <c r="X737" s="128">
        <v>-275224.91000000003</v>
      </c>
      <c r="Y737" s="128">
        <v>0</v>
      </c>
      <c r="Z737" s="128">
        <v>-275224.91000000003</v>
      </c>
      <c r="AA737" s="128">
        <v>0</v>
      </c>
      <c r="AB737" s="126">
        <f t="shared" si="77"/>
        <v>2.7522491000000003E-2</v>
      </c>
      <c r="AC737" s="122" t="s">
        <v>1838</v>
      </c>
    </row>
    <row r="738" spans="1:29" ht="12.75" hidden="1" customHeight="1">
      <c r="A738" s="125" t="str">
        <f t="shared" si="74"/>
        <v>LIC169Other Expenses-RD</v>
      </c>
      <c r="B738" s="125">
        <f>+IFERROR(VLOOKUP(L738,'TB mapping'!A:D,4,0),0)</f>
        <v>0</v>
      </c>
      <c r="C738" s="125">
        <f>+IFERROR(VLOOKUP(L738,'TB mapping'!A:C,3,0),0)</f>
        <v>6.3</v>
      </c>
      <c r="D738" s="125" t="str">
        <f t="shared" si="75"/>
        <v>LIC1690</v>
      </c>
      <c r="E738" s="125" t="str">
        <f t="shared" si="76"/>
        <v>LIC1696.3</v>
      </c>
      <c r="F738" s="150" t="s">
        <v>40</v>
      </c>
      <c r="G738" s="127" t="s">
        <v>453</v>
      </c>
      <c r="H738" s="127" t="s">
        <v>776</v>
      </c>
      <c r="I738" s="127" t="s">
        <v>777</v>
      </c>
      <c r="J738" s="128">
        <v>550000</v>
      </c>
      <c r="K738" s="127" t="s">
        <v>550</v>
      </c>
      <c r="L738" s="151">
        <v>553192</v>
      </c>
      <c r="M738" s="128">
        <v>0</v>
      </c>
      <c r="N738" s="127" t="s">
        <v>563</v>
      </c>
      <c r="O738" s="127" t="s">
        <v>457</v>
      </c>
      <c r="P738" s="128">
        <v>0</v>
      </c>
      <c r="Q738" s="128">
        <v>0</v>
      </c>
      <c r="R738" s="128">
        <v>-32184.14</v>
      </c>
      <c r="S738" s="128">
        <v>0</v>
      </c>
      <c r="T738" s="128">
        <v>-32184.14</v>
      </c>
      <c r="U738" s="128">
        <v>0</v>
      </c>
      <c r="V738" s="128">
        <v>0</v>
      </c>
      <c r="W738" s="128">
        <v>0</v>
      </c>
      <c r="X738" s="128">
        <v>-32184.14</v>
      </c>
      <c r="Y738" s="128">
        <v>0</v>
      </c>
      <c r="Z738" s="128">
        <v>-32184.14</v>
      </c>
      <c r="AA738" s="128">
        <v>0</v>
      </c>
      <c r="AB738" s="126">
        <f t="shared" si="77"/>
        <v>3.2184139999999997E-3</v>
      </c>
      <c r="AC738" s="122" t="s">
        <v>1838</v>
      </c>
    </row>
    <row r="739" spans="1:29" ht="12.75" hidden="1" customHeight="1">
      <c r="A739" s="125" t="str">
        <f t="shared" si="74"/>
        <v>LIC169Other Exp - Brok - Indirect</v>
      </c>
      <c r="B739" s="125">
        <f>+IFERROR(VLOOKUP(L739,'TB mapping'!A:D,4,0),0)</f>
        <v>0</v>
      </c>
      <c r="C739" s="125">
        <f>+IFERROR(VLOOKUP(L739,'TB mapping'!A:C,3,0),0)</f>
        <v>6.3</v>
      </c>
      <c r="D739" s="125" t="str">
        <f t="shared" si="75"/>
        <v>LIC1690</v>
      </c>
      <c r="E739" s="125" t="str">
        <f t="shared" si="76"/>
        <v>LIC1696.3</v>
      </c>
      <c r="F739" s="150" t="s">
        <v>40</v>
      </c>
      <c r="G739" s="127" t="s">
        <v>453</v>
      </c>
      <c r="H739" s="127" t="s">
        <v>776</v>
      </c>
      <c r="I739" s="127" t="s">
        <v>777</v>
      </c>
      <c r="J739" s="128">
        <v>550000</v>
      </c>
      <c r="K739" s="127" t="s">
        <v>550</v>
      </c>
      <c r="L739" s="151">
        <v>553202</v>
      </c>
      <c r="M739" s="128">
        <v>0</v>
      </c>
      <c r="N739" s="127" t="s">
        <v>564</v>
      </c>
      <c r="O739" s="127" t="s">
        <v>457</v>
      </c>
      <c r="P739" s="128">
        <v>0</v>
      </c>
      <c r="Q739" s="128">
        <v>0</v>
      </c>
      <c r="R739" s="128">
        <v>-31388.47</v>
      </c>
      <c r="S739" s="128">
        <v>0</v>
      </c>
      <c r="T739" s="128">
        <v>-31388.47</v>
      </c>
      <c r="U739" s="128">
        <v>0</v>
      </c>
      <c r="V739" s="128">
        <v>0</v>
      </c>
      <c r="W739" s="128">
        <v>0</v>
      </c>
      <c r="X739" s="128">
        <v>-31388.47</v>
      </c>
      <c r="Y739" s="128">
        <v>0</v>
      </c>
      <c r="Z739" s="128">
        <v>-31388.47</v>
      </c>
      <c r="AA739" s="128">
        <v>0</v>
      </c>
      <c r="AB739" s="126">
        <f t="shared" si="77"/>
        <v>3.1388470000000002E-3</v>
      </c>
      <c r="AC739" s="122" t="s">
        <v>1838</v>
      </c>
    </row>
    <row r="740" spans="1:29" ht="12.75" hidden="1" customHeight="1">
      <c r="A740" s="125" t="str">
        <f t="shared" si="74"/>
        <v>LIC169Brokerage/Dist Exps</v>
      </c>
      <c r="B740" s="125">
        <f>+IFERROR(VLOOKUP(L740,'TB mapping'!A:D,4,0),0)</f>
        <v>0</v>
      </c>
      <c r="C740" s="125">
        <f>+IFERROR(VLOOKUP(L740,'TB mapping'!A:C,3,0),0)</f>
        <v>6.3</v>
      </c>
      <c r="D740" s="125" t="str">
        <f t="shared" si="75"/>
        <v>LIC1690</v>
      </c>
      <c r="E740" s="125" t="str">
        <f t="shared" si="76"/>
        <v>LIC1696.3</v>
      </c>
      <c r="F740" s="150" t="s">
        <v>40</v>
      </c>
      <c r="G740" s="127" t="s">
        <v>453</v>
      </c>
      <c r="H740" s="127" t="s">
        <v>776</v>
      </c>
      <c r="I740" s="127" t="s">
        <v>777</v>
      </c>
      <c r="J740" s="128">
        <v>550000</v>
      </c>
      <c r="K740" s="127" t="s">
        <v>550</v>
      </c>
      <c r="L740" s="151">
        <v>553208</v>
      </c>
      <c r="M740" s="128">
        <v>0</v>
      </c>
      <c r="N740" s="127" t="s">
        <v>565</v>
      </c>
      <c r="O740" s="127" t="s">
        <v>457</v>
      </c>
      <c r="P740" s="128">
        <v>0</v>
      </c>
      <c r="Q740" s="128">
        <v>0</v>
      </c>
      <c r="R740" s="128">
        <v>0</v>
      </c>
      <c r="S740" s="128">
        <v>18367.310000000001</v>
      </c>
      <c r="T740" s="128">
        <v>0</v>
      </c>
      <c r="U740" s="128">
        <v>18367.310000000001</v>
      </c>
      <c r="V740" s="128">
        <v>0</v>
      </c>
      <c r="W740" s="128">
        <v>0</v>
      </c>
      <c r="X740" s="128">
        <v>0</v>
      </c>
      <c r="Y740" s="128">
        <v>18367.310000000001</v>
      </c>
      <c r="Z740" s="128">
        <v>0</v>
      </c>
      <c r="AA740" s="128">
        <v>18367.310000000001</v>
      </c>
      <c r="AB740" s="126">
        <f t="shared" si="77"/>
        <v>-1.8367310000000001E-3</v>
      </c>
      <c r="AC740" s="122" t="s">
        <v>1838</v>
      </c>
    </row>
    <row r="741" spans="1:29" ht="12.75" hidden="1" customHeight="1">
      <c r="A741" s="125" t="str">
        <f t="shared" si="74"/>
        <v>LIC169Internal Audit Fee</v>
      </c>
      <c r="B741" s="125">
        <f>+IFERROR(VLOOKUP(L741,'TB mapping'!A:D,4,0),0)</f>
        <v>0</v>
      </c>
      <c r="C741" s="125">
        <f>+IFERROR(VLOOKUP(L741,'TB mapping'!A:C,3,0),0)</f>
        <v>6.3</v>
      </c>
      <c r="D741" s="125" t="str">
        <f t="shared" si="75"/>
        <v>LIC1690</v>
      </c>
      <c r="E741" s="125" t="str">
        <f t="shared" si="76"/>
        <v>LIC1696.3</v>
      </c>
      <c r="F741" s="150" t="s">
        <v>40</v>
      </c>
      <c r="G741" s="127" t="s">
        <v>453</v>
      </c>
      <c r="H741" s="127" t="s">
        <v>776</v>
      </c>
      <c r="I741" s="127" t="s">
        <v>777</v>
      </c>
      <c r="J741" s="128">
        <v>550000</v>
      </c>
      <c r="K741" s="127" t="s">
        <v>550</v>
      </c>
      <c r="L741" s="151">
        <v>553213</v>
      </c>
      <c r="M741" s="128">
        <v>0</v>
      </c>
      <c r="N741" s="127" t="s">
        <v>566</v>
      </c>
      <c r="O741" s="127" t="s">
        <v>457</v>
      </c>
      <c r="P741" s="128">
        <v>0</v>
      </c>
      <c r="Q741" s="128">
        <v>0</v>
      </c>
      <c r="R741" s="128">
        <v>-1486.9</v>
      </c>
      <c r="S741" s="128">
        <v>0</v>
      </c>
      <c r="T741" s="128">
        <v>-1486.9</v>
      </c>
      <c r="U741" s="128">
        <v>0</v>
      </c>
      <c r="V741" s="128">
        <v>0</v>
      </c>
      <c r="W741" s="128">
        <v>0</v>
      </c>
      <c r="X741" s="128">
        <v>-1486.9</v>
      </c>
      <c r="Y741" s="128">
        <v>0</v>
      </c>
      <c r="Z741" s="128">
        <v>-1486.9</v>
      </c>
      <c r="AA741" s="128">
        <v>0</v>
      </c>
      <c r="AB741" s="126">
        <f t="shared" si="77"/>
        <v>1.4869000000000001E-4</v>
      </c>
      <c r="AC741" s="122" t="s">
        <v>1838</v>
      </c>
    </row>
    <row r="742" spans="1:29" ht="12.75" hidden="1" customHeight="1">
      <c r="A742" s="125" t="str">
        <f t="shared" si="74"/>
        <v>LIC169Other Expenses-GDP</v>
      </c>
      <c r="B742" s="125">
        <f>+IFERROR(VLOOKUP(L742,'TB mapping'!A:D,4,0),0)</f>
        <v>0</v>
      </c>
      <c r="C742" s="125">
        <f>+IFERROR(VLOOKUP(L742,'TB mapping'!A:C,3,0),0)</f>
        <v>6.3</v>
      </c>
      <c r="D742" s="125" t="str">
        <f t="shared" si="75"/>
        <v>LIC1690</v>
      </c>
      <c r="E742" s="125" t="str">
        <f t="shared" si="76"/>
        <v>LIC1696.3</v>
      </c>
      <c r="F742" s="150" t="s">
        <v>40</v>
      </c>
      <c r="G742" s="127" t="s">
        <v>453</v>
      </c>
      <c r="H742" s="127" t="s">
        <v>776</v>
      </c>
      <c r="I742" s="127" t="s">
        <v>777</v>
      </c>
      <c r="J742" s="128">
        <v>550000</v>
      </c>
      <c r="K742" s="127" t="s">
        <v>550</v>
      </c>
      <c r="L742" s="151">
        <v>553329</v>
      </c>
      <c r="M742" s="128">
        <v>0</v>
      </c>
      <c r="N742" s="127" t="s">
        <v>567</v>
      </c>
      <c r="O742" s="127" t="s">
        <v>457</v>
      </c>
      <c r="P742" s="128">
        <v>0</v>
      </c>
      <c r="Q742" s="128">
        <v>0</v>
      </c>
      <c r="R742" s="128">
        <v>-122965.46</v>
      </c>
      <c r="S742" s="128">
        <v>0</v>
      </c>
      <c r="T742" s="128">
        <v>-122965.46</v>
      </c>
      <c r="U742" s="128">
        <v>0</v>
      </c>
      <c r="V742" s="128">
        <v>0</v>
      </c>
      <c r="W742" s="128">
        <v>0</v>
      </c>
      <c r="X742" s="128">
        <v>-122965.46</v>
      </c>
      <c r="Y742" s="128">
        <v>0</v>
      </c>
      <c r="Z742" s="128">
        <v>-122965.46</v>
      </c>
      <c r="AA742" s="128">
        <v>0</v>
      </c>
      <c r="AB742" s="126">
        <f t="shared" si="77"/>
        <v>1.2296546E-2</v>
      </c>
      <c r="AC742" s="122" t="s">
        <v>1838</v>
      </c>
    </row>
    <row r="743" spans="1:29" ht="12.75" hidden="1" customHeight="1">
      <c r="A743" s="125" t="str">
        <f t="shared" si="74"/>
        <v>LIC169Other Expenses-DDP</v>
      </c>
      <c r="B743" s="125">
        <f>+IFERROR(VLOOKUP(L743,'TB mapping'!A:D,4,0),0)</f>
        <v>0</v>
      </c>
      <c r="C743" s="125">
        <f>+IFERROR(VLOOKUP(L743,'TB mapping'!A:C,3,0),0)</f>
        <v>6.3</v>
      </c>
      <c r="D743" s="125" t="str">
        <f t="shared" si="75"/>
        <v>LIC1690</v>
      </c>
      <c r="E743" s="125" t="str">
        <f t="shared" si="76"/>
        <v>LIC1696.3</v>
      </c>
      <c r="F743" s="150" t="s">
        <v>40</v>
      </c>
      <c r="G743" s="127" t="s">
        <v>453</v>
      </c>
      <c r="H743" s="127" t="s">
        <v>776</v>
      </c>
      <c r="I743" s="127" t="s">
        <v>777</v>
      </c>
      <c r="J743" s="128">
        <v>550000</v>
      </c>
      <c r="K743" s="127" t="s">
        <v>550</v>
      </c>
      <c r="L743" s="151">
        <v>553330</v>
      </c>
      <c r="M743" s="128">
        <v>0</v>
      </c>
      <c r="N743" s="127" t="s">
        <v>568</v>
      </c>
      <c r="O743" s="127" t="s">
        <v>457</v>
      </c>
      <c r="P743" s="128">
        <v>0</v>
      </c>
      <c r="Q743" s="128">
        <v>0</v>
      </c>
      <c r="R743" s="128">
        <v>-3732.56</v>
      </c>
      <c r="S743" s="128">
        <v>0</v>
      </c>
      <c r="T743" s="128">
        <v>-3732.56</v>
      </c>
      <c r="U743" s="128">
        <v>0</v>
      </c>
      <c r="V743" s="128">
        <v>0</v>
      </c>
      <c r="W743" s="128">
        <v>0</v>
      </c>
      <c r="X743" s="128">
        <v>-3732.56</v>
      </c>
      <c r="Y743" s="128">
        <v>0</v>
      </c>
      <c r="Z743" s="128">
        <v>-3732.56</v>
      </c>
      <c r="AA743" s="128">
        <v>0</v>
      </c>
      <c r="AB743" s="126">
        <f t="shared" si="77"/>
        <v>3.7325599999999998E-4</v>
      </c>
      <c r="AC743" s="122" t="s">
        <v>1838</v>
      </c>
    </row>
    <row r="744" spans="1:29" ht="12.75" hidden="1" customHeight="1">
      <c r="A744" s="125" t="str">
        <f t="shared" si="74"/>
        <v>LIC169Inv Educ Fund Expense - Amfi</v>
      </c>
      <c r="B744" s="125">
        <f>+IFERROR(VLOOKUP(L744,'TB mapping'!A:D,4,0),0)</f>
        <v>0</v>
      </c>
      <c r="C744" s="125">
        <f>+IFERROR(VLOOKUP(L744,'TB mapping'!A:C,3,0),0)</f>
        <v>6.3</v>
      </c>
      <c r="D744" s="125" t="str">
        <f t="shared" si="75"/>
        <v>LIC1690</v>
      </c>
      <c r="E744" s="125" t="str">
        <f t="shared" si="76"/>
        <v>LIC1696.3</v>
      </c>
      <c r="F744" s="150" t="s">
        <v>40</v>
      </c>
      <c r="G744" s="127" t="s">
        <v>453</v>
      </c>
      <c r="H744" s="127" t="s">
        <v>776</v>
      </c>
      <c r="I744" s="127" t="s">
        <v>777</v>
      </c>
      <c r="J744" s="128">
        <v>550000</v>
      </c>
      <c r="K744" s="127" t="s">
        <v>550</v>
      </c>
      <c r="L744" s="151">
        <v>554526</v>
      </c>
      <c r="M744" s="128">
        <v>0</v>
      </c>
      <c r="N744" s="127" t="s">
        <v>569</v>
      </c>
      <c r="O744" s="127" t="s">
        <v>457</v>
      </c>
      <c r="P744" s="128">
        <v>0</v>
      </c>
      <c r="Q744" s="128">
        <v>0</v>
      </c>
      <c r="R744" s="128">
        <v>-31172.23</v>
      </c>
      <c r="S744" s="128">
        <v>0</v>
      </c>
      <c r="T744" s="128">
        <v>-31172.23</v>
      </c>
      <c r="U744" s="128">
        <v>0</v>
      </c>
      <c r="V744" s="128">
        <v>0</v>
      </c>
      <c r="W744" s="128">
        <v>0</v>
      </c>
      <c r="X744" s="128">
        <v>-31172.23</v>
      </c>
      <c r="Y744" s="128">
        <v>0</v>
      </c>
      <c r="Z744" s="128">
        <v>-31172.23</v>
      </c>
      <c r="AA744" s="128">
        <v>0</v>
      </c>
      <c r="AB744" s="126">
        <f t="shared" si="77"/>
        <v>3.1172230000000001E-3</v>
      </c>
      <c r="AC744" s="122" t="s">
        <v>1838</v>
      </c>
    </row>
    <row r="745" spans="1:29" ht="12.75" hidden="1" customHeight="1">
      <c r="A745" s="125" t="str">
        <f t="shared" si="74"/>
        <v>LIC169Client Servicing Expenes</v>
      </c>
      <c r="B745" s="125">
        <f>+IFERROR(VLOOKUP(L745,'TB mapping'!A:D,4,0),0)</f>
        <v>0</v>
      </c>
      <c r="C745" s="125">
        <f>+IFERROR(VLOOKUP(L745,'TB mapping'!A:C,3,0),0)</f>
        <v>6.3</v>
      </c>
      <c r="D745" s="125" t="str">
        <f t="shared" si="75"/>
        <v>LIC1690</v>
      </c>
      <c r="E745" s="125" t="str">
        <f t="shared" si="76"/>
        <v>LIC1696.3</v>
      </c>
      <c r="F745" s="150" t="s">
        <v>40</v>
      </c>
      <c r="G745" s="127" t="s">
        <v>453</v>
      </c>
      <c r="H745" s="127" t="s">
        <v>776</v>
      </c>
      <c r="I745" s="127" t="s">
        <v>777</v>
      </c>
      <c r="J745" s="128">
        <v>550000</v>
      </c>
      <c r="K745" s="127" t="s">
        <v>550</v>
      </c>
      <c r="L745" s="151">
        <v>555157</v>
      </c>
      <c r="M745" s="128">
        <v>0</v>
      </c>
      <c r="N745" s="127" t="s">
        <v>571</v>
      </c>
      <c r="O745" s="127" t="s">
        <v>457</v>
      </c>
      <c r="P745" s="128">
        <v>0</v>
      </c>
      <c r="Q745" s="128">
        <v>0</v>
      </c>
      <c r="R745" s="128">
        <v>-53201.07</v>
      </c>
      <c r="S745" s="128">
        <v>0</v>
      </c>
      <c r="T745" s="128">
        <v>-53201.07</v>
      </c>
      <c r="U745" s="128">
        <v>0</v>
      </c>
      <c r="V745" s="128">
        <v>0</v>
      </c>
      <c r="W745" s="128">
        <v>0</v>
      </c>
      <c r="X745" s="128">
        <v>-53201.07</v>
      </c>
      <c r="Y745" s="128">
        <v>0</v>
      </c>
      <c r="Z745" s="128">
        <v>-53201.07</v>
      </c>
      <c r="AA745" s="128">
        <v>0</v>
      </c>
      <c r="AB745" s="126">
        <f t="shared" si="77"/>
        <v>5.3201070000000001E-3</v>
      </c>
      <c r="AC745" s="122" t="s">
        <v>1838</v>
      </c>
    </row>
    <row r="746" spans="1:29" ht="12.75" hidden="1" customHeight="1">
      <c r="A746" s="125" t="str">
        <f t="shared" si="74"/>
        <v>LIC169CGST on Mfees</v>
      </c>
      <c r="B746" s="125">
        <f>+IFERROR(VLOOKUP(L746,'TB mapping'!A:D,4,0),0)</f>
        <v>6.1</v>
      </c>
      <c r="C746" s="125">
        <f>+IFERROR(VLOOKUP(L746,'TB mapping'!A:C,3,0),0)</f>
        <v>6.3</v>
      </c>
      <c r="D746" s="125" t="str">
        <f t="shared" si="75"/>
        <v>LIC1696.1</v>
      </c>
      <c r="E746" s="125" t="str">
        <f t="shared" si="76"/>
        <v>LIC1696.3</v>
      </c>
      <c r="F746" s="150" t="s">
        <v>40</v>
      </c>
      <c r="G746" s="127" t="s">
        <v>453</v>
      </c>
      <c r="H746" s="127" t="s">
        <v>776</v>
      </c>
      <c r="I746" s="127" t="s">
        <v>777</v>
      </c>
      <c r="J746" s="128">
        <v>550000</v>
      </c>
      <c r="K746" s="127" t="s">
        <v>550</v>
      </c>
      <c r="L746" s="151">
        <v>555597</v>
      </c>
      <c r="M746" s="128">
        <v>0</v>
      </c>
      <c r="N746" s="127" t="s">
        <v>574</v>
      </c>
      <c r="O746" s="127" t="s">
        <v>457</v>
      </c>
      <c r="P746" s="128">
        <v>0</v>
      </c>
      <c r="Q746" s="128">
        <v>0</v>
      </c>
      <c r="R746" s="128">
        <v>-468792.41</v>
      </c>
      <c r="S746" s="128">
        <v>0</v>
      </c>
      <c r="T746" s="128">
        <v>-468792.41</v>
      </c>
      <c r="U746" s="128">
        <v>0</v>
      </c>
      <c r="V746" s="128">
        <v>0</v>
      </c>
      <c r="W746" s="128">
        <v>0</v>
      </c>
      <c r="X746" s="128">
        <v>-468792.41</v>
      </c>
      <c r="Y746" s="128">
        <v>0</v>
      </c>
      <c r="Z746" s="128">
        <v>-468792.41</v>
      </c>
      <c r="AA746" s="128">
        <v>0</v>
      </c>
      <c r="AB746" s="126">
        <f t="shared" si="77"/>
        <v>4.6879240999999995E-2</v>
      </c>
      <c r="AC746" s="122" t="s">
        <v>1838</v>
      </c>
    </row>
    <row r="747" spans="1:29" ht="12.75" hidden="1" customHeight="1">
      <c r="A747" s="125" t="str">
        <f t="shared" si="74"/>
        <v>LIC169SGST on Mfees</v>
      </c>
      <c r="B747" s="125">
        <f>+IFERROR(VLOOKUP(L747,'TB mapping'!A:D,4,0),0)</f>
        <v>6.1</v>
      </c>
      <c r="C747" s="125">
        <f>+IFERROR(VLOOKUP(L747,'TB mapping'!A:C,3,0),0)</f>
        <v>6.3</v>
      </c>
      <c r="D747" s="125" t="str">
        <f t="shared" si="75"/>
        <v>LIC1696.1</v>
      </c>
      <c r="E747" s="125" t="str">
        <f t="shared" si="76"/>
        <v>LIC1696.3</v>
      </c>
      <c r="F747" s="150" t="s">
        <v>40</v>
      </c>
      <c r="G747" s="127" t="s">
        <v>453</v>
      </c>
      <c r="H747" s="127" t="s">
        <v>776</v>
      </c>
      <c r="I747" s="127" t="s">
        <v>777</v>
      </c>
      <c r="J747" s="128">
        <v>550000</v>
      </c>
      <c r="K747" s="127" t="s">
        <v>550</v>
      </c>
      <c r="L747" s="151">
        <v>555598</v>
      </c>
      <c r="M747" s="128">
        <v>0</v>
      </c>
      <c r="N747" s="127" t="s">
        <v>575</v>
      </c>
      <c r="O747" s="127" t="s">
        <v>457</v>
      </c>
      <c r="P747" s="128">
        <v>0</v>
      </c>
      <c r="Q747" s="128">
        <v>0</v>
      </c>
      <c r="R747" s="128">
        <v>-468792.28</v>
      </c>
      <c r="S747" s="128">
        <v>0</v>
      </c>
      <c r="T747" s="128">
        <v>-468792.28</v>
      </c>
      <c r="U747" s="128">
        <v>0</v>
      </c>
      <c r="V747" s="128">
        <v>0</v>
      </c>
      <c r="W747" s="128">
        <v>0</v>
      </c>
      <c r="X747" s="128">
        <v>-468792.28</v>
      </c>
      <c r="Y747" s="128">
        <v>0</v>
      </c>
      <c r="Z747" s="128">
        <v>-468792.28</v>
      </c>
      <c r="AA747" s="128">
        <v>0</v>
      </c>
      <c r="AB747" s="126">
        <f t="shared" si="77"/>
        <v>4.6879228000000002E-2</v>
      </c>
      <c r="AC747" s="122" t="s">
        <v>1838</v>
      </c>
    </row>
    <row r="748" spans="1:29" ht="12.75" hidden="1" customHeight="1">
      <c r="A748" s="125" t="str">
        <f t="shared" si="74"/>
        <v>LIC169CGST on Mfees -GDP</v>
      </c>
      <c r="B748" s="125">
        <f>+IFERROR(VLOOKUP(L748,'TB mapping'!A:D,4,0),0)</f>
        <v>6.1</v>
      </c>
      <c r="C748" s="125">
        <f>+IFERROR(VLOOKUP(L748,'TB mapping'!A:C,3,0),0)</f>
        <v>6.3</v>
      </c>
      <c r="D748" s="125" t="str">
        <f t="shared" si="75"/>
        <v>LIC1696.1</v>
      </c>
      <c r="E748" s="125" t="str">
        <f t="shared" si="76"/>
        <v>LIC1696.3</v>
      </c>
      <c r="F748" s="150" t="s">
        <v>40</v>
      </c>
      <c r="G748" s="127" t="s">
        <v>453</v>
      </c>
      <c r="H748" s="127" t="s">
        <v>776</v>
      </c>
      <c r="I748" s="127" t="s">
        <v>777</v>
      </c>
      <c r="J748" s="128">
        <v>550000</v>
      </c>
      <c r="K748" s="127" t="s">
        <v>550</v>
      </c>
      <c r="L748" s="151">
        <v>555599</v>
      </c>
      <c r="M748" s="128">
        <v>0</v>
      </c>
      <c r="N748" s="127" t="s">
        <v>576</v>
      </c>
      <c r="O748" s="127" t="s">
        <v>457</v>
      </c>
      <c r="P748" s="128">
        <v>0</v>
      </c>
      <c r="Q748" s="128">
        <v>0</v>
      </c>
      <c r="R748" s="128">
        <v>0</v>
      </c>
      <c r="S748" s="128">
        <v>0.13</v>
      </c>
      <c r="T748" s="128">
        <v>0</v>
      </c>
      <c r="U748" s="128">
        <v>0.13</v>
      </c>
      <c r="V748" s="128">
        <v>0</v>
      </c>
      <c r="W748" s="128">
        <v>0</v>
      </c>
      <c r="X748" s="128">
        <v>0</v>
      </c>
      <c r="Y748" s="128">
        <v>0.13</v>
      </c>
      <c r="Z748" s="128">
        <v>0</v>
      </c>
      <c r="AA748" s="128">
        <v>0.13</v>
      </c>
      <c r="AB748" s="126">
        <f t="shared" si="77"/>
        <v>-1.3000000000000001E-8</v>
      </c>
      <c r="AC748" s="122" t="s">
        <v>1838</v>
      </c>
    </row>
    <row r="749" spans="1:29" ht="12.75" hidden="1" customHeight="1">
      <c r="A749" s="125" t="str">
        <f t="shared" si="74"/>
        <v>LIC169Operating Expenses</v>
      </c>
      <c r="B749" s="125">
        <f>+IFERROR(VLOOKUP(L749,'TB mapping'!A:D,4,0),0)</f>
        <v>0</v>
      </c>
      <c r="C749" s="125">
        <f>+IFERROR(VLOOKUP(L749,'TB mapping'!A:C,3,0),0)</f>
        <v>6.3</v>
      </c>
      <c r="D749" s="125" t="str">
        <f t="shared" si="75"/>
        <v>LIC1690</v>
      </c>
      <c r="E749" s="125" t="str">
        <f t="shared" si="76"/>
        <v>LIC1696.3</v>
      </c>
      <c r="F749" s="150" t="s">
        <v>40</v>
      </c>
      <c r="G749" s="127" t="s">
        <v>453</v>
      </c>
      <c r="H749" s="127" t="s">
        <v>776</v>
      </c>
      <c r="I749" s="127" t="s">
        <v>777</v>
      </c>
      <c r="J749" s="128">
        <v>550000</v>
      </c>
      <c r="K749" s="127" t="s">
        <v>550</v>
      </c>
      <c r="L749" s="151">
        <v>556421</v>
      </c>
      <c r="M749" s="128">
        <v>0</v>
      </c>
      <c r="N749" s="127" t="s">
        <v>578</v>
      </c>
      <c r="O749" s="127" t="s">
        <v>457</v>
      </c>
      <c r="P749" s="128">
        <v>0</v>
      </c>
      <c r="Q749" s="128">
        <v>0</v>
      </c>
      <c r="R749" s="128">
        <v>-1766.92</v>
      </c>
      <c r="S749" s="128">
        <v>0</v>
      </c>
      <c r="T749" s="128">
        <v>-1766.92</v>
      </c>
      <c r="U749" s="128">
        <v>0</v>
      </c>
      <c r="V749" s="128">
        <v>0</v>
      </c>
      <c r="W749" s="128">
        <v>0</v>
      </c>
      <c r="X749" s="128">
        <v>-1766.92</v>
      </c>
      <c r="Y749" s="128">
        <v>0</v>
      </c>
      <c r="Z749" s="128">
        <v>-1766.92</v>
      </c>
      <c r="AA749" s="128">
        <v>0</v>
      </c>
      <c r="AB749" s="126">
        <f t="shared" si="77"/>
        <v>1.7669199999999999E-4</v>
      </c>
      <c r="AC749" s="122" t="s">
        <v>1838</v>
      </c>
    </row>
    <row r="750" spans="1:29" ht="12.75" hidden="1" customHeight="1">
      <c r="A750" s="125" t="str">
        <f t="shared" si="74"/>
        <v>LIC169Management Fee</v>
      </c>
      <c r="B750" s="125">
        <f>+IFERROR(VLOOKUP(L750,'TB mapping'!A:D,4,0),0)</f>
        <v>6.1</v>
      </c>
      <c r="C750" s="125">
        <f>+IFERROR(VLOOKUP(L750,'TB mapping'!A:C,3,0),0)</f>
        <v>6.3</v>
      </c>
      <c r="D750" s="125" t="str">
        <f t="shared" si="75"/>
        <v>LIC1696.1</v>
      </c>
      <c r="E750" s="125" t="str">
        <f t="shared" si="76"/>
        <v>LIC1696.3</v>
      </c>
      <c r="F750" s="150" t="s">
        <v>40</v>
      </c>
      <c r="G750" s="127" t="s">
        <v>453</v>
      </c>
      <c r="H750" s="127" t="s">
        <v>776</v>
      </c>
      <c r="I750" s="127" t="s">
        <v>777</v>
      </c>
      <c r="J750" s="128">
        <v>555100</v>
      </c>
      <c r="K750" s="127" t="s">
        <v>579</v>
      </c>
      <c r="L750" s="151">
        <v>555100</v>
      </c>
      <c r="M750" s="128">
        <v>0</v>
      </c>
      <c r="N750" s="127" t="s">
        <v>580</v>
      </c>
      <c r="O750" s="127" t="s">
        <v>457</v>
      </c>
      <c r="P750" s="128">
        <v>0</v>
      </c>
      <c r="Q750" s="128">
        <v>0</v>
      </c>
      <c r="R750" s="128">
        <v>-2047246.33</v>
      </c>
      <c r="S750" s="128">
        <v>0</v>
      </c>
      <c r="T750" s="128">
        <v>-2047246.33</v>
      </c>
      <c r="U750" s="128">
        <v>0</v>
      </c>
      <c r="V750" s="128">
        <v>0</v>
      </c>
      <c r="W750" s="128">
        <v>0</v>
      </c>
      <c r="X750" s="128">
        <v>-2047246.33</v>
      </c>
      <c r="Y750" s="128">
        <v>0</v>
      </c>
      <c r="Z750" s="128">
        <v>-2047246.33</v>
      </c>
      <c r="AA750" s="128">
        <v>0</v>
      </c>
      <c r="AB750" s="126">
        <f t="shared" si="77"/>
        <v>0.20472463300000002</v>
      </c>
      <c r="AC750" s="122" t="s">
        <v>1838</v>
      </c>
    </row>
    <row r="751" spans="1:29" ht="12.75" hidden="1" customHeight="1">
      <c r="A751" s="125" t="str">
        <f t="shared" si="74"/>
        <v>LIC169Management Fees-RG</v>
      </c>
      <c r="B751" s="125">
        <f>+IFERROR(VLOOKUP(L751,'TB mapping'!A:D,4,0),0)</f>
        <v>6.1</v>
      </c>
      <c r="C751" s="125">
        <f>+IFERROR(VLOOKUP(L751,'TB mapping'!A:C,3,0),0)</f>
        <v>6.3</v>
      </c>
      <c r="D751" s="125" t="str">
        <f t="shared" si="75"/>
        <v>LIC1696.1</v>
      </c>
      <c r="E751" s="125" t="str">
        <f t="shared" si="76"/>
        <v>LIC1696.3</v>
      </c>
      <c r="F751" s="150" t="s">
        <v>40</v>
      </c>
      <c r="G751" s="127" t="s">
        <v>453</v>
      </c>
      <c r="H751" s="127" t="s">
        <v>776</v>
      </c>
      <c r="I751" s="127" t="s">
        <v>777</v>
      </c>
      <c r="J751" s="128">
        <v>555100</v>
      </c>
      <c r="K751" s="127" t="s">
        <v>579</v>
      </c>
      <c r="L751" s="151">
        <v>555191</v>
      </c>
      <c r="M751" s="128">
        <v>0</v>
      </c>
      <c r="N751" s="127" t="s">
        <v>581</v>
      </c>
      <c r="O751" s="127" t="s">
        <v>457</v>
      </c>
      <c r="P751" s="128">
        <v>0</v>
      </c>
      <c r="Q751" s="128">
        <v>0</v>
      </c>
      <c r="R751" s="128">
        <v>-3235942.43</v>
      </c>
      <c r="S751" s="128">
        <v>0</v>
      </c>
      <c r="T751" s="128">
        <v>-3235942.43</v>
      </c>
      <c r="U751" s="128">
        <v>0</v>
      </c>
      <c r="V751" s="128">
        <v>0</v>
      </c>
      <c r="W751" s="128">
        <v>0</v>
      </c>
      <c r="X751" s="128">
        <v>-3235942.43</v>
      </c>
      <c r="Y751" s="128">
        <v>0</v>
      </c>
      <c r="Z751" s="128">
        <v>-3235942.43</v>
      </c>
      <c r="AA751" s="128">
        <v>0</v>
      </c>
      <c r="AB751" s="126">
        <f t="shared" si="77"/>
        <v>0.323594243</v>
      </c>
      <c r="AC751" s="122" t="s">
        <v>1838</v>
      </c>
    </row>
    <row r="752" spans="1:29" ht="12.75" hidden="1" customHeight="1">
      <c r="A752" s="125" t="str">
        <f t="shared" si="74"/>
        <v>LIC169Management Fees-RD</v>
      </c>
      <c r="B752" s="125">
        <f>+IFERROR(VLOOKUP(L752,'TB mapping'!A:D,4,0),0)</f>
        <v>6.1</v>
      </c>
      <c r="C752" s="125">
        <f>+IFERROR(VLOOKUP(L752,'TB mapping'!A:C,3,0),0)</f>
        <v>6.3</v>
      </c>
      <c r="D752" s="125" t="str">
        <f t="shared" si="75"/>
        <v>LIC1696.1</v>
      </c>
      <c r="E752" s="125" t="str">
        <f t="shared" si="76"/>
        <v>LIC1696.3</v>
      </c>
      <c r="F752" s="150" t="s">
        <v>40</v>
      </c>
      <c r="G752" s="127" t="s">
        <v>453</v>
      </c>
      <c r="H752" s="127" t="s">
        <v>776</v>
      </c>
      <c r="I752" s="127" t="s">
        <v>777</v>
      </c>
      <c r="J752" s="128">
        <v>555100</v>
      </c>
      <c r="K752" s="127" t="s">
        <v>579</v>
      </c>
      <c r="L752" s="151">
        <v>555192</v>
      </c>
      <c r="M752" s="128">
        <v>0</v>
      </c>
      <c r="N752" s="127" t="s">
        <v>582</v>
      </c>
      <c r="O752" s="127" t="s">
        <v>457</v>
      </c>
      <c r="P752" s="128">
        <v>0</v>
      </c>
      <c r="Q752" s="128">
        <v>0</v>
      </c>
      <c r="R752" s="128">
        <v>-378403.7</v>
      </c>
      <c r="S752" s="128">
        <v>0</v>
      </c>
      <c r="T752" s="128">
        <v>-378403.7</v>
      </c>
      <c r="U752" s="128">
        <v>0</v>
      </c>
      <c r="V752" s="128">
        <v>0</v>
      </c>
      <c r="W752" s="128">
        <v>0</v>
      </c>
      <c r="X752" s="128">
        <v>-378403.7</v>
      </c>
      <c r="Y752" s="128">
        <v>0</v>
      </c>
      <c r="Z752" s="128">
        <v>-378403.7</v>
      </c>
      <c r="AA752" s="128">
        <v>0</v>
      </c>
      <c r="AB752" s="126">
        <f t="shared" si="77"/>
        <v>3.7840369999999998E-2</v>
      </c>
      <c r="AC752" s="122" t="s">
        <v>1838</v>
      </c>
    </row>
    <row r="753" spans="1:32" ht="12.75" hidden="1" customHeight="1">
      <c r="A753" s="125" t="str">
        <f t="shared" si="74"/>
        <v>LIC169Management Fees-GDP</v>
      </c>
      <c r="B753" s="125">
        <f>+IFERROR(VLOOKUP(L753,'TB mapping'!A:D,4,0),0)</f>
        <v>6.1</v>
      </c>
      <c r="C753" s="125">
        <f>+IFERROR(VLOOKUP(L753,'TB mapping'!A:C,3,0),0)</f>
        <v>6.3</v>
      </c>
      <c r="D753" s="125" t="str">
        <f t="shared" si="75"/>
        <v>LIC1696.1</v>
      </c>
      <c r="E753" s="125" t="str">
        <f t="shared" si="76"/>
        <v>LIC1696.3</v>
      </c>
      <c r="F753" s="150" t="s">
        <v>40</v>
      </c>
      <c r="G753" s="127" t="s">
        <v>453</v>
      </c>
      <c r="H753" s="127" t="s">
        <v>776</v>
      </c>
      <c r="I753" s="127" t="s">
        <v>777</v>
      </c>
      <c r="J753" s="128">
        <v>555100</v>
      </c>
      <c r="K753" s="127" t="s">
        <v>579</v>
      </c>
      <c r="L753" s="151">
        <v>555329</v>
      </c>
      <c r="M753" s="128">
        <v>0</v>
      </c>
      <c r="N753" s="127" t="s">
        <v>584</v>
      </c>
      <c r="O753" s="127" t="s">
        <v>457</v>
      </c>
      <c r="P753" s="128">
        <v>0</v>
      </c>
      <c r="Q753" s="128">
        <v>0</v>
      </c>
      <c r="R753" s="128">
        <v>-1445782.41</v>
      </c>
      <c r="S753" s="128">
        <v>0</v>
      </c>
      <c r="T753" s="128">
        <v>-1445782.41</v>
      </c>
      <c r="U753" s="128">
        <v>0</v>
      </c>
      <c r="V753" s="128">
        <v>0</v>
      </c>
      <c r="W753" s="128">
        <v>0</v>
      </c>
      <c r="X753" s="128">
        <v>-1445782.41</v>
      </c>
      <c r="Y753" s="128">
        <v>0</v>
      </c>
      <c r="Z753" s="128">
        <v>-1445782.41</v>
      </c>
      <c r="AA753" s="128">
        <v>0</v>
      </c>
      <c r="AB753" s="126">
        <f t="shared" si="77"/>
        <v>0.144578241</v>
      </c>
      <c r="AC753" s="122" t="s">
        <v>1838</v>
      </c>
    </row>
    <row r="754" spans="1:32" ht="12.75" hidden="1" customHeight="1">
      <c r="A754" s="125" t="str">
        <f t="shared" si="74"/>
        <v>LIC169Management Fees-DDP</v>
      </c>
      <c r="B754" s="125">
        <f>+IFERROR(VLOOKUP(L754,'TB mapping'!A:D,4,0),0)</f>
        <v>6.1</v>
      </c>
      <c r="C754" s="125">
        <f>+IFERROR(VLOOKUP(L754,'TB mapping'!A:C,3,0),0)</f>
        <v>6.3</v>
      </c>
      <c r="D754" s="125" t="str">
        <f t="shared" si="75"/>
        <v>LIC1696.1</v>
      </c>
      <c r="E754" s="125" t="str">
        <f t="shared" si="76"/>
        <v>LIC1696.3</v>
      </c>
      <c r="F754" s="150" t="s">
        <v>40</v>
      </c>
      <c r="G754" s="127" t="s">
        <v>453</v>
      </c>
      <c r="H754" s="127" t="s">
        <v>776</v>
      </c>
      <c r="I754" s="127" t="s">
        <v>777</v>
      </c>
      <c r="J754" s="128">
        <v>555100</v>
      </c>
      <c r="K754" s="127" t="s">
        <v>579</v>
      </c>
      <c r="L754" s="151">
        <v>555330</v>
      </c>
      <c r="M754" s="128">
        <v>0</v>
      </c>
      <c r="N754" s="127" t="s">
        <v>585</v>
      </c>
      <c r="O754" s="127" t="s">
        <v>457</v>
      </c>
      <c r="P754" s="128">
        <v>0</v>
      </c>
      <c r="Q754" s="128">
        <v>0</v>
      </c>
      <c r="R754" s="128">
        <v>-43885.34</v>
      </c>
      <c r="S754" s="128">
        <v>0</v>
      </c>
      <c r="T754" s="128">
        <v>-43885.34</v>
      </c>
      <c r="U754" s="128">
        <v>0</v>
      </c>
      <c r="V754" s="128">
        <v>0</v>
      </c>
      <c r="W754" s="128">
        <v>0</v>
      </c>
      <c r="X754" s="128">
        <v>-43885.34</v>
      </c>
      <c r="Y754" s="128">
        <v>0</v>
      </c>
      <c r="Z754" s="128">
        <v>-43885.34</v>
      </c>
      <c r="AA754" s="128">
        <v>0</v>
      </c>
      <c r="AB754" s="126">
        <f t="shared" si="77"/>
        <v>4.3885339999999995E-3</v>
      </c>
      <c r="AC754" s="122" t="s">
        <v>1838</v>
      </c>
    </row>
    <row r="755" spans="1:32" ht="12.75" hidden="1" customHeight="1">
      <c r="A755" s="125" t="str">
        <f t="shared" ref="A755" si="78">+F755&amp;N755</f>
        <v>LIC169Dividend Distribution - RD</v>
      </c>
      <c r="B755" s="125">
        <f>+IFERROR(VLOOKUP(L755,'TB mapping'!A:D,4,0),0)</f>
        <v>0</v>
      </c>
      <c r="C755" s="125" t="str">
        <f>+IFERROR(VLOOKUP(L755,'TB mapping'!A:C,3,0),0)</f>
        <v>ignore</v>
      </c>
      <c r="D755" s="125" t="str">
        <f t="shared" ref="D755" si="79">+F755&amp;B755</f>
        <v>LIC1690</v>
      </c>
      <c r="E755" s="125" t="str">
        <f t="shared" ref="E755" si="80">+F755&amp;C755</f>
        <v>LIC169ignore</v>
      </c>
      <c r="F755" s="150" t="s">
        <v>40</v>
      </c>
      <c r="G755" s="127" t="s">
        <v>453</v>
      </c>
      <c r="H755" s="127" t="s">
        <v>776</v>
      </c>
      <c r="I755" s="127" t="s">
        <v>777</v>
      </c>
      <c r="J755" s="128">
        <v>555300</v>
      </c>
      <c r="K755" s="127" t="s">
        <v>586</v>
      </c>
      <c r="L755" s="151">
        <v>553143</v>
      </c>
      <c r="M755" s="128">
        <v>0</v>
      </c>
      <c r="N755" s="127" t="s">
        <v>587</v>
      </c>
      <c r="O755" s="127" t="s">
        <v>457</v>
      </c>
      <c r="P755" s="128">
        <v>0</v>
      </c>
      <c r="Q755" s="128">
        <v>0</v>
      </c>
      <c r="R755" s="128">
        <v>-4127196.52</v>
      </c>
      <c r="S755" s="128">
        <v>0</v>
      </c>
      <c r="T755" s="128">
        <v>-4127196.52</v>
      </c>
      <c r="U755" s="128">
        <v>0</v>
      </c>
      <c r="V755" s="128">
        <v>0</v>
      </c>
      <c r="W755" s="128">
        <v>0</v>
      </c>
      <c r="X755" s="128">
        <v>-4127196.52</v>
      </c>
      <c r="Y755" s="128">
        <v>0</v>
      </c>
      <c r="Z755" s="128">
        <v>-4127196.52</v>
      </c>
      <c r="AA755" s="128">
        <v>0</v>
      </c>
      <c r="AB755" s="126">
        <f t="shared" ref="AB755:AB756" si="81">SUM(-Z755-AA755)/10^7</f>
        <v>0.41271965199999999</v>
      </c>
      <c r="AC755" s="122" t="s">
        <v>1838</v>
      </c>
    </row>
    <row r="756" spans="1:32" ht="12.75" hidden="1" customHeight="1">
      <c r="A756" s="125" t="str">
        <f t="shared" ref="A756" si="82">+F756&amp;N756</f>
        <v>LIC169Dividend Distribution-DDP</v>
      </c>
      <c r="B756" s="125">
        <f>+IFERROR(VLOOKUP(L756,'TB mapping'!A:D,4,0),0)</f>
        <v>0</v>
      </c>
      <c r="C756" s="125" t="str">
        <f>+IFERROR(VLOOKUP(L756,'TB mapping'!A:C,3,0),0)</f>
        <v>ignore</v>
      </c>
      <c r="D756" s="125" t="str">
        <f>+F756&amp;B756</f>
        <v>LIC1690</v>
      </c>
      <c r="E756" s="125" t="str">
        <f>+F756&amp;C756</f>
        <v>LIC169ignore</v>
      </c>
      <c r="F756" s="150" t="s">
        <v>40</v>
      </c>
      <c r="G756" s="127" t="s">
        <v>453</v>
      </c>
      <c r="H756" s="127" t="s">
        <v>776</v>
      </c>
      <c r="I756" s="127" t="s">
        <v>777</v>
      </c>
      <c r="J756" s="128">
        <v>555300</v>
      </c>
      <c r="K756" s="127" t="s">
        <v>586</v>
      </c>
      <c r="L756" s="151">
        <v>554346</v>
      </c>
      <c r="M756" s="128">
        <v>0</v>
      </c>
      <c r="N756" s="127" t="s">
        <v>605</v>
      </c>
      <c r="O756" s="127" t="s">
        <v>457</v>
      </c>
      <c r="P756" s="128">
        <v>0</v>
      </c>
      <c r="Q756" s="128">
        <v>0</v>
      </c>
      <c r="R756" s="128">
        <v>-481508.86</v>
      </c>
      <c r="S756" s="128">
        <v>0</v>
      </c>
      <c r="T756" s="128">
        <v>-481508.86</v>
      </c>
      <c r="U756" s="128">
        <v>0</v>
      </c>
      <c r="V756" s="128">
        <v>0</v>
      </c>
      <c r="W756" s="128">
        <v>0</v>
      </c>
      <c r="X756" s="128">
        <v>-481508.86</v>
      </c>
      <c r="Y756" s="128">
        <v>0</v>
      </c>
      <c r="Z756" s="128">
        <v>-481508.86</v>
      </c>
      <c r="AA756" s="128">
        <v>0</v>
      </c>
      <c r="AB756" s="126">
        <f t="shared" si="81"/>
        <v>4.8150885999999997E-2</v>
      </c>
      <c r="AC756" s="122" t="s">
        <v>1838</v>
      </c>
    </row>
    <row r="757" spans="1:32" ht="12.75" hidden="1" customHeight="1">
      <c r="AC757" s="122" t="s">
        <v>1838</v>
      </c>
    </row>
    <row r="758" spans="1:32" ht="12.75" hidden="1" customHeight="1">
      <c r="A758" s="125"/>
      <c r="B758" s="125"/>
      <c r="C758" s="125"/>
      <c r="D758" s="125"/>
      <c r="E758" s="125"/>
      <c r="F758" s="158"/>
      <c r="G758" s="127" t="s">
        <v>1589</v>
      </c>
      <c r="H758" s="127" t="s">
        <v>430</v>
      </c>
      <c r="I758" s="146">
        <v>43190.527199074073</v>
      </c>
      <c r="J758" s="127" t="s">
        <v>431</v>
      </c>
      <c r="K758" s="146">
        <v>43191.527326388888</v>
      </c>
      <c r="AC758" s="122" t="s">
        <v>1838</v>
      </c>
      <c r="AD758" s="123">
        <f>SUMIF(E:E,E758,AB:AB)</f>
        <v>0</v>
      </c>
      <c r="AE758" s="123" t="e">
        <f>-HLOOKUP(F758,'Sep 2017 HY'!$3:$84,82,0)</f>
        <v>#N/A</v>
      </c>
      <c r="AF758" s="123" t="e">
        <f>+AD758-AE758</f>
        <v>#N/A</v>
      </c>
    </row>
    <row r="759" spans="1:32" ht="12.75" hidden="1" customHeight="1">
      <c r="A759" s="125" t="s">
        <v>1524</v>
      </c>
      <c r="B759" s="125" t="s">
        <v>831</v>
      </c>
      <c r="C759" s="125" t="s">
        <v>830</v>
      </c>
      <c r="D759" s="125" t="s">
        <v>833</v>
      </c>
      <c r="E759" s="125" t="s">
        <v>834</v>
      </c>
      <c r="F759" s="158" t="s">
        <v>827</v>
      </c>
      <c r="G759" s="127" t="s">
        <v>432</v>
      </c>
      <c r="H759" s="127" t="s">
        <v>433</v>
      </c>
      <c r="I759" s="127" t="s">
        <v>434</v>
      </c>
      <c r="J759" s="127" t="s">
        <v>435</v>
      </c>
      <c r="K759" s="127" t="s">
        <v>436</v>
      </c>
      <c r="L759" s="127" t="s">
        <v>437</v>
      </c>
      <c r="M759" s="127" t="s">
        <v>438</v>
      </c>
      <c r="N759" s="127" t="s">
        <v>439</v>
      </c>
      <c r="O759" s="127" t="s">
        <v>440</v>
      </c>
      <c r="P759" s="127" t="s">
        <v>441</v>
      </c>
      <c r="Q759" s="127" t="s">
        <v>442</v>
      </c>
      <c r="R759" s="127" t="s">
        <v>443</v>
      </c>
      <c r="S759" s="127" t="s">
        <v>444</v>
      </c>
      <c r="T759" s="127" t="s">
        <v>445</v>
      </c>
      <c r="U759" s="127" t="s">
        <v>446</v>
      </c>
      <c r="V759" s="127" t="s">
        <v>447</v>
      </c>
      <c r="W759" s="127" t="s">
        <v>448</v>
      </c>
      <c r="X759" s="127" t="s">
        <v>449</v>
      </c>
      <c r="Y759" s="127" t="s">
        <v>450</v>
      </c>
      <c r="Z759" s="127" t="s">
        <v>451</v>
      </c>
      <c r="AA759" s="127" t="s">
        <v>452</v>
      </c>
      <c r="AB759" s="125" t="s">
        <v>832</v>
      </c>
      <c r="AC759" s="122" t="s">
        <v>1838</v>
      </c>
    </row>
    <row r="760" spans="1:32" ht="12.75" hidden="1" customHeight="1">
      <c r="A760" s="125" t="str">
        <f t="shared" ref="A760:A791" si="83">+F760&amp;N760</f>
        <v>LIC33Investment - Corp Bond/Debent.</v>
      </c>
      <c r="B760" s="125">
        <f>+IFERROR(VLOOKUP(L760,'TB mapping'!A:D,4,0),0)</f>
        <v>0</v>
      </c>
      <c r="C760" s="125">
        <f>+IFERROR(VLOOKUP(L760,'TB mapping'!A:C,3,0),0)</f>
        <v>0</v>
      </c>
      <c r="D760" s="125" t="str">
        <f>+F760&amp;B760</f>
        <v>LIC330</v>
      </c>
      <c r="E760" s="125" t="str">
        <f>+F760&amp;C760</f>
        <v>LIC330</v>
      </c>
      <c r="F760" s="158" t="str">
        <f>+VLOOKUP(H760,'code mapping'!A:C,3,0)</f>
        <v>LIC33</v>
      </c>
      <c r="G760" s="127" t="s">
        <v>453</v>
      </c>
      <c r="H760" s="127" t="s">
        <v>454</v>
      </c>
      <c r="I760" s="127" t="s">
        <v>57</v>
      </c>
      <c r="J760" s="128">
        <v>102000</v>
      </c>
      <c r="K760" s="127" t="s">
        <v>455</v>
      </c>
      <c r="L760" s="151">
        <v>102120</v>
      </c>
      <c r="M760" s="128">
        <v>0</v>
      </c>
      <c r="N760" s="127" t="s">
        <v>456</v>
      </c>
      <c r="O760" s="127" t="s">
        <v>457</v>
      </c>
      <c r="P760" s="128">
        <v>-1403131928.5699999</v>
      </c>
      <c r="Q760" s="128">
        <v>0</v>
      </c>
      <c r="R760" s="128">
        <v>0</v>
      </c>
      <c r="S760" s="128">
        <v>0</v>
      </c>
      <c r="T760" s="128">
        <v>-1403131928.5699999</v>
      </c>
      <c r="U760" s="128">
        <v>0</v>
      </c>
      <c r="V760" s="128">
        <v>-1403131928.5699999</v>
      </c>
      <c r="W760" s="128">
        <v>0</v>
      </c>
      <c r="X760" s="128">
        <v>0</v>
      </c>
      <c r="Y760" s="128">
        <v>0</v>
      </c>
      <c r="Z760" s="128">
        <v>-1403131928.5699999</v>
      </c>
      <c r="AA760" s="128">
        <v>0</v>
      </c>
      <c r="AB760" s="126">
        <f>SUM(-Z760-AA760)/10^7</f>
        <v>140.31319285699999</v>
      </c>
      <c r="AC760" s="122" t="s">
        <v>1838</v>
      </c>
      <c r="AD760" s="123">
        <f t="shared" ref="AD760:AD791" si="84">SUMIF(C:C,C760,AB:AB)</f>
        <v>1983.9723217250009</v>
      </c>
    </row>
    <row r="761" spans="1:32" ht="12.75" hidden="1" customHeight="1">
      <c r="A761" s="125" t="str">
        <f t="shared" si="83"/>
        <v>LIC33Investment - Government Bonds</v>
      </c>
      <c r="B761" s="125">
        <f>+IFERROR(VLOOKUP(L761,'TB mapping'!A:D,4,0),0)</f>
        <v>0</v>
      </c>
      <c r="C761" s="125">
        <f>+IFERROR(VLOOKUP(L761,'TB mapping'!A:C,3,0),0)</f>
        <v>0</v>
      </c>
      <c r="D761" s="125" t="str">
        <f t="shared" ref="D761:D824" si="85">+F761&amp;B761</f>
        <v>LIC330</v>
      </c>
      <c r="E761" s="125" t="str">
        <f t="shared" ref="E761:E824" si="86">+F761&amp;C761</f>
        <v>LIC330</v>
      </c>
      <c r="F761" s="158" t="str">
        <f>+VLOOKUP(H761,'code mapping'!A:C,3,0)</f>
        <v>LIC33</v>
      </c>
      <c r="G761" s="127" t="s">
        <v>453</v>
      </c>
      <c r="H761" s="127" t="s">
        <v>454</v>
      </c>
      <c r="I761" s="127" t="s">
        <v>57</v>
      </c>
      <c r="J761" s="128">
        <v>102000</v>
      </c>
      <c r="K761" s="127" t="s">
        <v>455</v>
      </c>
      <c r="L761" s="151">
        <v>102130</v>
      </c>
      <c r="M761" s="128">
        <v>0</v>
      </c>
      <c r="N761" s="127" t="s">
        <v>458</v>
      </c>
      <c r="O761" s="127" t="s">
        <v>457</v>
      </c>
      <c r="P761" s="128">
        <v>-1552026170.27</v>
      </c>
      <c r="Q761" s="128">
        <v>0</v>
      </c>
      <c r="R761" s="128">
        <v>0</v>
      </c>
      <c r="S761" s="128">
        <v>0</v>
      </c>
      <c r="T761" s="128">
        <v>-1552026170.27</v>
      </c>
      <c r="U761" s="128">
        <v>0</v>
      </c>
      <c r="V761" s="128">
        <v>-1552026170.27</v>
      </c>
      <c r="W761" s="128">
        <v>0</v>
      </c>
      <c r="X761" s="128">
        <v>0</v>
      </c>
      <c r="Y761" s="128">
        <v>0</v>
      </c>
      <c r="Z761" s="128">
        <v>-1552026170.27</v>
      </c>
      <c r="AA761" s="128">
        <v>0</v>
      </c>
      <c r="AB761" s="126">
        <f t="shared" ref="AB761:AB824" si="87">SUM(-Z761-AA761)/10^7</f>
        <v>155.202617027</v>
      </c>
      <c r="AC761" s="122" t="s">
        <v>1838</v>
      </c>
      <c r="AD761" s="123">
        <f t="shared" si="84"/>
        <v>1983.9723217250009</v>
      </c>
    </row>
    <row r="762" spans="1:32" ht="12.75" hidden="1" customHeight="1">
      <c r="A762" s="125" t="str">
        <f t="shared" si="83"/>
        <v>LIC33Investment - SDLs</v>
      </c>
      <c r="B762" s="125">
        <f>+IFERROR(VLOOKUP(L762,'TB mapping'!A:D,4,0),0)</f>
        <v>0</v>
      </c>
      <c r="C762" s="125">
        <f>+IFERROR(VLOOKUP(L762,'TB mapping'!A:C,3,0),0)</f>
        <v>0</v>
      </c>
      <c r="D762" s="125" t="str">
        <f t="shared" si="85"/>
        <v>LIC330</v>
      </c>
      <c r="E762" s="125" t="str">
        <f t="shared" si="86"/>
        <v>LIC330</v>
      </c>
      <c r="F762" s="158" t="str">
        <f>+VLOOKUP(H762,'code mapping'!A:C,3,0)</f>
        <v>LIC33</v>
      </c>
      <c r="G762" s="127" t="s">
        <v>453</v>
      </c>
      <c r="H762" s="127" t="s">
        <v>454</v>
      </c>
      <c r="I762" s="127" t="s">
        <v>57</v>
      </c>
      <c r="J762" s="128">
        <v>102000</v>
      </c>
      <c r="K762" s="127" t="s">
        <v>455</v>
      </c>
      <c r="L762" s="151">
        <v>102135</v>
      </c>
      <c r="M762" s="128">
        <v>0</v>
      </c>
      <c r="N762" s="127" t="s">
        <v>459</v>
      </c>
      <c r="O762" s="127" t="s">
        <v>457</v>
      </c>
      <c r="P762" s="128">
        <v>-256420500</v>
      </c>
      <c r="Q762" s="128">
        <v>0</v>
      </c>
      <c r="R762" s="128">
        <v>0</v>
      </c>
      <c r="S762" s="128">
        <v>0</v>
      </c>
      <c r="T762" s="128">
        <v>-256420500</v>
      </c>
      <c r="U762" s="128">
        <v>0</v>
      </c>
      <c r="V762" s="128">
        <v>-256420500</v>
      </c>
      <c r="W762" s="128">
        <v>0</v>
      </c>
      <c r="X762" s="128">
        <v>0</v>
      </c>
      <c r="Y762" s="128">
        <v>0</v>
      </c>
      <c r="Z762" s="128">
        <v>-256420500</v>
      </c>
      <c r="AA762" s="128">
        <v>0</v>
      </c>
      <c r="AB762" s="126">
        <f t="shared" si="87"/>
        <v>25.642050000000001</v>
      </c>
      <c r="AC762" s="122" t="s">
        <v>1838</v>
      </c>
      <c r="AD762" s="123">
        <f t="shared" si="84"/>
        <v>1983.9723217250009</v>
      </c>
    </row>
    <row r="763" spans="1:32" ht="12.75" hidden="1" customHeight="1">
      <c r="A763" s="125" t="str">
        <f t="shared" si="83"/>
        <v>LIC33Investment Mutual Fund</v>
      </c>
      <c r="B763" s="125">
        <f>+IFERROR(VLOOKUP(L763,'TB mapping'!A:D,4,0),0)</f>
        <v>0</v>
      </c>
      <c r="C763" s="125">
        <f>+IFERROR(VLOOKUP(L763,'TB mapping'!A:C,3,0),0)</f>
        <v>0</v>
      </c>
      <c r="D763" s="125" t="str">
        <f t="shared" si="85"/>
        <v>LIC330</v>
      </c>
      <c r="E763" s="125" t="str">
        <f t="shared" si="86"/>
        <v>LIC330</v>
      </c>
      <c r="F763" s="158" t="str">
        <f>+VLOOKUP(H763,'code mapping'!A:C,3,0)</f>
        <v>LIC33</v>
      </c>
      <c r="G763" s="127" t="s">
        <v>453</v>
      </c>
      <c r="H763" s="127" t="s">
        <v>454</v>
      </c>
      <c r="I763" s="127" t="s">
        <v>57</v>
      </c>
      <c r="J763" s="128">
        <v>105000</v>
      </c>
      <c r="K763" s="127" t="s">
        <v>460</v>
      </c>
      <c r="L763" s="151">
        <v>105100</v>
      </c>
      <c r="M763" s="128">
        <v>0</v>
      </c>
      <c r="N763" s="127" t="s">
        <v>461</v>
      </c>
      <c r="O763" s="127" t="s">
        <v>457</v>
      </c>
      <c r="P763" s="128">
        <v>-0.01</v>
      </c>
      <c r="Q763" s="128">
        <v>0</v>
      </c>
      <c r="R763" s="128">
        <v>0</v>
      </c>
      <c r="S763" s="128">
        <v>0</v>
      </c>
      <c r="T763" s="128">
        <v>-0.01</v>
      </c>
      <c r="U763" s="128">
        <v>0</v>
      </c>
      <c r="V763" s="128">
        <v>-0.01</v>
      </c>
      <c r="W763" s="128">
        <v>0</v>
      </c>
      <c r="X763" s="128">
        <v>0</v>
      </c>
      <c r="Y763" s="128">
        <v>0</v>
      </c>
      <c r="Z763" s="128">
        <v>-0.01</v>
      </c>
      <c r="AA763" s="128">
        <v>0</v>
      </c>
      <c r="AB763" s="126">
        <f t="shared" si="87"/>
        <v>1.0000000000000001E-9</v>
      </c>
      <c r="AC763" s="122" t="s">
        <v>1838</v>
      </c>
      <c r="AD763" s="123">
        <f t="shared" si="84"/>
        <v>1983.9723217250009</v>
      </c>
    </row>
    <row r="764" spans="1:32" ht="12.75" hidden="1" customHeight="1">
      <c r="A764" s="125" t="str">
        <f t="shared" si="83"/>
        <v>LIC33Investment - CBLO</v>
      </c>
      <c r="B764" s="125">
        <f>+IFERROR(VLOOKUP(L764,'TB mapping'!A:D,4,0),0)</f>
        <v>0</v>
      </c>
      <c r="C764" s="125">
        <f>+IFERROR(VLOOKUP(L764,'TB mapping'!A:C,3,0),0)</f>
        <v>0</v>
      </c>
      <c r="D764" s="125" t="str">
        <f t="shared" si="85"/>
        <v>LIC330</v>
      </c>
      <c r="E764" s="125" t="str">
        <f t="shared" si="86"/>
        <v>LIC330</v>
      </c>
      <c r="F764" s="158" t="str">
        <f>+VLOOKUP(H764,'code mapping'!A:C,3,0)</f>
        <v>LIC33</v>
      </c>
      <c r="G764" s="127" t="s">
        <v>453</v>
      </c>
      <c r="H764" s="127" t="s">
        <v>454</v>
      </c>
      <c r="I764" s="127" t="s">
        <v>57</v>
      </c>
      <c r="J764" s="128">
        <v>110000</v>
      </c>
      <c r="K764" s="127" t="s">
        <v>462</v>
      </c>
      <c r="L764" s="151">
        <v>110100</v>
      </c>
      <c r="M764" s="128">
        <v>0</v>
      </c>
      <c r="N764" s="127" t="s">
        <v>463</v>
      </c>
      <c r="O764" s="127" t="s">
        <v>457</v>
      </c>
      <c r="P764" s="128">
        <v>-45255986.909999996</v>
      </c>
      <c r="Q764" s="128">
        <v>0</v>
      </c>
      <c r="R764" s="128">
        <v>0</v>
      </c>
      <c r="S764" s="128">
        <v>0</v>
      </c>
      <c r="T764" s="128">
        <v>-45255986.909999996</v>
      </c>
      <c r="U764" s="128">
        <v>0</v>
      </c>
      <c r="V764" s="128">
        <v>-45255986.909999996</v>
      </c>
      <c r="W764" s="128">
        <v>0</v>
      </c>
      <c r="X764" s="128">
        <v>0</v>
      </c>
      <c r="Y764" s="128">
        <v>0</v>
      </c>
      <c r="Z764" s="128">
        <v>-45255986.909999996</v>
      </c>
      <c r="AA764" s="128">
        <v>0</v>
      </c>
      <c r="AB764" s="126">
        <f t="shared" si="87"/>
        <v>4.5255986909999999</v>
      </c>
      <c r="AC764" s="122" t="s">
        <v>1838</v>
      </c>
      <c r="AD764" s="123">
        <f t="shared" si="84"/>
        <v>1983.9723217250009</v>
      </c>
    </row>
    <row r="765" spans="1:32" ht="12.75" hidden="1" customHeight="1">
      <c r="A765" s="125" t="str">
        <f t="shared" si="83"/>
        <v>LIC33Margin Money Deposits</v>
      </c>
      <c r="B765" s="125">
        <f>+IFERROR(VLOOKUP(L765,'TB mapping'!A:D,4,0),0)</f>
        <v>0</v>
      </c>
      <c r="C765" s="125">
        <f>+IFERROR(VLOOKUP(L765,'TB mapping'!A:C,3,0),0)</f>
        <v>0</v>
      </c>
      <c r="D765" s="125" t="str">
        <f t="shared" si="85"/>
        <v>LIC330</v>
      </c>
      <c r="E765" s="125" t="str">
        <f t="shared" si="86"/>
        <v>LIC330</v>
      </c>
      <c r="F765" s="158" t="str">
        <f>+VLOOKUP(H765,'code mapping'!A:C,3,0)</f>
        <v>LIC33</v>
      </c>
      <c r="G765" s="127" t="s">
        <v>453</v>
      </c>
      <c r="H765" s="127" t="s">
        <v>454</v>
      </c>
      <c r="I765" s="127" t="s">
        <v>57</v>
      </c>
      <c r="J765" s="128">
        <v>110000</v>
      </c>
      <c r="K765" s="127" t="s">
        <v>462</v>
      </c>
      <c r="L765" s="151">
        <v>110110</v>
      </c>
      <c r="M765" s="128">
        <v>0</v>
      </c>
      <c r="N765" s="127" t="s">
        <v>464</v>
      </c>
      <c r="O765" s="127" t="s">
        <v>457</v>
      </c>
      <c r="P765" s="128">
        <v>-1750576.71</v>
      </c>
      <c r="Q765" s="128">
        <v>0</v>
      </c>
      <c r="R765" s="128">
        <v>0</v>
      </c>
      <c r="S765" s="128">
        <v>0</v>
      </c>
      <c r="T765" s="128">
        <v>-1750576.71</v>
      </c>
      <c r="U765" s="128">
        <v>0</v>
      </c>
      <c r="V765" s="128">
        <v>-1750576.71</v>
      </c>
      <c r="W765" s="128">
        <v>0</v>
      </c>
      <c r="X765" s="128">
        <v>0</v>
      </c>
      <c r="Y765" s="128">
        <v>0</v>
      </c>
      <c r="Z765" s="128">
        <v>-1750576.71</v>
      </c>
      <c r="AA765" s="128">
        <v>0</v>
      </c>
      <c r="AB765" s="126">
        <f t="shared" si="87"/>
        <v>0.175057671</v>
      </c>
      <c r="AC765" s="122" t="s">
        <v>1838</v>
      </c>
      <c r="AD765" s="123">
        <f t="shared" si="84"/>
        <v>1983.9723217250009</v>
      </c>
    </row>
    <row r="766" spans="1:32" ht="12.75" hidden="1" customHeight="1">
      <c r="A766" s="125" t="str">
        <f t="shared" si="83"/>
        <v>LIC33Margin Deposit For CCIL</v>
      </c>
      <c r="B766" s="125">
        <f>+IFERROR(VLOOKUP(L766,'TB mapping'!A:D,4,0),0)</f>
        <v>0</v>
      </c>
      <c r="C766" s="125">
        <f>+IFERROR(VLOOKUP(L766,'TB mapping'!A:C,3,0),0)</f>
        <v>0</v>
      </c>
      <c r="D766" s="125" t="str">
        <f t="shared" si="85"/>
        <v>LIC330</v>
      </c>
      <c r="E766" s="125" t="str">
        <f t="shared" si="86"/>
        <v>LIC330</v>
      </c>
      <c r="F766" s="158" t="str">
        <f>+VLOOKUP(H766,'code mapping'!A:C,3,0)</f>
        <v>LIC33</v>
      </c>
      <c r="G766" s="127" t="s">
        <v>453</v>
      </c>
      <c r="H766" s="127" t="s">
        <v>454</v>
      </c>
      <c r="I766" s="127" t="s">
        <v>57</v>
      </c>
      <c r="J766" s="128">
        <v>110000</v>
      </c>
      <c r="K766" s="127" t="s">
        <v>462</v>
      </c>
      <c r="L766" s="151">
        <v>110116</v>
      </c>
      <c r="M766" s="128">
        <v>0</v>
      </c>
      <c r="N766" s="127" t="s">
        <v>465</v>
      </c>
      <c r="O766" s="127" t="s">
        <v>457</v>
      </c>
      <c r="P766" s="128">
        <v>-236794.43</v>
      </c>
      <c r="Q766" s="128">
        <v>0</v>
      </c>
      <c r="R766" s="128">
        <v>0</v>
      </c>
      <c r="S766" s="128">
        <v>0</v>
      </c>
      <c r="T766" s="128">
        <v>-236794.43</v>
      </c>
      <c r="U766" s="128">
        <v>0</v>
      </c>
      <c r="V766" s="128">
        <v>-236794.43</v>
      </c>
      <c r="W766" s="128">
        <v>0</v>
      </c>
      <c r="X766" s="128">
        <v>0</v>
      </c>
      <c r="Y766" s="128">
        <v>0</v>
      </c>
      <c r="Z766" s="128">
        <v>-236794.43</v>
      </c>
      <c r="AA766" s="128">
        <v>0</v>
      </c>
      <c r="AB766" s="126">
        <f t="shared" si="87"/>
        <v>2.3679442999999998E-2</v>
      </c>
      <c r="AC766" s="122" t="s">
        <v>1838</v>
      </c>
      <c r="AD766" s="123">
        <f t="shared" si="84"/>
        <v>1983.9723217250009</v>
      </c>
    </row>
    <row r="767" spans="1:32" ht="12.75" hidden="1" customHeight="1">
      <c r="A767" s="125" t="str">
        <f t="shared" si="83"/>
        <v>LIC33Sub. Rec. Control Account</v>
      </c>
      <c r="B767" s="125">
        <f>+IFERROR(VLOOKUP(L767,'TB mapping'!A:D,4,0),0)</f>
        <v>0</v>
      </c>
      <c r="C767" s="125">
        <f>+IFERROR(VLOOKUP(L767,'TB mapping'!A:C,3,0),0)</f>
        <v>0</v>
      </c>
      <c r="D767" s="125" t="str">
        <f t="shared" si="85"/>
        <v>LIC330</v>
      </c>
      <c r="E767" s="125" t="str">
        <f t="shared" si="86"/>
        <v>LIC330</v>
      </c>
      <c r="F767" s="158" t="str">
        <f>+VLOOKUP(H767,'code mapping'!A:C,3,0)</f>
        <v>LIC33</v>
      </c>
      <c r="G767" s="127" t="s">
        <v>453</v>
      </c>
      <c r="H767" s="127" t="s">
        <v>454</v>
      </c>
      <c r="I767" s="127" t="s">
        <v>57</v>
      </c>
      <c r="J767" s="128">
        <v>132000</v>
      </c>
      <c r="K767" s="127" t="s">
        <v>466</v>
      </c>
      <c r="L767" s="151">
        <v>132121</v>
      </c>
      <c r="M767" s="128">
        <v>0</v>
      </c>
      <c r="N767" s="127" t="s">
        <v>467</v>
      </c>
      <c r="O767" s="127" t="s">
        <v>457</v>
      </c>
      <c r="P767" s="128">
        <v>-87395.48</v>
      </c>
      <c r="Q767" s="128">
        <v>0</v>
      </c>
      <c r="R767" s="128">
        <v>0</v>
      </c>
      <c r="S767" s="128">
        <v>0</v>
      </c>
      <c r="T767" s="128">
        <v>-87395.48</v>
      </c>
      <c r="U767" s="128">
        <v>0</v>
      </c>
      <c r="V767" s="128">
        <v>-87395.48</v>
      </c>
      <c r="W767" s="128">
        <v>0</v>
      </c>
      <c r="X767" s="128">
        <v>0</v>
      </c>
      <c r="Y767" s="128">
        <v>0</v>
      </c>
      <c r="Z767" s="128">
        <v>-87395.48</v>
      </c>
      <c r="AA767" s="128">
        <v>0</v>
      </c>
      <c r="AB767" s="126">
        <f t="shared" si="87"/>
        <v>8.7395479999999998E-3</v>
      </c>
      <c r="AC767" s="122" t="s">
        <v>1838</v>
      </c>
      <c r="AD767" s="123">
        <f t="shared" si="84"/>
        <v>1983.9723217250009</v>
      </c>
    </row>
    <row r="768" spans="1:32" ht="12.75" hidden="1" customHeight="1">
      <c r="A768" s="125" t="str">
        <f t="shared" si="83"/>
        <v>LIC33Switch in Receivable Ct</v>
      </c>
      <c r="B768" s="125">
        <f>+IFERROR(VLOOKUP(L768,'TB mapping'!A:D,4,0),0)</f>
        <v>0</v>
      </c>
      <c r="C768" s="125">
        <f>+IFERROR(VLOOKUP(L768,'TB mapping'!A:C,3,0),0)</f>
        <v>0</v>
      </c>
      <c r="D768" s="125" t="str">
        <f t="shared" si="85"/>
        <v>LIC330</v>
      </c>
      <c r="E768" s="125" t="str">
        <f t="shared" si="86"/>
        <v>LIC330</v>
      </c>
      <c r="F768" s="158" t="str">
        <f>+VLOOKUP(H768,'code mapping'!A:C,3,0)</f>
        <v>LIC33</v>
      </c>
      <c r="G768" s="127" t="s">
        <v>453</v>
      </c>
      <c r="H768" s="127" t="s">
        <v>454</v>
      </c>
      <c r="I768" s="127" t="s">
        <v>57</v>
      </c>
      <c r="J768" s="128">
        <v>132000</v>
      </c>
      <c r="K768" s="127" t="s">
        <v>466</v>
      </c>
      <c r="L768" s="151">
        <v>132124</v>
      </c>
      <c r="M768" s="128">
        <v>0</v>
      </c>
      <c r="N768" s="127" t="s">
        <v>468</v>
      </c>
      <c r="O768" s="127" t="s">
        <v>457</v>
      </c>
      <c r="P768" s="128">
        <v>0</v>
      </c>
      <c r="Q768" s="128">
        <v>0.53</v>
      </c>
      <c r="R768" s="128">
        <v>0</v>
      </c>
      <c r="S768" s="128">
        <v>0</v>
      </c>
      <c r="T768" s="128">
        <v>0</v>
      </c>
      <c r="U768" s="128">
        <v>0.53</v>
      </c>
      <c r="V768" s="128">
        <v>0</v>
      </c>
      <c r="W768" s="128">
        <v>0.53</v>
      </c>
      <c r="X768" s="128">
        <v>0</v>
      </c>
      <c r="Y768" s="128">
        <v>0</v>
      </c>
      <c r="Z768" s="128">
        <v>0</v>
      </c>
      <c r="AA768" s="128">
        <v>0.53</v>
      </c>
      <c r="AB768" s="126">
        <f t="shared" si="87"/>
        <v>-5.3000000000000005E-8</v>
      </c>
      <c r="AC768" s="122" t="s">
        <v>1838</v>
      </c>
      <c r="AD768" s="123">
        <f t="shared" si="84"/>
        <v>1983.9723217250009</v>
      </c>
    </row>
    <row r="769" spans="1:30" ht="12.75" hidden="1" customHeight="1">
      <c r="A769" s="125" t="str">
        <f t="shared" si="83"/>
        <v>LIC33Due From Broker - Bonds</v>
      </c>
      <c r="B769" s="125">
        <f>+IFERROR(VLOOKUP(L769,'TB mapping'!A:D,4,0),0)</f>
        <v>0</v>
      </c>
      <c r="C769" s="125">
        <f>+IFERROR(VLOOKUP(L769,'TB mapping'!A:C,3,0),0)</f>
        <v>0</v>
      </c>
      <c r="D769" s="125" t="str">
        <f t="shared" si="85"/>
        <v>LIC330</v>
      </c>
      <c r="E769" s="125" t="str">
        <f t="shared" si="86"/>
        <v>LIC330</v>
      </c>
      <c r="F769" s="158" t="str">
        <f>+VLOOKUP(H769,'code mapping'!A:C,3,0)</f>
        <v>LIC33</v>
      </c>
      <c r="G769" s="127" t="s">
        <v>453</v>
      </c>
      <c r="H769" s="127" t="s">
        <v>454</v>
      </c>
      <c r="I769" s="127" t="s">
        <v>57</v>
      </c>
      <c r="J769" s="128">
        <v>132000</v>
      </c>
      <c r="K769" s="127" t="s">
        <v>466</v>
      </c>
      <c r="L769" s="151">
        <v>132160</v>
      </c>
      <c r="M769" s="128">
        <v>0</v>
      </c>
      <c r="N769" s="127" t="s">
        <v>469</v>
      </c>
      <c r="O769" s="127" t="s">
        <v>457</v>
      </c>
      <c r="P769" s="128">
        <v>-10000</v>
      </c>
      <c r="Q769" s="128">
        <v>0</v>
      </c>
      <c r="R769" s="128">
        <v>0</v>
      </c>
      <c r="S769" s="128">
        <v>0</v>
      </c>
      <c r="T769" s="128">
        <v>-10000</v>
      </c>
      <c r="U769" s="128">
        <v>0</v>
      </c>
      <c r="V769" s="128">
        <v>-10000</v>
      </c>
      <c r="W769" s="128">
        <v>0</v>
      </c>
      <c r="X769" s="128">
        <v>0</v>
      </c>
      <c r="Y769" s="128">
        <v>0</v>
      </c>
      <c r="Z769" s="128">
        <v>-10000</v>
      </c>
      <c r="AA769" s="128">
        <v>0</v>
      </c>
      <c r="AB769" s="126">
        <f t="shared" si="87"/>
        <v>1E-3</v>
      </c>
      <c r="AC769" s="122" t="s">
        <v>1838</v>
      </c>
      <c r="AD769" s="123">
        <f t="shared" si="84"/>
        <v>1983.9723217250009</v>
      </c>
    </row>
    <row r="770" spans="1:30" ht="12.75" hidden="1" customHeight="1">
      <c r="A770" s="125" t="str">
        <f t="shared" si="83"/>
        <v>LIC33Receivable from AMC</v>
      </c>
      <c r="B770" s="125">
        <f>+IFERROR(VLOOKUP(L770,'TB mapping'!A:D,4,0),0)</f>
        <v>0</v>
      </c>
      <c r="C770" s="125">
        <f>+IFERROR(VLOOKUP(L770,'TB mapping'!A:C,3,0),0)</f>
        <v>0</v>
      </c>
      <c r="D770" s="125" t="str">
        <f t="shared" si="85"/>
        <v>LIC330</v>
      </c>
      <c r="E770" s="125" t="str">
        <f t="shared" si="86"/>
        <v>LIC330</v>
      </c>
      <c r="F770" s="158" t="str">
        <f>+VLOOKUP(H770,'code mapping'!A:C,3,0)</f>
        <v>LIC33</v>
      </c>
      <c r="G770" s="127" t="s">
        <v>453</v>
      </c>
      <c r="H770" s="127" t="s">
        <v>454</v>
      </c>
      <c r="I770" s="127" t="s">
        <v>57</v>
      </c>
      <c r="J770" s="128">
        <v>132000</v>
      </c>
      <c r="K770" s="127" t="s">
        <v>466</v>
      </c>
      <c r="L770" s="151">
        <v>152400</v>
      </c>
      <c r="M770" s="128">
        <v>0</v>
      </c>
      <c r="N770" s="127" t="s">
        <v>471</v>
      </c>
      <c r="O770" s="127" t="s">
        <v>457</v>
      </c>
      <c r="P770" s="128">
        <v>-13.32</v>
      </c>
      <c r="Q770" s="128">
        <v>0</v>
      </c>
      <c r="R770" s="128">
        <v>0</v>
      </c>
      <c r="S770" s="128">
        <v>0</v>
      </c>
      <c r="T770" s="128">
        <v>-13.32</v>
      </c>
      <c r="U770" s="128">
        <v>0</v>
      </c>
      <c r="V770" s="128">
        <v>-13.32</v>
      </c>
      <c r="W770" s="128">
        <v>0</v>
      </c>
      <c r="X770" s="128">
        <v>0</v>
      </c>
      <c r="Y770" s="128">
        <v>0</v>
      </c>
      <c r="Z770" s="128">
        <v>-13.32</v>
      </c>
      <c r="AA770" s="128">
        <v>0</v>
      </c>
      <c r="AB770" s="126">
        <f t="shared" si="87"/>
        <v>1.3320000000000001E-6</v>
      </c>
      <c r="AC770" s="122" t="s">
        <v>1838</v>
      </c>
      <c r="AD770" s="123">
        <f t="shared" si="84"/>
        <v>1983.9723217250009</v>
      </c>
    </row>
    <row r="771" spans="1:30" ht="12.75" hidden="1" customHeight="1">
      <c r="A771" s="125" t="str">
        <f t="shared" si="83"/>
        <v>LIC33CCIL Settlement A/C</v>
      </c>
      <c r="B771" s="125">
        <f>+IFERROR(VLOOKUP(L771,'TB mapping'!A:D,4,0),0)</f>
        <v>0</v>
      </c>
      <c r="C771" s="125">
        <f>+IFERROR(VLOOKUP(L771,'TB mapping'!A:C,3,0),0)</f>
        <v>0</v>
      </c>
      <c r="D771" s="125" t="str">
        <f t="shared" si="85"/>
        <v>LIC330</v>
      </c>
      <c r="E771" s="125" t="str">
        <f t="shared" si="86"/>
        <v>LIC330</v>
      </c>
      <c r="F771" s="158" t="str">
        <f>+VLOOKUP(H771,'code mapping'!A:C,3,0)</f>
        <v>LIC33</v>
      </c>
      <c r="G771" s="127" t="s">
        <v>453</v>
      </c>
      <c r="H771" s="127" t="s">
        <v>454</v>
      </c>
      <c r="I771" s="127" t="s">
        <v>57</v>
      </c>
      <c r="J771" s="128">
        <v>140000</v>
      </c>
      <c r="K771" s="127" t="s">
        <v>472</v>
      </c>
      <c r="L771" s="151">
        <v>132237</v>
      </c>
      <c r="M771" s="128">
        <v>0</v>
      </c>
      <c r="N771" s="127" t="s">
        <v>473</v>
      </c>
      <c r="O771" s="127" t="s">
        <v>457</v>
      </c>
      <c r="P771" s="128">
        <v>0</v>
      </c>
      <c r="Q771" s="128">
        <v>0.13</v>
      </c>
      <c r="R771" s="128">
        <v>0</v>
      </c>
      <c r="S771" s="128">
        <v>0</v>
      </c>
      <c r="T771" s="128">
        <v>0</v>
      </c>
      <c r="U771" s="128">
        <v>0.13</v>
      </c>
      <c r="V771" s="128">
        <v>0</v>
      </c>
      <c r="W771" s="128">
        <v>0.13</v>
      </c>
      <c r="X771" s="128">
        <v>0</v>
      </c>
      <c r="Y771" s="128">
        <v>0</v>
      </c>
      <c r="Z771" s="128">
        <v>0</v>
      </c>
      <c r="AA771" s="128">
        <v>0.13</v>
      </c>
      <c r="AB771" s="126">
        <f t="shared" si="87"/>
        <v>-1.3000000000000001E-8</v>
      </c>
      <c r="AC771" s="122" t="s">
        <v>1838</v>
      </c>
      <c r="AD771" s="123">
        <f t="shared" si="84"/>
        <v>1983.9723217250009</v>
      </c>
    </row>
    <row r="772" spans="1:30" ht="12.75" hidden="1" customHeight="1">
      <c r="A772" s="125" t="str">
        <f t="shared" si="83"/>
        <v>LIC33Cash in Bank</v>
      </c>
      <c r="B772" s="125">
        <f>+IFERROR(VLOOKUP(L772,'TB mapping'!A:D,4,0),0)</f>
        <v>0</v>
      </c>
      <c r="C772" s="125">
        <f>+IFERROR(VLOOKUP(L772,'TB mapping'!A:C,3,0),0)</f>
        <v>0</v>
      </c>
      <c r="D772" s="125" t="str">
        <f t="shared" si="85"/>
        <v>LIC330</v>
      </c>
      <c r="E772" s="125" t="str">
        <f t="shared" si="86"/>
        <v>LIC330</v>
      </c>
      <c r="F772" s="158" t="str">
        <f>+VLOOKUP(H772,'code mapping'!A:C,3,0)</f>
        <v>LIC33</v>
      </c>
      <c r="G772" s="127" t="s">
        <v>453</v>
      </c>
      <c r="H772" s="127" t="s">
        <v>454</v>
      </c>
      <c r="I772" s="127" t="s">
        <v>57</v>
      </c>
      <c r="J772" s="128">
        <v>140000</v>
      </c>
      <c r="K772" s="127" t="s">
        <v>472</v>
      </c>
      <c r="L772" s="151">
        <v>140130</v>
      </c>
      <c r="M772" s="128">
        <v>0</v>
      </c>
      <c r="N772" s="127" t="s">
        <v>474</v>
      </c>
      <c r="O772" s="127" t="s">
        <v>457</v>
      </c>
      <c r="P772" s="128">
        <v>0</v>
      </c>
      <c r="Q772" s="128">
        <v>4133643.84</v>
      </c>
      <c r="R772" s="128">
        <v>0</v>
      </c>
      <c r="S772" s="128">
        <v>0</v>
      </c>
      <c r="T772" s="128">
        <v>0</v>
      </c>
      <c r="U772" s="128">
        <v>4133643.84</v>
      </c>
      <c r="V772" s="128">
        <v>0</v>
      </c>
      <c r="W772" s="128">
        <v>4133643.84</v>
      </c>
      <c r="X772" s="128">
        <v>0</v>
      </c>
      <c r="Y772" s="128">
        <v>0</v>
      </c>
      <c r="Z772" s="128">
        <v>0</v>
      </c>
      <c r="AA772" s="128">
        <v>4133643.84</v>
      </c>
      <c r="AB772" s="126">
        <f t="shared" si="87"/>
        <v>-0.41336438399999997</v>
      </c>
      <c r="AC772" s="122" t="s">
        <v>1838</v>
      </c>
      <c r="AD772" s="123">
        <f t="shared" si="84"/>
        <v>1983.9723217250009</v>
      </c>
    </row>
    <row r="773" spans="1:30" ht="12.75" hidden="1" customHeight="1">
      <c r="A773" s="125" t="str">
        <f t="shared" si="83"/>
        <v>LIC33Cash in Bank</v>
      </c>
      <c r="B773" s="125">
        <f>+IFERROR(VLOOKUP(L773,'TB mapping'!A:D,4,0),0)</f>
        <v>0</v>
      </c>
      <c r="C773" s="125">
        <f>+IFERROR(VLOOKUP(L773,'TB mapping'!A:C,3,0),0)</f>
        <v>0</v>
      </c>
      <c r="D773" s="125" t="str">
        <f t="shared" si="85"/>
        <v>LIC330</v>
      </c>
      <c r="E773" s="125" t="str">
        <f t="shared" si="86"/>
        <v>LIC330</v>
      </c>
      <c r="F773" s="158" t="str">
        <f>+VLOOKUP(H773,'code mapping'!A:C,3,0)</f>
        <v>LIC33</v>
      </c>
      <c r="G773" s="127" t="s">
        <v>453</v>
      </c>
      <c r="H773" s="127" t="s">
        <v>454</v>
      </c>
      <c r="I773" s="127" t="s">
        <v>57</v>
      </c>
      <c r="J773" s="128">
        <v>140000</v>
      </c>
      <c r="K773" s="127" t="s">
        <v>472</v>
      </c>
      <c r="L773" s="151">
        <v>140130</v>
      </c>
      <c r="M773" s="128">
        <v>3</v>
      </c>
      <c r="N773" s="127" t="s">
        <v>474</v>
      </c>
      <c r="O773" s="127" t="s">
        <v>457</v>
      </c>
      <c r="P773" s="128">
        <v>-4133643.84</v>
      </c>
      <c r="Q773" s="128">
        <v>0</v>
      </c>
      <c r="R773" s="128">
        <v>0</v>
      </c>
      <c r="S773" s="128">
        <v>0</v>
      </c>
      <c r="T773" s="128">
        <v>-4133643.84</v>
      </c>
      <c r="U773" s="128">
        <v>0</v>
      </c>
      <c r="V773" s="128">
        <v>-4133643.84</v>
      </c>
      <c r="W773" s="128">
        <v>0</v>
      </c>
      <c r="X773" s="128">
        <v>0</v>
      </c>
      <c r="Y773" s="128">
        <v>0</v>
      </c>
      <c r="Z773" s="128">
        <v>-4133643.84</v>
      </c>
      <c r="AA773" s="128">
        <v>0</v>
      </c>
      <c r="AB773" s="126">
        <f t="shared" si="87"/>
        <v>0.41336438399999997</v>
      </c>
      <c r="AC773" s="122" t="s">
        <v>1838</v>
      </c>
      <c r="AD773" s="123">
        <f t="shared" si="84"/>
        <v>1983.9723217250009</v>
      </c>
    </row>
    <row r="774" spans="1:30" ht="12.75" hidden="1" customHeight="1">
      <c r="A774" s="125" t="str">
        <f t="shared" si="83"/>
        <v>LIC33HDFC Current Account</v>
      </c>
      <c r="B774" s="125">
        <f>+IFERROR(VLOOKUP(L774,'TB mapping'!A:D,4,0),0)</f>
        <v>0</v>
      </c>
      <c r="C774" s="125">
        <f>+IFERROR(VLOOKUP(L774,'TB mapping'!A:C,3,0),0)</f>
        <v>0</v>
      </c>
      <c r="D774" s="125" t="str">
        <f t="shared" si="85"/>
        <v>LIC330</v>
      </c>
      <c r="E774" s="125" t="str">
        <f t="shared" si="86"/>
        <v>LIC330</v>
      </c>
      <c r="F774" s="158" t="str">
        <f>+VLOOKUP(H774,'code mapping'!A:C,3,0)</f>
        <v>LIC33</v>
      </c>
      <c r="G774" s="127" t="s">
        <v>453</v>
      </c>
      <c r="H774" s="127" t="s">
        <v>454</v>
      </c>
      <c r="I774" s="127" t="s">
        <v>57</v>
      </c>
      <c r="J774" s="128">
        <v>140000</v>
      </c>
      <c r="K774" s="127" t="s">
        <v>472</v>
      </c>
      <c r="L774" s="151">
        <v>140330</v>
      </c>
      <c r="M774" s="128">
        <v>0</v>
      </c>
      <c r="N774" s="127" t="s">
        <v>475</v>
      </c>
      <c r="O774" s="127" t="s">
        <v>457</v>
      </c>
      <c r="P774" s="128">
        <v>0</v>
      </c>
      <c r="Q774" s="128">
        <v>0.2</v>
      </c>
      <c r="R774" s="128">
        <v>0</v>
      </c>
      <c r="S774" s="128">
        <v>0</v>
      </c>
      <c r="T774" s="128">
        <v>0</v>
      </c>
      <c r="U774" s="128">
        <v>0.2</v>
      </c>
      <c r="V774" s="128">
        <v>0</v>
      </c>
      <c r="W774" s="128">
        <v>0.2</v>
      </c>
      <c r="X774" s="128">
        <v>0</v>
      </c>
      <c r="Y774" s="128">
        <v>0</v>
      </c>
      <c r="Z774" s="128">
        <v>0</v>
      </c>
      <c r="AA774" s="128">
        <v>0.2</v>
      </c>
      <c r="AB774" s="126">
        <f t="shared" si="87"/>
        <v>-2E-8</v>
      </c>
      <c r="AC774" s="122" t="s">
        <v>1838</v>
      </c>
      <c r="AD774" s="123">
        <f t="shared" si="84"/>
        <v>1983.9723217250009</v>
      </c>
    </row>
    <row r="775" spans="1:30" ht="12.75" hidden="1" customHeight="1">
      <c r="A775" s="125" t="str">
        <f t="shared" si="83"/>
        <v>LIC33HDFC Bank Ltd</v>
      </c>
      <c r="B775" s="125">
        <f>+IFERROR(VLOOKUP(L775,'TB mapping'!A:D,4,0),0)</f>
        <v>0</v>
      </c>
      <c r="C775" s="125">
        <f>+IFERROR(VLOOKUP(L775,'TB mapping'!A:C,3,0),0)</f>
        <v>0</v>
      </c>
      <c r="D775" s="125" t="str">
        <f t="shared" si="85"/>
        <v>LIC330</v>
      </c>
      <c r="E775" s="125" t="str">
        <f t="shared" si="86"/>
        <v>LIC330</v>
      </c>
      <c r="F775" s="158" t="str">
        <f>+VLOOKUP(H775,'code mapping'!A:C,3,0)</f>
        <v>LIC33</v>
      </c>
      <c r="G775" s="127" t="s">
        <v>453</v>
      </c>
      <c r="H775" s="127" t="s">
        <v>454</v>
      </c>
      <c r="I775" s="127" t="s">
        <v>57</v>
      </c>
      <c r="J775" s="128">
        <v>140000</v>
      </c>
      <c r="K775" s="127" t="s">
        <v>472</v>
      </c>
      <c r="L775" s="151">
        <v>140372</v>
      </c>
      <c r="M775" s="128">
        <v>0</v>
      </c>
      <c r="N775" s="127" t="s">
        <v>476</v>
      </c>
      <c r="O775" s="127" t="s">
        <v>457</v>
      </c>
      <c r="P775" s="128">
        <v>-19.02</v>
      </c>
      <c r="Q775" s="128">
        <v>0</v>
      </c>
      <c r="R775" s="128">
        <v>0</v>
      </c>
      <c r="S775" s="128">
        <v>0</v>
      </c>
      <c r="T775" s="128">
        <v>-19.02</v>
      </c>
      <c r="U775" s="128">
        <v>0</v>
      </c>
      <c r="V775" s="128">
        <v>-19.02</v>
      </c>
      <c r="W775" s="128">
        <v>0</v>
      </c>
      <c r="X775" s="128">
        <v>0</v>
      </c>
      <c r="Y775" s="128">
        <v>0</v>
      </c>
      <c r="Z775" s="128">
        <v>-19.02</v>
      </c>
      <c r="AA775" s="128">
        <v>0</v>
      </c>
      <c r="AB775" s="126">
        <f t="shared" si="87"/>
        <v>1.902E-6</v>
      </c>
      <c r="AC775" s="122" t="s">
        <v>1838</v>
      </c>
      <c r="AD775" s="123">
        <f t="shared" si="84"/>
        <v>1983.9723217250009</v>
      </c>
    </row>
    <row r="776" spans="1:30" ht="12.75" hidden="1" customHeight="1">
      <c r="A776" s="125" t="str">
        <f t="shared" si="83"/>
        <v>LIC33Standard Chartered Bank- India</v>
      </c>
      <c r="B776" s="125">
        <f>+IFERROR(VLOOKUP(L776,'TB mapping'!A:D,4,0),0)</f>
        <v>0</v>
      </c>
      <c r="C776" s="125">
        <f>+IFERROR(VLOOKUP(L776,'TB mapping'!A:C,3,0),0)</f>
        <v>0</v>
      </c>
      <c r="D776" s="125" t="str">
        <f t="shared" si="85"/>
        <v>LIC330</v>
      </c>
      <c r="E776" s="125" t="str">
        <f t="shared" si="86"/>
        <v>LIC330</v>
      </c>
      <c r="F776" s="158" t="str">
        <f>+VLOOKUP(H776,'code mapping'!A:C,3,0)</f>
        <v>LIC33</v>
      </c>
      <c r="G776" s="127" t="s">
        <v>453</v>
      </c>
      <c r="H776" s="127" t="s">
        <v>454</v>
      </c>
      <c r="I776" s="127" t="s">
        <v>57</v>
      </c>
      <c r="J776" s="128">
        <v>140000</v>
      </c>
      <c r="K776" s="127" t="s">
        <v>472</v>
      </c>
      <c r="L776" s="151">
        <v>140500</v>
      </c>
      <c r="M776" s="128">
        <v>0</v>
      </c>
      <c r="N776" s="127" t="s">
        <v>477</v>
      </c>
      <c r="O776" s="127" t="s">
        <v>457</v>
      </c>
      <c r="P776" s="128">
        <v>-30370.36</v>
      </c>
      <c r="Q776" s="128">
        <v>0</v>
      </c>
      <c r="R776" s="128">
        <v>0</v>
      </c>
      <c r="S776" s="128">
        <v>0</v>
      </c>
      <c r="T776" s="128">
        <v>-30370.36</v>
      </c>
      <c r="U776" s="128">
        <v>0</v>
      </c>
      <c r="V776" s="128">
        <v>-30370.36</v>
      </c>
      <c r="W776" s="128">
        <v>0</v>
      </c>
      <c r="X776" s="128">
        <v>0</v>
      </c>
      <c r="Y776" s="128">
        <v>0</v>
      </c>
      <c r="Z776" s="128">
        <v>-30370.36</v>
      </c>
      <c r="AA776" s="128">
        <v>0</v>
      </c>
      <c r="AB776" s="126">
        <f t="shared" si="87"/>
        <v>3.0370359999999999E-3</v>
      </c>
      <c r="AC776" s="122" t="s">
        <v>1838</v>
      </c>
      <c r="AD776" s="123">
        <f t="shared" si="84"/>
        <v>1983.9723217250009</v>
      </c>
    </row>
    <row r="777" spans="1:30" ht="12.75" hidden="1" customHeight="1">
      <c r="A777" s="125" t="str">
        <f t="shared" si="83"/>
        <v>LIC33Int Accrual - Corporate Bonds</v>
      </c>
      <c r="B777" s="125">
        <f>+IFERROR(VLOOKUP(L777,'TB mapping'!A:D,4,0),0)</f>
        <v>0</v>
      </c>
      <c r="C777" s="125">
        <f>+IFERROR(VLOOKUP(L777,'TB mapping'!A:C,3,0),0)</f>
        <v>0</v>
      </c>
      <c r="D777" s="125" t="str">
        <f t="shared" si="85"/>
        <v>LIC330</v>
      </c>
      <c r="E777" s="125" t="str">
        <f t="shared" si="86"/>
        <v>LIC330</v>
      </c>
      <c r="F777" s="158" t="str">
        <f>+VLOOKUP(H777,'code mapping'!A:C,3,0)</f>
        <v>LIC33</v>
      </c>
      <c r="G777" s="127" t="s">
        <v>453</v>
      </c>
      <c r="H777" s="127" t="s">
        <v>454</v>
      </c>
      <c r="I777" s="127" t="s">
        <v>57</v>
      </c>
      <c r="J777" s="128">
        <v>152000</v>
      </c>
      <c r="K777" s="127" t="s">
        <v>478</v>
      </c>
      <c r="L777" s="151">
        <v>152120</v>
      </c>
      <c r="M777" s="128">
        <v>0</v>
      </c>
      <c r="N777" s="127" t="s">
        <v>479</v>
      </c>
      <c r="O777" s="127" t="s">
        <v>457</v>
      </c>
      <c r="P777" s="128">
        <v>-34722753.43</v>
      </c>
      <c r="Q777" s="128">
        <v>0</v>
      </c>
      <c r="R777" s="128">
        <v>0</v>
      </c>
      <c r="S777" s="128">
        <v>0</v>
      </c>
      <c r="T777" s="128">
        <v>-34722753.43</v>
      </c>
      <c r="U777" s="128">
        <v>0</v>
      </c>
      <c r="V777" s="128">
        <v>-34722753.43</v>
      </c>
      <c r="W777" s="128">
        <v>0</v>
      </c>
      <c r="X777" s="128">
        <v>0</v>
      </c>
      <c r="Y777" s="128">
        <v>0</v>
      </c>
      <c r="Z777" s="128">
        <v>-34722753.43</v>
      </c>
      <c r="AA777" s="128">
        <v>0</v>
      </c>
      <c r="AB777" s="126">
        <f t="shared" si="87"/>
        <v>3.4722753430000002</v>
      </c>
      <c r="AC777" s="122" t="s">
        <v>1838</v>
      </c>
      <c r="AD777" s="123">
        <f t="shared" si="84"/>
        <v>1983.9723217250009</v>
      </c>
    </row>
    <row r="778" spans="1:30" ht="12.75" hidden="1" customHeight="1">
      <c r="A778" s="125" t="str">
        <f t="shared" si="83"/>
        <v>LIC33Int Accrual - Government Bonds</v>
      </c>
      <c r="B778" s="125">
        <f>+IFERROR(VLOOKUP(L778,'TB mapping'!A:D,4,0),0)</f>
        <v>0</v>
      </c>
      <c r="C778" s="125">
        <f>+IFERROR(VLOOKUP(L778,'TB mapping'!A:C,3,0),0)</f>
        <v>0</v>
      </c>
      <c r="D778" s="125" t="str">
        <f t="shared" si="85"/>
        <v>LIC330</v>
      </c>
      <c r="E778" s="125" t="str">
        <f t="shared" si="86"/>
        <v>LIC330</v>
      </c>
      <c r="F778" s="158" t="str">
        <f>+VLOOKUP(H778,'code mapping'!A:C,3,0)</f>
        <v>LIC33</v>
      </c>
      <c r="G778" s="127" t="s">
        <v>453</v>
      </c>
      <c r="H778" s="127" t="s">
        <v>454</v>
      </c>
      <c r="I778" s="127" t="s">
        <v>57</v>
      </c>
      <c r="J778" s="128">
        <v>152000</v>
      </c>
      <c r="K778" s="127" t="s">
        <v>478</v>
      </c>
      <c r="L778" s="151">
        <v>152130</v>
      </c>
      <c r="M778" s="128">
        <v>0</v>
      </c>
      <c r="N778" s="127" t="s">
        <v>480</v>
      </c>
      <c r="O778" s="127" t="s">
        <v>457</v>
      </c>
      <c r="P778" s="128">
        <v>-30868843.57</v>
      </c>
      <c r="Q778" s="128">
        <v>0</v>
      </c>
      <c r="R778" s="128">
        <v>0</v>
      </c>
      <c r="S778" s="128">
        <v>0</v>
      </c>
      <c r="T778" s="128">
        <v>-30868843.57</v>
      </c>
      <c r="U778" s="128">
        <v>0</v>
      </c>
      <c r="V778" s="128">
        <v>-30868843.57</v>
      </c>
      <c r="W778" s="128">
        <v>0</v>
      </c>
      <c r="X778" s="128">
        <v>0</v>
      </c>
      <c r="Y778" s="128">
        <v>0</v>
      </c>
      <c r="Z778" s="128">
        <v>-30868843.57</v>
      </c>
      <c r="AA778" s="128">
        <v>0</v>
      </c>
      <c r="AB778" s="126">
        <f t="shared" si="87"/>
        <v>3.0868843570000002</v>
      </c>
      <c r="AC778" s="122" t="s">
        <v>1838</v>
      </c>
      <c r="AD778" s="123">
        <f t="shared" si="84"/>
        <v>1983.9723217250009</v>
      </c>
    </row>
    <row r="779" spans="1:30" ht="12.75" hidden="1" customHeight="1">
      <c r="A779" s="125" t="str">
        <f t="shared" si="83"/>
        <v>LIC33Int. Accrual - State Dev Loans</v>
      </c>
      <c r="B779" s="125">
        <f>+IFERROR(VLOOKUP(L779,'TB mapping'!A:D,4,0),0)</f>
        <v>0</v>
      </c>
      <c r="C779" s="125">
        <f>+IFERROR(VLOOKUP(L779,'TB mapping'!A:C,3,0),0)</f>
        <v>0</v>
      </c>
      <c r="D779" s="125" t="str">
        <f t="shared" si="85"/>
        <v>LIC330</v>
      </c>
      <c r="E779" s="125" t="str">
        <f t="shared" si="86"/>
        <v>LIC330</v>
      </c>
      <c r="F779" s="158" t="str">
        <f>+VLOOKUP(H779,'code mapping'!A:C,3,0)</f>
        <v>LIC33</v>
      </c>
      <c r="G779" s="127" t="s">
        <v>453</v>
      </c>
      <c r="H779" s="127" t="s">
        <v>454</v>
      </c>
      <c r="I779" s="127" t="s">
        <v>57</v>
      </c>
      <c r="J779" s="128">
        <v>152000</v>
      </c>
      <c r="K779" s="127" t="s">
        <v>478</v>
      </c>
      <c r="L779" s="151">
        <v>152135</v>
      </c>
      <c r="M779" s="128">
        <v>0</v>
      </c>
      <c r="N779" s="127" t="s">
        <v>481</v>
      </c>
      <c r="O779" s="127" t="s">
        <v>457</v>
      </c>
      <c r="P779" s="128">
        <v>-6790362.1100000003</v>
      </c>
      <c r="Q779" s="128">
        <v>0</v>
      </c>
      <c r="R779" s="128">
        <v>0</v>
      </c>
      <c r="S779" s="128">
        <v>0</v>
      </c>
      <c r="T779" s="128">
        <v>-6790362.1100000003</v>
      </c>
      <c r="U779" s="128">
        <v>0</v>
      </c>
      <c r="V779" s="128">
        <v>-6790362.1100000003</v>
      </c>
      <c r="W779" s="128">
        <v>0</v>
      </c>
      <c r="X779" s="128">
        <v>0</v>
      </c>
      <c r="Y779" s="128">
        <v>0</v>
      </c>
      <c r="Z779" s="128">
        <v>-6790362.1100000003</v>
      </c>
      <c r="AA779" s="128">
        <v>0</v>
      </c>
      <c r="AB779" s="126">
        <f t="shared" si="87"/>
        <v>0.679036211</v>
      </c>
      <c r="AC779" s="122" t="s">
        <v>1838</v>
      </c>
      <c r="AD779" s="123">
        <f t="shared" si="84"/>
        <v>1983.9723217250009</v>
      </c>
    </row>
    <row r="780" spans="1:30" ht="12.75" hidden="1" customHeight="1">
      <c r="A780" s="125" t="str">
        <f t="shared" si="83"/>
        <v>LIC33Amort Receivable - CBLO</v>
      </c>
      <c r="B780" s="125">
        <f>+IFERROR(VLOOKUP(L780,'TB mapping'!A:D,4,0),0)</f>
        <v>0</v>
      </c>
      <c r="C780" s="125">
        <f>+IFERROR(VLOOKUP(L780,'TB mapping'!A:C,3,0),0)</f>
        <v>0</v>
      </c>
      <c r="D780" s="125" t="str">
        <f t="shared" si="85"/>
        <v>LIC330</v>
      </c>
      <c r="E780" s="125" t="str">
        <f t="shared" si="86"/>
        <v>LIC330</v>
      </c>
      <c r="F780" s="158" t="str">
        <f>+VLOOKUP(H780,'code mapping'!A:C,3,0)</f>
        <v>LIC33</v>
      </c>
      <c r="G780" s="127" t="s">
        <v>453</v>
      </c>
      <c r="H780" s="127" t="s">
        <v>454</v>
      </c>
      <c r="I780" s="127" t="s">
        <v>57</v>
      </c>
      <c r="J780" s="128">
        <v>152000</v>
      </c>
      <c r="K780" s="127" t="s">
        <v>478</v>
      </c>
      <c r="L780" s="151">
        <v>152232</v>
      </c>
      <c r="M780" s="128">
        <v>0</v>
      </c>
      <c r="N780" s="127" t="s">
        <v>482</v>
      </c>
      <c r="O780" s="127" t="s">
        <v>457</v>
      </c>
      <c r="P780" s="128">
        <v>-20249.34</v>
      </c>
      <c r="Q780" s="128">
        <v>0</v>
      </c>
      <c r="R780" s="128">
        <v>0</v>
      </c>
      <c r="S780" s="128">
        <v>0</v>
      </c>
      <c r="T780" s="128">
        <v>-20249.34</v>
      </c>
      <c r="U780" s="128">
        <v>0</v>
      </c>
      <c r="V780" s="128">
        <v>-20249.34</v>
      </c>
      <c r="W780" s="128">
        <v>0</v>
      </c>
      <c r="X780" s="128">
        <v>0</v>
      </c>
      <c r="Y780" s="128">
        <v>0</v>
      </c>
      <c r="Z780" s="128">
        <v>-20249.34</v>
      </c>
      <c r="AA780" s="128">
        <v>0</v>
      </c>
      <c r="AB780" s="126">
        <f t="shared" si="87"/>
        <v>2.0249339999999999E-3</v>
      </c>
      <c r="AC780" s="122" t="s">
        <v>1838</v>
      </c>
      <c r="AD780" s="123">
        <f t="shared" si="84"/>
        <v>1983.9723217250009</v>
      </c>
    </row>
    <row r="781" spans="1:30" ht="12.75" hidden="1" customHeight="1">
      <c r="A781" s="125" t="str">
        <f t="shared" si="83"/>
        <v>LIC33Prov Unr P/L - CorpBond/Debent</v>
      </c>
      <c r="B781" s="125">
        <f>+IFERROR(VLOOKUP(L781,'TB mapping'!A:D,4,0),0)</f>
        <v>0</v>
      </c>
      <c r="C781" s="125">
        <f>+IFERROR(VLOOKUP(L781,'TB mapping'!A:C,3,0),0)</f>
        <v>0</v>
      </c>
      <c r="D781" s="125" t="str">
        <f t="shared" si="85"/>
        <v>LIC330</v>
      </c>
      <c r="E781" s="125" t="str">
        <f t="shared" si="86"/>
        <v>LIC330</v>
      </c>
      <c r="F781" s="158" t="str">
        <f>+VLOOKUP(H781,'code mapping'!A:C,3,0)</f>
        <v>LIC33</v>
      </c>
      <c r="G781" s="127" t="s">
        <v>453</v>
      </c>
      <c r="H781" s="127" t="s">
        <v>454</v>
      </c>
      <c r="I781" s="127" t="s">
        <v>57</v>
      </c>
      <c r="J781" s="128">
        <v>160000</v>
      </c>
      <c r="K781" s="127" t="s">
        <v>483</v>
      </c>
      <c r="L781" s="151">
        <v>162120</v>
      </c>
      <c r="M781" s="128">
        <v>0</v>
      </c>
      <c r="N781" s="127" t="s">
        <v>484</v>
      </c>
      <c r="O781" s="127" t="s">
        <v>457</v>
      </c>
      <c r="P781" s="128">
        <v>0</v>
      </c>
      <c r="Q781" s="128">
        <v>8274428.5700000003</v>
      </c>
      <c r="R781" s="128">
        <v>0</v>
      </c>
      <c r="S781" s="128">
        <v>0</v>
      </c>
      <c r="T781" s="128">
        <v>0</v>
      </c>
      <c r="U781" s="128">
        <v>8274428.5700000003</v>
      </c>
      <c r="V781" s="128">
        <v>0</v>
      </c>
      <c r="W781" s="128">
        <v>8274428.5700000003</v>
      </c>
      <c r="X781" s="128">
        <v>0</v>
      </c>
      <c r="Y781" s="128">
        <v>0</v>
      </c>
      <c r="Z781" s="128">
        <v>0</v>
      </c>
      <c r="AA781" s="128">
        <v>8274428.5700000003</v>
      </c>
      <c r="AB781" s="126">
        <f t="shared" si="87"/>
        <v>-0.82744285699999998</v>
      </c>
      <c r="AC781" s="122" t="s">
        <v>1838</v>
      </c>
      <c r="AD781" s="123">
        <f t="shared" si="84"/>
        <v>1983.9723217250009</v>
      </c>
    </row>
    <row r="782" spans="1:30" ht="12.75" hidden="1" customHeight="1">
      <c r="A782" s="125" t="str">
        <f t="shared" si="83"/>
        <v>LIC33Prov Unr P/L - Government Bond</v>
      </c>
      <c r="B782" s="125">
        <f>+IFERROR(VLOOKUP(L782,'TB mapping'!A:D,4,0),0)</f>
        <v>0</v>
      </c>
      <c r="C782" s="125">
        <f>+IFERROR(VLOOKUP(L782,'TB mapping'!A:C,3,0),0)</f>
        <v>0</v>
      </c>
      <c r="D782" s="125" t="str">
        <f t="shared" si="85"/>
        <v>LIC330</v>
      </c>
      <c r="E782" s="125" t="str">
        <f t="shared" si="86"/>
        <v>LIC330</v>
      </c>
      <c r="F782" s="158" t="str">
        <f>+VLOOKUP(H782,'code mapping'!A:C,3,0)</f>
        <v>LIC33</v>
      </c>
      <c r="G782" s="127" t="s">
        <v>453</v>
      </c>
      <c r="H782" s="127" t="s">
        <v>454</v>
      </c>
      <c r="I782" s="127" t="s">
        <v>57</v>
      </c>
      <c r="J782" s="128">
        <v>160000</v>
      </c>
      <c r="K782" s="127" t="s">
        <v>483</v>
      </c>
      <c r="L782" s="151">
        <v>162130</v>
      </c>
      <c r="M782" s="128">
        <v>0</v>
      </c>
      <c r="N782" s="127" t="s">
        <v>485</v>
      </c>
      <c r="O782" s="127" t="s">
        <v>457</v>
      </c>
      <c r="P782" s="128">
        <v>0</v>
      </c>
      <c r="Q782" s="128">
        <v>13881629.75</v>
      </c>
      <c r="R782" s="128">
        <v>0</v>
      </c>
      <c r="S782" s="128">
        <v>0</v>
      </c>
      <c r="T782" s="128">
        <v>0</v>
      </c>
      <c r="U782" s="128">
        <v>13881629.75</v>
      </c>
      <c r="V782" s="128">
        <v>0</v>
      </c>
      <c r="W782" s="128">
        <v>13881629.75</v>
      </c>
      <c r="X782" s="128">
        <v>0</v>
      </c>
      <c r="Y782" s="128">
        <v>0</v>
      </c>
      <c r="Z782" s="128">
        <v>0</v>
      </c>
      <c r="AA782" s="128">
        <v>13881629.75</v>
      </c>
      <c r="AB782" s="126">
        <f t="shared" si="87"/>
        <v>-1.388162975</v>
      </c>
      <c r="AC782" s="122" t="s">
        <v>1838</v>
      </c>
      <c r="AD782" s="123">
        <f t="shared" si="84"/>
        <v>1983.9723217250009</v>
      </c>
    </row>
    <row r="783" spans="1:30" ht="12.75" hidden="1" customHeight="1">
      <c r="A783" s="125" t="str">
        <f t="shared" si="83"/>
        <v>LIC33Prov Unr P/L - SDLs</v>
      </c>
      <c r="B783" s="125">
        <f>+IFERROR(VLOOKUP(L783,'TB mapping'!A:D,4,0),0)</f>
        <v>0</v>
      </c>
      <c r="C783" s="125">
        <f>+IFERROR(VLOOKUP(L783,'TB mapping'!A:C,3,0),0)</f>
        <v>0</v>
      </c>
      <c r="D783" s="125" t="str">
        <f>+F783&amp;B783</f>
        <v>LIC330</v>
      </c>
      <c r="E783" s="125" t="str">
        <f t="shared" si="86"/>
        <v>LIC330</v>
      </c>
      <c r="F783" s="158" t="str">
        <f>+VLOOKUP(H783,'code mapping'!A:C,3,0)</f>
        <v>LIC33</v>
      </c>
      <c r="G783" s="127" t="s">
        <v>453</v>
      </c>
      <c r="H783" s="127" t="s">
        <v>454</v>
      </c>
      <c r="I783" s="127" t="s">
        <v>57</v>
      </c>
      <c r="J783" s="128">
        <v>160000</v>
      </c>
      <c r="K783" s="127" t="s">
        <v>483</v>
      </c>
      <c r="L783" s="151">
        <v>162135</v>
      </c>
      <c r="M783" s="128">
        <v>0</v>
      </c>
      <c r="N783" s="127" t="s">
        <v>486</v>
      </c>
      <c r="O783" s="127" t="s">
        <v>457</v>
      </c>
      <c r="P783" s="128">
        <v>0</v>
      </c>
      <c r="Q783" s="128">
        <v>7107789.1200000001</v>
      </c>
      <c r="R783" s="128">
        <v>0</v>
      </c>
      <c r="S783" s="128">
        <v>0</v>
      </c>
      <c r="T783" s="128">
        <v>0</v>
      </c>
      <c r="U783" s="128">
        <v>7107789.1200000001</v>
      </c>
      <c r="V783" s="128">
        <v>0</v>
      </c>
      <c r="W783" s="128">
        <v>7107789.1200000001</v>
      </c>
      <c r="X783" s="128">
        <v>0</v>
      </c>
      <c r="Y783" s="128">
        <v>0</v>
      </c>
      <c r="Z783" s="128">
        <v>0</v>
      </c>
      <c r="AA783" s="128">
        <v>7107789.1200000001</v>
      </c>
      <c r="AB783" s="126">
        <f t="shared" si="87"/>
        <v>-0.71077891199999998</v>
      </c>
      <c r="AC783" s="122" t="s">
        <v>1838</v>
      </c>
      <c r="AD783" s="123">
        <f t="shared" si="84"/>
        <v>1983.9723217250009</v>
      </c>
    </row>
    <row r="784" spans="1:30" ht="12.75" hidden="1" customHeight="1">
      <c r="A784" s="125" t="str">
        <f t="shared" si="83"/>
        <v>LIC33Payable - Withhold Brokerage</v>
      </c>
      <c r="B784" s="125">
        <f>+IFERROR(VLOOKUP(L784,'TB mapping'!A:D,4,0),0)</f>
        <v>0</v>
      </c>
      <c r="C784" s="125">
        <f>+IFERROR(VLOOKUP(L784,'TB mapping'!A:C,3,0),0)</f>
        <v>0</v>
      </c>
      <c r="D784" s="125" t="str">
        <f t="shared" si="85"/>
        <v>LIC330</v>
      </c>
      <c r="E784" s="125" t="str">
        <f t="shared" si="86"/>
        <v>LIC330</v>
      </c>
      <c r="F784" s="158" t="str">
        <f>+VLOOKUP(H784,'code mapping'!A:C,3,0)</f>
        <v>LIC33</v>
      </c>
      <c r="G784" s="127" t="s">
        <v>453</v>
      </c>
      <c r="H784" s="127" t="s">
        <v>454</v>
      </c>
      <c r="I784" s="127" t="s">
        <v>57</v>
      </c>
      <c r="J784" s="128">
        <v>212000</v>
      </c>
      <c r="K784" s="127" t="s">
        <v>487</v>
      </c>
      <c r="L784" s="151">
        <v>210164</v>
      </c>
      <c r="M784" s="128">
        <v>0</v>
      </c>
      <c r="N784" s="127" t="s">
        <v>488</v>
      </c>
      <c r="O784" s="127" t="s">
        <v>457</v>
      </c>
      <c r="P784" s="128">
        <v>0</v>
      </c>
      <c r="Q784" s="128">
        <v>874836.58</v>
      </c>
      <c r="R784" s="128">
        <v>0</v>
      </c>
      <c r="S784" s="128">
        <v>0</v>
      </c>
      <c r="T784" s="128">
        <v>0</v>
      </c>
      <c r="U784" s="128">
        <v>874836.58</v>
      </c>
      <c r="V784" s="128">
        <v>0</v>
      </c>
      <c r="W784" s="128">
        <v>874836.58</v>
      </c>
      <c r="X784" s="128">
        <v>0</v>
      </c>
      <c r="Y784" s="128">
        <v>0</v>
      </c>
      <c r="Z784" s="128">
        <v>0</v>
      </c>
      <c r="AA784" s="128">
        <v>874836.58</v>
      </c>
      <c r="AB784" s="126">
        <f t="shared" si="87"/>
        <v>-8.7483657999999992E-2</v>
      </c>
      <c r="AC784" s="122" t="s">
        <v>1838</v>
      </c>
      <c r="AD784" s="123">
        <f t="shared" si="84"/>
        <v>1983.9723217250009</v>
      </c>
    </row>
    <row r="785" spans="1:30" ht="12.75" hidden="1" customHeight="1">
      <c r="A785" s="125" t="str">
        <f t="shared" si="83"/>
        <v>LIC33Dividend Payable</v>
      </c>
      <c r="B785" s="125">
        <f>+IFERROR(VLOOKUP(L785,'TB mapping'!A:D,4,0),0)</f>
        <v>0</v>
      </c>
      <c r="C785" s="125">
        <f>+IFERROR(VLOOKUP(L785,'TB mapping'!A:C,3,0),0)</f>
        <v>0</v>
      </c>
      <c r="D785" s="125" t="str">
        <f t="shared" si="85"/>
        <v>LIC330</v>
      </c>
      <c r="E785" s="125" t="str">
        <f t="shared" si="86"/>
        <v>LIC330</v>
      </c>
      <c r="F785" s="158" t="str">
        <f>+VLOOKUP(H785,'code mapping'!A:C,3,0)</f>
        <v>LIC33</v>
      </c>
      <c r="G785" s="127" t="s">
        <v>453</v>
      </c>
      <c r="H785" s="127" t="s">
        <v>454</v>
      </c>
      <c r="I785" s="127" t="s">
        <v>57</v>
      </c>
      <c r="J785" s="128">
        <v>212000</v>
      </c>
      <c r="K785" s="127" t="s">
        <v>487</v>
      </c>
      <c r="L785" s="151">
        <v>212100</v>
      </c>
      <c r="M785" s="128">
        <v>0</v>
      </c>
      <c r="N785" s="127" t="s">
        <v>489</v>
      </c>
      <c r="O785" s="127" t="s">
        <v>457</v>
      </c>
      <c r="P785" s="128">
        <v>0</v>
      </c>
      <c r="Q785" s="128">
        <v>378867.36</v>
      </c>
      <c r="R785" s="128">
        <v>0</v>
      </c>
      <c r="S785" s="128">
        <v>0</v>
      </c>
      <c r="T785" s="128">
        <v>0</v>
      </c>
      <c r="U785" s="128">
        <v>378867.36</v>
      </c>
      <c r="V785" s="128">
        <v>0</v>
      </c>
      <c r="W785" s="128">
        <v>378867.36</v>
      </c>
      <c r="X785" s="128">
        <v>0</v>
      </c>
      <c r="Y785" s="128">
        <v>0</v>
      </c>
      <c r="Z785" s="128">
        <v>0</v>
      </c>
      <c r="AA785" s="128">
        <v>378867.36</v>
      </c>
      <c r="AB785" s="126">
        <f t="shared" si="87"/>
        <v>-3.7886735999999997E-2</v>
      </c>
      <c r="AC785" s="122" t="s">
        <v>1838</v>
      </c>
      <c r="AD785" s="123">
        <f t="shared" si="84"/>
        <v>1983.9723217250009</v>
      </c>
    </row>
    <row r="786" spans="1:30" ht="12.75" hidden="1" customHeight="1">
      <c r="A786" s="125" t="str">
        <f t="shared" si="83"/>
        <v>LIC33CGST Payable</v>
      </c>
      <c r="B786" s="125">
        <f>+IFERROR(VLOOKUP(L786,'TB mapping'!A:D,4,0),0)</f>
        <v>0</v>
      </c>
      <c r="C786" s="125">
        <f>+IFERROR(VLOOKUP(L786,'TB mapping'!A:C,3,0),0)</f>
        <v>0</v>
      </c>
      <c r="D786" s="125" t="str">
        <f t="shared" si="85"/>
        <v>LIC330</v>
      </c>
      <c r="E786" s="125" t="str">
        <f t="shared" si="86"/>
        <v>LIC330</v>
      </c>
      <c r="F786" s="158" t="str">
        <f>+VLOOKUP(H786,'code mapping'!A:C,3,0)</f>
        <v>LIC33</v>
      </c>
      <c r="G786" s="127" t="s">
        <v>453</v>
      </c>
      <c r="H786" s="127" t="s">
        <v>454</v>
      </c>
      <c r="I786" s="127" t="s">
        <v>57</v>
      </c>
      <c r="J786" s="128">
        <v>212000</v>
      </c>
      <c r="K786" s="127" t="s">
        <v>487</v>
      </c>
      <c r="L786" s="151">
        <v>212112</v>
      </c>
      <c r="M786" s="128">
        <v>0</v>
      </c>
      <c r="N786" s="127" t="s">
        <v>490</v>
      </c>
      <c r="O786" s="127" t="s">
        <v>457</v>
      </c>
      <c r="P786" s="128">
        <v>0</v>
      </c>
      <c r="Q786" s="128">
        <v>1097.77</v>
      </c>
      <c r="R786" s="128">
        <v>0</v>
      </c>
      <c r="S786" s="128">
        <v>0</v>
      </c>
      <c r="T786" s="128">
        <v>0</v>
      </c>
      <c r="U786" s="128">
        <v>1097.77</v>
      </c>
      <c r="V786" s="128">
        <v>0</v>
      </c>
      <c r="W786" s="128">
        <v>1097.77</v>
      </c>
      <c r="X786" s="128">
        <v>0</v>
      </c>
      <c r="Y786" s="128">
        <v>0</v>
      </c>
      <c r="Z786" s="128">
        <v>0</v>
      </c>
      <c r="AA786" s="128">
        <v>1097.77</v>
      </c>
      <c r="AB786" s="126">
        <f t="shared" si="87"/>
        <v>-1.09777E-4</v>
      </c>
      <c r="AC786" s="122" t="s">
        <v>1838</v>
      </c>
      <c r="AD786" s="123">
        <f t="shared" si="84"/>
        <v>1983.9723217250009</v>
      </c>
    </row>
    <row r="787" spans="1:30" ht="12.75" hidden="1" customHeight="1">
      <c r="A787" s="125" t="str">
        <f t="shared" si="83"/>
        <v>LIC33SGST Payable</v>
      </c>
      <c r="B787" s="125">
        <f>+IFERROR(VLOOKUP(L787,'TB mapping'!A:D,4,0),0)</f>
        <v>0</v>
      </c>
      <c r="C787" s="125">
        <f>+IFERROR(VLOOKUP(L787,'TB mapping'!A:C,3,0),0)</f>
        <v>0</v>
      </c>
      <c r="D787" s="125" t="str">
        <f t="shared" si="85"/>
        <v>LIC330</v>
      </c>
      <c r="E787" s="125" t="str">
        <f t="shared" si="86"/>
        <v>LIC330</v>
      </c>
      <c r="F787" s="158" t="str">
        <f>+VLOOKUP(H787,'code mapping'!A:C,3,0)</f>
        <v>LIC33</v>
      </c>
      <c r="G787" s="127" t="s">
        <v>453</v>
      </c>
      <c r="H787" s="127" t="s">
        <v>454</v>
      </c>
      <c r="I787" s="127" t="s">
        <v>57</v>
      </c>
      <c r="J787" s="128">
        <v>212000</v>
      </c>
      <c r="K787" s="127" t="s">
        <v>487</v>
      </c>
      <c r="L787" s="151">
        <v>212113</v>
      </c>
      <c r="M787" s="128">
        <v>0</v>
      </c>
      <c r="N787" s="127" t="s">
        <v>491</v>
      </c>
      <c r="O787" s="127" t="s">
        <v>457</v>
      </c>
      <c r="P787" s="128">
        <v>0</v>
      </c>
      <c r="Q787" s="128">
        <v>1097.9100000000001</v>
      </c>
      <c r="R787" s="128">
        <v>0</v>
      </c>
      <c r="S787" s="128">
        <v>0</v>
      </c>
      <c r="T787" s="128">
        <v>0</v>
      </c>
      <c r="U787" s="128">
        <v>1097.9100000000001</v>
      </c>
      <c r="V787" s="128">
        <v>0</v>
      </c>
      <c r="W787" s="128">
        <v>1097.9100000000001</v>
      </c>
      <c r="X787" s="128">
        <v>0</v>
      </c>
      <c r="Y787" s="128">
        <v>0</v>
      </c>
      <c r="Z787" s="128">
        <v>0</v>
      </c>
      <c r="AA787" s="128">
        <v>1097.9100000000001</v>
      </c>
      <c r="AB787" s="126">
        <f t="shared" si="87"/>
        <v>-1.0979100000000001E-4</v>
      </c>
      <c r="AC787" s="122" t="s">
        <v>1838</v>
      </c>
      <c r="AD787" s="123">
        <f t="shared" si="84"/>
        <v>1983.9723217250009</v>
      </c>
    </row>
    <row r="788" spans="1:30" ht="12.75" hidden="1" customHeight="1">
      <c r="A788" s="125" t="str">
        <f t="shared" si="83"/>
        <v>LIC33IGST Payable</v>
      </c>
      <c r="B788" s="125">
        <f>+IFERROR(VLOOKUP(L788,'TB mapping'!A:D,4,0),0)</f>
        <v>0</v>
      </c>
      <c r="C788" s="125">
        <f>+IFERROR(VLOOKUP(L788,'TB mapping'!A:C,3,0),0)</f>
        <v>0</v>
      </c>
      <c r="D788" s="125" t="str">
        <f t="shared" si="85"/>
        <v>LIC330</v>
      </c>
      <c r="E788" s="125" t="str">
        <f t="shared" si="86"/>
        <v>LIC330</v>
      </c>
      <c r="F788" s="158" t="str">
        <f>+VLOOKUP(H788,'code mapping'!A:C,3,0)</f>
        <v>LIC33</v>
      </c>
      <c r="G788" s="127" t="s">
        <v>453</v>
      </c>
      <c r="H788" s="127" t="s">
        <v>454</v>
      </c>
      <c r="I788" s="127" t="s">
        <v>57</v>
      </c>
      <c r="J788" s="128">
        <v>212000</v>
      </c>
      <c r="K788" s="127" t="s">
        <v>487</v>
      </c>
      <c r="L788" s="151">
        <v>212114</v>
      </c>
      <c r="M788" s="128">
        <v>0</v>
      </c>
      <c r="N788" s="127" t="s">
        <v>492</v>
      </c>
      <c r="O788" s="127" t="s">
        <v>457</v>
      </c>
      <c r="P788" s="128">
        <v>0</v>
      </c>
      <c r="Q788" s="128">
        <v>132.86000000000001</v>
      </c>
      <c r="R788" s="128">
        <v>0</v>
      </c>
      <c r="S788" s="128">
        <v>0</v>
      </c>
      <c r="T788" s="128">
        <v>0</v>
      </c>
      <c r="U788" s="128">
        <v>132.86000000000001</v>
      </c>
      <c r="V788" s="128">
        <v>0</v>
      </c>
      <c r="W788" s="128">
        <v>132.86000000000001</v>
      </c>
      <c r="X788" s="128">
        <v>0</v>
      </c>
      <c r="Y788" s="128">
        <v>0</v>
      </c>
      <c r="Z788" s="128">
        <v>0</v>
      </c>
      <c r="AA788" s="128">
        <v>132.86000000000001</v>
      </c>
      <c r="AB788" s="126">
        <f t="shared" si="87"/>
        <v>-1.3286000000000001E-5</v>
      </c>
      <c r="AC788" s="122" t="s">
        <v>1838</v>
      </c>
      <c r="AD788" s="123">
        <f t="shared" si="84"/>
        <v>1983.9723217250009</v>
      </c>
    </row>
    <row r="789" spans="1:30" ht="12.75" hidden="1" customHeight="1">
      <c r="A789" s="125" t="str">
        <f t="shared" si="83"/>
        <v>LIC33Redemption Payable Ct</v>
      </c>
      <c r="B789" s="125">
        <f>+IFERROR(VLOOKUP(L789,'TB mapping'!A:D,4,0),0)</f>
        <v>0</v>
      </c>
      <c r="C789" s="125">
        <f>+IFERROR(VLOOKUP(L789,'TB mapping'!A:C,3,0),0)</f>
        <v>0</v>
      </c>
      <c r="D789" s="125" t="str">
        <f t="shared" si="85"/>
        <v>LIC330</v>
      </c>
      <c r="E789" s="125" t="str">
        <f t="shared" si="86"/>
        <v>LIC330</v>
      </c>
      <c r="F789" s="158" t="str">
        <f>+VLOOKUP(H789,'code mapping'!A:C,3,0)</f>
        <v>LIC33</v>
      </c>
      <c r="G789" s="127" t="s">
        <v>453</v>
      </c>
      <c r="H789" s="127" t="s">
        <v>454</v>
      </c>
      <c r="I789" s="127" t="s">
        <v>57</v>
      </c>
      <c r="J789" s="128">
        <v>212000</v>
      </c>
      <c r="K789" s="127" t="s">
        <v>487</v>
      </c>
      <c r="L789" s="151">
        <v>212121</v>
      </c>
      <c r="M789" s="128">
        <v>0</v>
      </c>
      <c r="N789" s="127" t="s">
        <v>493</v>
      </c>
      <c r="O789" s="127" t="s">
        <v>457</v>
      </c>
      <c r="P789" s="128">
        <v>0</v>
      </c>
      <c r="Q789" s="128">
        <v>3.94</v>
      </c>
      <c r="R789" s="128">
        <v>0</v>
      </c>
      <c r="S789" s="128">
        <v>0</v>
      </c>
      <c r="T789" s="128">
        <v>0</v>
      </c>
      <c r="U789" s="128">
        <v>3.94</v>
      </c>
      <c r="V789" s="128">
        <v>0</v>
      </c>
      <c r="W789" s="128">
        <v>3.94</v>
      </c>
      <c r="X789" s="128">
        <v>0</v>
      </c>
      <c r="Y789" s="128">
        <v>0</v>
      </c>
      <c r="Z789" s="128">
        <v>0</v>
      </c>
      <c r="AA789" s="128">
        <v>3.94</v>
      </c>
      <c r="AB789" s="126">
        <f t="shared" si="87"/>
        <v>-3.9400000000000001E-7</v>
      </c>
      <c r="AC789" s="122" t="s">
        <v>1838</v>
      </c>
      <c r="AD789" s="123">
        <f t="shared" si="84"/>
        <v>1983.9723217250009</v>
      </c>
    </row>
    <row r="790" spans="1:30" ht="12.75" hidden="1" customHeight="1">
      <c r="A790" s="125" t="str">
        <f t="shared" si="83"/>
        <v>LIC33Switch Out Payable Ct</v>
      </c>
      <c r="B790" s="125">
        <f>+IFERROR(VLOOKUP(L790,'TB mapping'!A:D,4,0),0)</f>
        <v>0</v>
      </c>
      <c r="C790" s="125">
        <f>+IFERROR(VLOOKUP(L790,'TB mapping'!A:C,3,0),0)</f>
        <v>0</v>
      </c>
      <c r="D790" s="125" t="str">
        <f t="shared" si="85"/>
        <v>LIC330</v>
      </c>
      <c r="E790" s="125" t="str">
        <f t="shared" si="86"/>
        <v>LIC330</v>
      </c>
      <c r="F790" s="158" t="str">
        <f>+VLOOKUP(H790,'code mapping'!A:C,3,0)</f>
        <v>LIC33</v>
      </c>
      <c r="G790" s="127" t="s">
        <v>453</v>
      </c>
      <c r="H790" s="127" t="s">
        <v>454</v>
      </c>
      <c r="I790" s="127" t="s">
        <v>57</v>
      </c>
      <c r="J790" s="128">
        <v>212000</v>
      </c>
      <c r="K790" s="127" t="s">
        <v>487</v>
      </c>
      <c r="L790" s="151">
        <v>212124</v>
      </c>
      <c r="M790" s="128">
        <v>0</v>
      </c>
      <c r="N790" s="127" t="s">
        <v>494</v>
      </c>
      <c r="O790" s="127" t="s">
        <v>457</v>
      </c>
      <c r="P790" s="128">
        <v>-0.9</v>
      </c>
      <c r="Q790" s="128">
        <v>0</v>
      </c>
      <c r="R790" s="128">
        <v>0</v>
      </c>
      <c r="S790" s="128">
        <v>0</v>
      </c>
      <c r="T790" s="128">
        <v>-0.9</v>
      </c>
      <c r="U790" s="128">
        <v>0</v>
      </c>
      <c r="V790" s="128">
        <v>-0.9</v>
      </c>
      <c r="W790" s="128">
        <v>0</v>
      </c>
      <c r="X790" s="128">
        <v>0</v>
      </c>
      <c r="Y790" s="128">
        <v>0</v>
      </c>
      <c r="Z790" s="128">
        <v>-0.9</v>
      </c>
      <c r="AA790" s="128">
        <v>0</v>
      </c>
      <c r="AB790" s="126">
        <f t="shared" si="87"/>
        <v>8.9999999999999999E-8</v>
      </c>
      <c r="AC790" s="122" t="s">
        <v>1838</v>
      </c>
      <c r="AD790" s="123">
        <f t="shared" si="84"/>
        <v>1983.9723217250009</v>
      </c>
    </row>
    <row r="791" spans="1:30" ht="12.75" hidden="1" customHeight="1">
      <c r="A791" s="125" t="str">
        <f t="shared" si="83"/>
        <v>LIC33Audit Fee-Payable</v>
      </c>
      <c r="B791" s="125">
        <f>+IFERROR(VLOOKUP(L791,'TB mapping'!A:D,4,0),0)</f>
        <v>0</v>
      </c>
      <c r="C791" s="125">
        <f>+IFERROR(VLOOKUP(L791,'TB mapping'!A:C,3,0),0)</f>
        <v>0</v>
      </c>
      <c r="D791" s="125" t="str">
        <f t="shared" si="85"/>
        <v>LIC330</v>
      </c>
      <c r="E791" s="125" t="str">
        <f t="shared" si="86"/>
        <v>LIC330</v>
      </c>
      <c r="F791" s="158" t="str">
        <f>+VLOOKUP(H791,'code mapping'!A:C,3,0)</f>
        <v>LIC33</v>
      </c>
      <c r="G791" s="127" t="s">
        <v>453</v>
      </c>
      <c r="H791" s="127" t="s">
        <v>454</v>
      </c>
      <c r="I791" s="127" t="s">
        <v>57</v>
      </c>
      <c r="J791" s="128">
        <v>212000</v>
      </c>
      <c r="K791" s="127" t="s">
        <v>487</v>
      </c>
      <c r="L791" s="151">
        <v>212194</v>
      </c>
      <c r="M791" s="128">
        <v>0</v>
      </c>
      <c r="N791" s="127" t="s">
        <v>496</v>
      </c>
      <c r="O791" s="127" t="s">
        <v>457</v>
      </c>
      <c r="P791" s="128">
        <v>-573.06000000000006</v>
      </c>
      <c r="Q791" s="128">
        <v>0</v>
      </c>
      <c r="R791" s="128">
        <v>0</v>
      </c>
      <c r="S791" s="128">
        <v>0</v>
      </c>
      <c r="T791" s="128">
        <v>-573.06000000000006</v>
      </c>
      <c r="U791" s="128">
        <v>0</v>
      </c>
      <c r="V791" s="128">
        <v>-573.06000000000006</v>
      </c>
      <c r="W791" s="128">
        <v>0</v>
      </c>
      <c r="X791" s="128">
        <v>0</v>
      </c>
      <c r="Y791" s="128">
        <v>0</v>
      </c>
      <c r="Z791" s="128">
        <v>-573.06000000000006</v>
      </c>
      <c r="AA791" s="128">
        <v>0</v>
      </c>
      <c r="AB791" s="126">
        <f t="shared" si="87"/>
        <v>5.7306000000000003E-5</v>
      </c>
      <c r="AC791" s="122" t="s">
        <v>1838</v>
      </c>
      <c r="AD791" s="123">
        <f t="shared" si="84"/>
        <v>1983.9723217250009</v>
      </c>
    </row>
    <row r="792" spans="1:30" ht="12.75" hidden="1" customHeight="1">
      <c r="A792" s="125" t="str">
        <f t="shared" ref="A792:A811" si="88">+F792&amp;N792</f>
        <v>LIC33Other Exp- Payable</v>
      </c>
      <c r="B792" s="125">
        <f>+IFERROR(VLOOKUP(L792,'TB mapping'!A:D,4,0),0)</f>
        <v>0</v>
      </c>
      <c r="C792" s="125">
        <f>+IFERROR(VLOOKUP(L792,'TB mapping'!A:C,3,0),0)</f>
        <v>0</v>
      </c>
      <c r="D792" s="125" t="str">
        <f t="shared" si="85"/>
        <v>LIC330</v>
      </c>
      <c r="E792" s="125" t="str">
        <f t="shared" si="86"/>
        <v>LIC330</v>
      </c>
      <c r="F792" s="158" t="str">
        <f>+VLOOKUP(H792,'code mapping'!A:C,3,0)</f>
        <v>LIC33</v>
      </c>
      <c r="G792" s="127" t="s">
        <v>453</v>
      </c>
      <c r="H792" s="127" t="s">
        <v>454</v>
      </c>
      <c r="I792" s="127" t="s">
        <v>57</v>
      </c>
      <c r="J792" s="128">
        <v>212000</v>
      </c>
      <c r="K792" s="127" t="s">
        <v>487</v>
      </c>
      <c r="L792" s="151">
        <v>212220</v>
      </c>
      <c r="M792" s="128">
        <v>0</v>
      </c>
      <c r="N792" s="127" t="s">
        <v>497</v>
      </c>
      <c r="O792" s="127" t="s">
        <v>457</v>
      </c>
      <c r="P792" s="128">
        <v>0</v>
      </c>
      <c r="Q792" s="128">
        <v>2389892.5</v>
      </c>
      <c r="R792" s="128">
        <v>0</v>
      </c>
      <c r="S792" s="128">
        <v>0</v>
      </c>
      <c r="T792" s="128">
        <v>0</v>
      </c>
      <c r="U792" s="128">
        <v>2389892.5</v>
      </c>
      <c r="V792" s="128">
        <v>0</v>
      </c>
      <c r="W792" s="128">
        <v>2389892.5</v>
      </c>
      <c r="X792" s="128">
        <v>0</v>
      </c>
      <c r="Y792" s="128">
        <v>0</v>
      </c>
      <c r="Z792" s="128">
        <v>0</v>
      </c>
      <c r="AA792" s="128">
        <v>2389892.5</v>
      </c>
      <c r="AB792" s="126">
        <f t="shared" si="87"/>
        <v>-0.23898924999999999</v>
      </c>
      <c r="AC792" s="122" t="s">
        <v>1838</v>
      </c>
      <c r="AD792" s="123">
        <f t="shared" ref="AD792:AD812" si="89">SUMIF(C:C,C792,AB:AB)</f>
        <v>1983.9723217250009</v>
      </c>
    </row>
    <row r="793" spans="1:30" ht="12.75" hidden="1" customHeight="1">
      <c r="A793" s="125" t="str">
        <f t="shared" si="88"/>
        <v>LIC33Expense Allocation-Liab'ity Ac</v>
      </c>
      <c r="B793" s="125">
        <f>+IFERROR(VLOOKUP(L793,'TB mapping'!A:D,4,0),0)</f>
        <v>0</v>
      </c>
      <c r="C793" s="125">
        <f>+IFERROR(VLOOKUP(L793,'TB mapping'!A:C,3,0),0)</f>
        <v>0</v>
      </c>
      <c r="D793" s="125" t="str">
        <f t="shared" si="85"/>
        <v>LIC330</v>
      </c>
      <c r="E793" s="125" t="str">
        <f t="shared" si="86"/>
        <v>LIC330</v>
      </c>
      <c r="F793" s="158" t="str">
        <f>+VLOOKUP(H793,'code mapping'!A:C,3,0)</f>
        <v>LIC33</v>
      </c>
      <c r="G793" s="127" t="s">
        <v>453</v>
      </c>
      <c r="H793" s="127" t="s">
        <v>454</v>
      </c>
      <c r="I793" s="127" t="s">
        <v>57</v>
      </c>
      <c r="J793" s="128">
        <v>212000</v>
      </c>
      <c r="K793" s="127" t="s">
        <v>487</v>
      </c>
      <c r="L793" s="151">
        <v>212223</v>
      </c>
      <c r="M793" s="128">
        <v>0</v>
      </c>
      <c r="N793" s="127" t="s">
        <v>498</v>
      </c>
      <c r="O793" s="127" t="s">
        <v>457</v>
      </c>
      <c r="P793" s="128">
        <v>-1693342.16</v>
      </c>
      <c r="Q793" s="128">
        <v>0</v>
      </c>
      <c r="R793" s="128">
        <v>0</v>
      </c>
      <c r="S793" s="128">
        <v>0</v>
      </c>
      <c r="T793" s="128">
        <v>-1693342.16</v>
      </c>
      <c r="U793" s="128">
        <v>0</v>
      </c>
      <c r="V793" s="128">
        <v>-1693342.16</v>
      </c>
      <c r="W793" s="128">
        <v>0</v>
      </c>
      <c r="X793" s="128">
        <v>0</v>
      </c>
      <c r="Y793" s="128">
        <v>0</v>
      </c>
      <c r="Z793" s="128">
        <v>-1693342.16</v>
      </c>
      <c r="AA793" s="128">
        <v>0</v>
      </c>
      <c r="AB793" s="126">
        <f t="shared" si="87"/>
        <v>0.16933421599999998</v>
      </c>
      <c r="AC793" s="122" t="s">
        <v>1838</v>
      </c>
      <c r="AD793" s="123">
        <f t="shared" si="89"/>
        <v>1983.9723217250009</v>
      </c>
    </row>
    <row r="794" spans="1:30" ht="12.75" hidden="1" customHeight="1">
      <c r="A794" s="125" t="str">
        <f t="shared" si="88"/>
        <v>LIC33Investor Education Payable</v>
      </c>
      <c r="B794" s="125">
        <f>+IFERROR(VLOOKUP(L794,'TB mapping'!A:D,4,0),0)</f>
        <v>0</v>
      </c>
      <c r="C794" s="125">
        <f>+IFERROR(VLOOKUP(L794,'TB mapping'!A:C,3,0),0)</f>
        <v>0</v>
      </c>
      <c r="D794" s="125" t="str">
        <f t="shared" si="85"/>
        <v>LIC330</v>
      </c>
      <c r="E794" s="125" t="str">
        <f t="shared" si="86"/>
        <v>LIC330</v>
      </c>
      <c r="F794" s="158" t="str">
        <f>+VLOOKUP(H794,'code mapping'!A:C,3,0)</f>
        <v>LIC33</v>
      </c>
      <c r="G794" s="127" t="s">
        <v>453</v>
      </c>
      <c r="H794" s="127" t="s">
        <v>454</v>
      </c>
      <c r="I794" s="127" t="s">
        <v>57</v>
      </c>
      <c r="J794" s="128">
        <v>212000</v>
      </c>
      <c r="K794" s="127" t="s">
        <v>487</v>
      </c>
      <c r="L794" s="151">
        <v>212240</v>
      </c>
      <c r="M794" s="128">
        <v>0</v>
      </c>
      <c r="N794" s="127" t="s">
        <v>500</v>
      </c>
      <c r="O794" s="127" t="s">
        <v>457</v>
      </c>
      <c r="P794" s="128">
        <v>0</v>
      </c>
      <c r="Q794" s="128">
        <v>27071.17</v>
      </c>
      <c r="R794" s="128">
        <v>0</v>
      </c>
      <c r="S794" s="128">
        <v>0</v>
      </c>
      <c r="T794" s="128">
        <v>0</v>
      </c>
      <c r="U794" s="128">
        <v>27071.17</v>
      </c>
      <c r="V794" s="128">
        <v>0</v>
      </c>
      <c r="W794" s="128">
        <v>27071.17</v>
      </c>
      <c r="X794" s="128">
        <v>0</v>
      </c>
      <c r="Y794" s="128">
        <v>0</v>
      </c>
      <c r="Z794" s="128">
        <v>0</v>
      </c>
      <c r="AA794" s="128">
        <v>27071.17</v>
      </c>
      <c r="AB794" s="126">
        <f t="shared" si="87"/>
        <v>-2.7071169999999998E-3</v>
      </c>
      <c r="AC794" s="122" t="s">
        <v>1838</v>
      </c>
      <c r="AD794" s="123">
        <f t="shared" si="89"/>
        <v>1983.9723217250009</v>
      </c>
    </row>
    <row r="795" spans="1:30" ht="12.75" hidden="1" customHeight="1">
      <c r="A795" s="125" t="str">
        <f t="shared" si="88"/>
        <v>LIC33Payable - Dividend Dist Tax</v>
      </c>
      <c r="B795" s="125">
        <f>+IFERROR(VLOOKUP(L795,'TB mapping'!A:D,4,0),0)</f>
        <v>0</v>
      </c>
      <c r="C795" s="125">
        <f>+IFERROR(VLOOKUP(L795,'TB mapping'!A:C,3,0),0)</f>
        <v>0</v>
      </c>
      <c r="D795" s="125" t="str">
        <f t="shared" si="85"/>
        <v>LIC330</v>
      </c>
      <c r="E795" s="125" t="str">
        <f t="shared" si="86"/>
        <v>LIC330</v>
      </c>
      <c r="F795" s="158" t="str">
        <f>+VLOOKUP(H795,'code mapping'!A:C,3,0)</f>
        <v>LIC33</v>
      </c>
      <c r="G795" s="127" t="s">
        <v>453</v>
      </c>
      <c r="H795" s="127" t="s">
        <v>454</v>
      </c>
      <c r="I795" s="127" t="s">
        <v>57</v>
      </c>
      <c r="J795" s="128">
        <v>212000</v>
      </c>
      <c r="K795" s="127" t="s">
        <v>487</v>
      </c>
      <c r="L795" s="151">
        <v>212242</v>
      </c>
      <c r="M795" s="128">
        <v>0</v>
      </c>
      <c r="N795" s="127" t="s">
        <v>650</v>
      </c>
      <c r="O795" s="127" t="s">
        <v>457</v>
      </c>
      <c r="P795" s="128">
        <v>0</v>
      </c>
      <c r="Q795" s="128">
        <v>256558</v>
      </c>
      <c r="R795" s="128">
        <v>0</v>
      </c>
      <c r="S795" s="128">
        <v>0</v>
      </c>
      <c r="T795" s="128">
        <v>0</v>
      </c>
      <c r="U795" s="128">
        <v>256558</v>
      </c>
      <c r="V795" s="128">
        <v>0</v>
      </c>
      <c r="W795" s="128">
        <v>256558</v>
      </c>
      <c r="X795" s="128">
        <v>0</v>
      </c>
      <c r="Y795" s="128">
        <v>0</v>
      </c>
      <c r="Z795" s="128">
        <v>0</v>
      </c>
      <c r="AA795" s="128">
        <v>256558</v>
      </c>
      <c r="AB795" s="126">
        <f t="shared" si="87"/>
        <v>-2.5655799999999999E-2</v>
      </c>
      <c r="AC795" s="122" t="s">
        <v>1838</v>
      </c>
      <c r="AD795" s="123">
        <f t="shared" si="89"/>
        <v>1983.9723217250009</v>
      </c>
    </row>
    <row r="796" spans="1:30" ht="12.75" hidden="1" customHeight="1">
      <c r="A796" s="125" t="str">
        <f t="shared" si="88"/>
        <v>LIC33Transaction Charges Payable</v>
      </c>
      <c r="B796" s="125">
        <f>+IFERROR(VLOOKUP(L796,'TB mapping'!A:D,4,0),0)</f>
        <v>0</v>
      </c>
      <c r="C796" s="125">
        <f>+IFERROR(VLOOKUP(L796,'TB mapping'!A:C,3,0),0)</f>
        <v>0</v>
      </c>
      <c r="D796" s="125" t="str">
        <f t="shared" si="85"/>
        <v>LIC330</v>
      </c>
      <c r="E796" s="125" t="str">
        <f t="shared" si="86"/>
        <v>LIC330</v>
      </c>
      <c r="F796" s="158" t="str">
        <f>+VLOOKUP(H796,'code mapping'!A:C,3,0)</f>
        <v>LIC33</v>
      </c>
      <c r="G796" s="127" t="s">
        <v>453</v>
      </c>
      <c r="H796" s="127" t="s">
        <v>454</v>
      </c>
      <c r="I796" s="127" t="s">
        <v>57</v>
      </c>
      <c r="J796" s="128">
        <v>212000</v>
      </c>
      <c r="K796" s="127" t="s">
        <v>487</v>
      </c>
      <c r="L796" s="151">
        <v>212247</v>
      </c>
      <c r="M796" s="128">
        <v>0</v>
      </c>
      <c r="N796" s="127" t="s">
        <v>501</v>
      </c>
      <c r="O796" s="127" t="s">
        <v>457</v>
      </c>
      <c r="P796" s="128">
        <v>0</v>
      </c>
      <c r="Q796" s="128">
        <v>1876</v>
      </c>
      <c r="R796" s="128">
        <v>0</v>
      </c>
      <c r="S796" s="128">
        <v>0</v>
      </c>
      <c r="T796" s="128">
        <v>0</v>
      </c>
      <c r="U796" s="128">
        <v>1876</v>
      </c>
      <c r="V796" s="128">
        <v>0</v>
      </c>
      <c r="W796" s="128">
        <v>1876</v>
      </c>
      <c r="X796" s="128">
        <v>0</v>
      </c>
      <c r="Y796" s="128">
        <v>0</v>
      </c>
      <c r="Z796" s="128">
        <v>0</v>
      </c>
      <c r="AA796" s="128">
        <v>1876</v>
      </c>
      <c r="AB796" s="126">
        <f t="shared" si="87"/>
        <v>-1.8760000000000001E-4</v>
      </c>
      <c r="AC796" s="122" t="s">
        <v>1838</v>
      </c>
      <c r="AD796" s="123">
        <f t="shared" si="89"/>
        <v>1983.9723217250009</v>
      </c>
    </row>
    <row r="797" spans="1:30" ht="12.75" hidden="1" customHeight="1">
      <c r="A797" s="125" t="str">
        <f t="shared" si="88"/>
        <v>LIC33CCIL Charges Payable</v>
      </c>
      <c r="B797" s="125">
        <f>+IFERROR(VLOOKUP(L797,'TB mapping'!A:D,4,0),0)</f>
        <v>0</v>
      </c>
      <c r="C797" s="125">
        <f>+IFERROR(VLOOKUP(L797,'TB mapping'!A:C,3,0),0)</f>
        <v>0</v>
      </c>
      <c r="D797" s="125" t="str">
        <f t="shared" si="85"/>
        <v>LIC330</v>
      </c>
      <c r="E797" s="125" t="str">
        <f t="shared" si="86"/>
        <v>LIC330</v>
      </c>
      <c r="F797" s="158" t="str">
        <f>+VLOOKUP(H797,'code mapping'!A:C,3,0)</f>
        <v>LIC33</v>
      </c>
      <c r="G797" s="127" t="s">
        <v>453</v>
      </c>
      <c r="H797" s="127" t="s">
        <v>454</v>
      </c>
      <c r="I797" s="127" t="s">
        <v>57</v>
      </c>
      <c r="J797" s="128">
        <v>212000</v>
      </c>
      <c r="K797" s="127" t="s">
        <v>487</v>
      </c>
      <c r="L797" s="151">
        <v>212252</v>
      </c>
      <c r="M797" s="128">
        <v>0</v>
      </c>
      <c r="N797" s="127" t="s">
        <v>502</v>
      </c>
      <c r="O797" s="127" t="s">
        <v>457</v>
      </c>
      <c r="P797" s="128">
        <v>0</v>
      </c>
      <c r="Q797" s="128">
        <v>10000</v>
      </c>
      <c r="R797" s="128">
        <v>0</v>
      </c>
      <c r="S797" s="128">
        <v>0</v>
      </c>
      <c r="T797" s="128">
        <v>0</v>
      </c>
      <c r="U797" s="128">
        <v>10000</v>
      </c>
      <c r="V797" s="128">
        <v>0</v>
      </c>
      <c r="W797" s="128">
        <v>10000</v>
      </c>
      <c r="X797" s="128">
        <v>0</v>
      </c>
      <c r="Y797" s="128">
        <v>0</v>
      </c>
      <c r="Z797" s="128">
        <v>0</v>
      </c>
      <c r="AA797" s="128">
        <v>10000</v>
      </c>
      <c r="AB797" s="126">
        <f t="shared" si="87"/>
        <v>-1E-3</v>
      </c>
      <c r="AC797" s="122" t="s">
        <v>1838</v>
      </c>
      <c r="AD797" s="123">
        <f t="shared" si="89"/>
        <v>1983.9723217250009</v>
      </c>
    </row>
    <row r="798" spans="1:30" ht="12.75" hidden="1" customHeight="1">
      <c r="A798" s="125" t="str">
        <f t="shared" si="88"/>
        <v>LIC33Brokerage &amp; Dist Exp Payable</v>
      </c>
      <c r="B798" s="125">
        <f>+IFERROR(VLOOKUP(L798,'TB mapping'!A:D,4,0),0)</f>
        <v>0</v>
      </c>
      <c r="C798" s="125">
        <f>+IFERROR(VLOOKUP(L798,'TB mapping'!A:C,3,0),0)</f>
        <v>0</v>
      </c>
      <c r="D798" s="125" t="str">
        <f t="shared" si="85"/>
        <v>LIC330</v>
      </c>
      <c r="E798" s="125" t="str">
        <f t="shared" si="86"/>
        <v>LIC330</v>
      </c>
      <c r="F798" s="158" t="str">
        <f>+VLOOKUP(H798,'code mapping'!A:C,3,0)</f>
        <v>LIC33</v>
      </c>
      <c r="G798" s="127" t="s">
        <v>453</v>
      </c>
      <c r="H798" s="127" t="s">
        <v>454</v>
      </c>
      <c r="I798" s="127" t="s">
        <v>57</v>
      </c>
      <c r="J798" s="128">
        <v>212000</v>
      </c>
      <c r="K798" s="127" t="s">
        <v>487</v>
      </c>
      <c r="L798" s="151">
        <v>212255</v>
      </c>
      <c r="M798" s="128">
        <v>0</v>
      </c>
      <c r="N798" s="127" t="s">
        <v>503</v>
      </c>
      <c r="O798" s="127" t="s">
        <v>457</v>
      </c>
      <c r="P798" s="128">
        <v>0</v>
      </c>
      <c r="Q798" s="128">
        <v>5109692.2300000004</v>
      </c>
      <c r="R798" s="128">
        <v>0</v>
      </c>
      <c r="S798" s="128">
        <v>0</v>
      </c>
      <c r="T798" s="128">
        <v>0</v>
      </c>
      <c r="U798" s="128">
        <v>5109692.2300000004</v>
      </c>
      <c r="V798" s="128">
        <v>0</v>
      </c>
      <c r="W798" s="128">
        <v>5109692.2300000004</v>
      </c>
      <c r="X798" s="128">
        <v>0</v>
      </c>
      <c r="Y798" s="128">
        <v>0</v>
      </c>
      <c r="Z798" s="128">
        <v>0</v>
      </c>
      <c r="AA798" s="128">
        <v>5109692.2300000004</v>
      </c>
      <c r="AB798" s="126">
        <f t="shared" si="87"/>
        <v>-0.51096922300000003</v>
      </c>
      <c r="AC798" s="122" t="s">
        <v>1838</v>
      </c>
      <c r="AD798" s="123">
        <f t="shared" si="89"/>
        <v>1983.9723217250009</v>
      </c>
    </row>
    <row r="799" spans="1:30" ht="12.75" hidden="1" customHeight="1">
      <c r="A799" s="125" t="str">
        <f t="shared" si="88"/>
        <v>LIC33Upfront Brk &amp; Trail Paid-Liab</v>
      </c>
      <c r="B799" s="125">
        <f>+IFERROR(VLOOKUP(L799,'TB mapping'!A:D,4,0),0)</f>
        <v>0</v>
      </c>
      <c r="C799" s="125">
        <f>+IFERROR(VLOOKUP(L799,'TB mapping'!A:C,3,0),0)</f>
        <v>0</v>
      </c>
      <c r="D799" s="125" t="str">
        <f t="shared" si="85"/>
        <v>LIC330</v>
      </c>
      <c r="E799" s="125" t="str">
        <f t="shared" si="86"/>
        <v>LIC330</v>
      </c>
      <c r="F799" s="158" t="str">
        <f>+VLOOKUP(H799,'code mapping'!A:C,3,0)</f>
        <v>LIC33</v>
      </c>
      <c r="G799" s="127" t="s">
        <v>453</v>
      </c>
      <c r="H799" s="127" t="s">
        <v>454</v>
      </c>
      <c r="I799" s="127" t="s">
        <v>57</v>
      </c>
      <c r="J799" s="128">
        <v>212000</v>
      </c>
      <c r="K799" s="127" t="s">
        <v>487</v>
      </c>
      <c r="L799" s="151">
        <v>212257</v>
      </c>
      <c r="M799" s="128">
        <v>0</v>
      </c>
      <c r="N799" s="127" t="s">
        <v>504</v>
      </c>
      <c r="O799" s="127" t="s">
        <v>457</v>
      </c>
      <c r="P799" s="128">
        <v>0</v>
      </c>
      <c r="Q799" s="128">
        <v>12910.62</v>
      </c>
      <c r="R799" s="128">
        <v>0</v>
      </c>
      <c r="S799" s="128">
        <v>0</v>
      </c>
      <c r="T799" s="128">
        <v>0</v>
      </c>
      <c r="U799" s="128">
        <v>12910.62</v>
      </c>
      <c r="V799" s="128">
        <v>0</v>
      </c>
      <c r="W799" s="128">
        <v>12910.62</v>
      </c>
      <c r="X799" s="128">
        <v>0</v>
      </c>
      <c r="Y799" s="128">
        <v>0</v>
      </c>
      <c r="Z799" s="128">
        <v>0</v>
      </c>
      <c r="AA799" s="128">
        <v>12910.62</v>
      </c>
      <c r="AB799" s="126">
        <f t="shared" si="87"/>
        <v>-1.2910620000000002E-3</v>
      </c>
      <c r="AC799" s="122" t="s">
        <v>1838</v>
      </c>
      <c r="AD799" s="123">
        <f t="shared" si="89"/>
        <v>1983.9723217250009</v>
      </c>
    </row>
    <row r="800" spans="1:30" ht="12.75" hidden="1" customHeight="1">
      <c r="A800" s="125" t="str">
        <f t="shared" si="88"/>
        <v>LIC33Payable CGST on Mfees</v>
      </c>
      <c r="B800" s="125">
        <f>+IFERROR(VLOOKUP(L800,'TB mapping'!A:D,4,0),0)</f>
        <v>0</v>
      </c>
      <c r="C800" s="125">
        <f>+IFERROR(VLOOKUP(L800,'TB mapping'!A:C,3,0),0)</f>
        <v>0</v>
      </c>
      <c r="D800" s="125" t="str">
        <f t="shared" si="85"/>
        <v>LIC330</v>
      </c>
      <c r="E800" s="125" t="str">
        <f t="shared" si="86"/>
        <v>LIC330</v>
      </c>
      <c r="F800" s="158" t="str">
        <f>+VLOOKUP(H800,'code mapping'!A:C,3,0)</f>
        <v>LIC33</v>
      </c>
      <c r="G800" s="127" t="s">
        <v>453</v>
      </c>
      <c r="H800" s="127" t="s">
        <v>454</v>
      </c>
      <c r="I800" s="127" t="s">
        <v>57</v>
      </c>
      <c r="J800" s="128">
        <v>212000</v>
      </c>
      <c r="K800" s="127" t="s">
        <v>487</v>
      </c>
      <c r="L800" s="151">
        <v>212271</v>
      </c>
      <c r="M800" s="128">
        <v>0</v>
      </c>
      <c r="N800" s="127" t="s">
        <v>505</v>
      </c>
      <c r="O800" s="127" t="s">
        <v>457</v>
      </c>
      <c r="P800" s="128">
        <v>0</v>
      </c>
      <c r="Q800" s="128">
        <v>21201</v>
      </c>
      <c r="R800" s="128">
        <v>0</v>
      </c>
      <c r="S800" s="128">
        <v>0</v>
      </c>
      <c r="T800" s="128">
        <v>0</v>
      </c>
      <c r="U800" s="128">
        <v>21201</v>
      </c>
      <c r="V800" s="128">
        <v>0</v>
      </c>
      <c r="W800" s="128">
        <v>21201</v>
      </c>
      <c r="X800" s="128">
        <v>0</v>
      </c>
      <c r="Y800" s="128">
        <v>0</v>
      </c>
      <c r="Z800" s="128">
        <v>0</v>
      </c>
      <c r="AA800" s="128">
        <v>21201</v>
      </c>
      <c r="AB800" s="126">
        <f t="shared" si="87"/>
        <v>-2.1201000000000002E-3</v>
      </c>
      <c r="AC800" s="122" t="s">
        <v>1838</v>
      </c>
      <c r="AD800" s="123">
        <f t="shared" si="89"/>
        <v>1983.9723217250009</v>
      </c>
    </row>
    <row r="801" spans="1:32" ht="12.75" hidden="1" customHeight="1">
      <c r="A801" s="125" t="str">
        <f t="shared" si="88"/>
        <v>LIC33Payable SGST on Mfees</v>
      </c>
      <c r="B801" s="125">
        <f>+IFERROR(VLOOKUP(L801,'TB mapping'!A:D,4,0),0)</f>
        <v>0</v>
      </c>
      <c r="C801" s="125">
        <f>+IFERROR(VLOOKUP(L801,'TB mapping'!A:C,3,0),0)</f>
        <v>0</v>
      </c>
      <c r="D801" s="125" t="str">
        <f t="shared" si="85"/>
        <v>LIC330</v>
      </c>
      <c r="E801" s="125" t="str">
        <f t="shared" si="86"/>
        <v>LIC330</v>
      </c>
      <c r="F801" s="158" t="str">
        <f>+VLOOKUP(H801,'code mapping'!A:C,3,0)</f>
        <v>LIC33</v>
      </c>
      <c r="G801" s="127" t="s">
        <v>453</v>
      </c>
      <c r="H801" s="127" t="s">
        <v>454</v>
      </c>
      <c r="I801" s="127" t="s">
        <v>57</v>
      </c>
      <c r="J801" s="128">
        <v>212000</v>
      </c>
      <c r="K801" s="127" t="s">
        <v>487</v>
      </c>
      <c r="L801" s="151">
        <v>212272</v>
      </c>
      <c r="M801" s="128">
        <v>0</v>
      </c>
      <c r="N801" s="127" t="s">
        <v>506</v>
      </c>
      <c r="O801" s="127" t="s">
        <v>457</v>
      </c>
      <c r="P801" s="128">
        <v>0</v>
      </c>
      <c r="Q801" s="128">
        <v>21201</v>
      </c>
      <c r="R801" s="128">
        <v>0</v>
      </c>
      <c r="S801" s="128">
        <v>0</v>
      </c>
      <c r="T801" s="128">
        <v>0</v>
      </c>
      <c r="U801" s="128">
        <v>21201</v>
      </c>
      <c r="V801" s="128">
        <v>0</v>
      </c>
      <c r="W801" s="128">
        <v>21201</v>
      </c>
      <c r="X801" s="128">
        <v>0</v>
      </c>
      <c r="Y801" s="128">
        <v>0</v>
      </c>
      <c r="Z801" s="128">
        <v>0</v>
      </c>
      <c r="AA801" s="128">
        <v>21201</v>
      </c>
      <c r="AB801" s="126">
        <f t="shared" si="87"/>
        <v>-2.1201000000000002E-3</v>
      </c>
      <c r="AC801" s="122" t="s">
        <v>1838</v>
      </c>
      <c r="AD801" s="123">
        <f t="shared" si="89"/>
        <v>1983.9723217250009</v>
      </c>
    </row>
    <row r="802" spans="1:32" ht="12.75" hidden="1" customHeight="1">
      <c r="A802" s="125" t="str">
        <f t="shared" si="88"/>
        <v>LIC33Payable -Inv Educ Fund-AMFI</v>
      </c>
      <c r="B802" s="125">
        <f>+IFERROR(VLOOKUP(L802,'TB mapping'!A:D,4,0),0)</f>
        <v>0</v>
      </c>
      <c r="C802" s="125">
        <f>+IFERROR(VLOOKUP(L802,'TB mapping'!A:C,3,0),0)</f>
        <v>0</v>
      </c>
      <c r="D802" s="125" t="str">
        <f t="shared" si="85"/>
        <v>LIC330</v>
      </c>
      <c r="E802" s="125" t="str">
        <f t="shared" si="86"/>
        <v>LIC330</v>
      </c>
      <c r="F802" s="158" t="str">
        <f>+VLOOKUP(H802,'code mapping'!A:C,3,0)</f>
        <v>LIC33</v>
      </c>
      <c r="G802" s="127" t="s">
        <v>453</v>
      </c>
      <c r="H802" s="127" t="s">
        <v>454</v>
      </c>
      <c r="I802" s="127" t="s">
        <v>57</v>
      </c>
      <c r="J802" s="128">
        <v>212000</v>
      </c>
      <c r="K802" s="127" t="s">
        <v>487</v>
      </c>
      <c r="L802" s="151">
        <v>213166</v>
      </c>
      <c r="M802" s="128">
        <v>0</v>
      </c>
      <c r="N802" s="127" t="s">
        <v>507</v>
      </c>
      <c r="O802" s="127" t="s">
        <v>457</v>
      </c>
      <c r="P802" s="128">
        <v>0</v>
      </c>
      <c r="Q802" s="128">
        <v>27071.17</v>
      </c>
      <c r="R802" s="128">
        <v>0</v>
      </c>
      <c r="S802" s="128">
        <v>0</v>
      </c>
      <c r="T802" s="128">
        <v>0</v>
      </c>
      <c r="U802" s="128">
        <v>27071.17</v>
      </c>
      <c r="V802" s="128">
        <v>0</v>
      </c>
      <c r="W802" s="128">
        <v>27071.17</v>
      </c>
      <c r="X802" s="128">
        <v>0</v>
      </c>
      <c r="Y802" s="128">
        <v>0</v>
      </c>
      <c r="Z802" s="128">
        <v>0</v>
      </c>
      <c r="AA802" s="128">
        <v>27071.17</v>
      </c>
      <c r="AB802" s="126">
        <f t="shared" si="87"/>
        <v>-2.7071169999999998E-3</v>
      </c>
      <c r="AC802" s="122" t="s">
        <v>1838</v>
      </c>
      <c r="AD802" s="123">
        <f t="shared" si="89"/>
        <v>1983.9723217250009</v>
      </c>
    </row>
    <row r="803" spans="1:32" ht="12.75" hidden="1" customHeight="1">
      <c r="A803" s="125" t="str">
        <f t="shared" si="88"/>
        <v>LIC33Management Fee Payable</v>
      </c>
      <c r="B803" s="125">
        <f>+IFERROR(VLOOKUP(L803,'TB mapping'!A:D,4,0),0)</f>
        <v>0</v>
      </c>
      <c r="C803" s="125">
        <f>+IFERROR(VLOOKUP(L803,'TB mapping'!A:C,3,0),0)</f>
        <v>0</v>
      </c>
      <c r="D803" s="125" t="str">
        <f t="shared" si="85"/>
        <v>LIC330</v>
      </c>
      <c r="E803" s="125" t="str">
        <f t="shared" si="86"/>
        <v>LIC330</v>
      </c>
      <c r="F803" s="158" t="str">
        <f>+VLOOKUP(H803,'code mapping'!A:C,3,0)</f>
        <v>LIC33</v>
      </c>
      <c r="G803" s="127" t="s">
        <v>453</v>
      </c>
      <c r="H803" s="127" t="s">
        <v>454</v>
      </c>
      <c r="I803" s="127" t="s">
        <v>57</v>
      </c>
      <c r="J803" s="128">
        <v>213000</v>
      </c>
      <c r="K803" s="127" t="s">
        <v>508</v>
      </c>
      <c r="L803" s="151">
        <v>213500</v>
      </c>
      <c r="M803" s="128">
        <v>0</v>
      </c>
      <c r="N803" s="127" t="s">
        <v>509</v>
      </c>
      <c r="O803" s="127" t="s">
        <v>457</v>
      </c>
      <c r="P803" s="128">
        <v>0</v>
      </c>
      <c r="Q803" s="128">
        <v>235554.08</v>
      </c>
      <c r="R803" s="128">
        <v>0</v>
      </c>
      <c r="S803" s="128">
        <v>0</v>
      </c>
      <c r="T803" s="128">
        <v>0</v>
      </c>
      <c r="U803" s="128">
        <v>235554.08</v>
      </c>
      <c r="V803" s="128">
        <v>0</v>
      </c>
      <c r="W803" s="128">
        <v>235554.08</v>
      </c>
      <c r="X803" s="128">
        <v>0</v>
      </c>
      <c r="Y803" s="128">
        <v>0</v>
      </c>
      <c r="Z803" s="128">
        <v>0</v>
      </c>
      <c r="AA803" s="128">
        <v>235554.08</v>
      </c>
      <c r="AB803" s="126">
        <f t="shared" si="87"/>
        <v>-2.3555408E-2</v>
      </c>
      <c r="AC803" s="122" t="s">
        <v>1838</v>
      </c>
      <c r="AD803" s="123">
        <f t="shared" si="89"/>
        <v>1983.9723217250009</v>
      </c>
    </row>
    <row r="804" spans="1:32" ht="12.75" hidden="1" customHeight="1">
      <c r="A804" s="125" t="str">
        <f t="shared" si="88"/>
        <v>LIC33Other Adjustment A/c.</v>
      </c>
      <c r="B804" s="125">
        <f>+IFERROR(VLOOKUP(L804,'TB mapping'!A:D,4,0),0)</f>
        <v>0</v>
      </c>
      <c r="C804" s="125">
        <f>+IFERROR(VLOOKUP(L804,'TB mapping'!A:C,3,0),0)</f>
        <v>0</v>
      </c>
      <c r="D804" s="125" t="str">
        <f t="shared" si="85"/>
        <v>LIC330</v>
      </c>
      <c r="E804" s="125" t="str">
        <f t="shared" si="86"/>
        <v>LIC330</v>
      </c>
      <c r="F804" s="158" t="str">
        <f>+VLOOKUP(H804,'code mapping'!A:C,3,0)</f>
        <v>LIC33</v>
      </c>
      <c r="G804" s="127" t="s">
        <v>453</v>
      </c>
      <c r="H804" s="127" t="s">
        <v>454</v>
      </c>
      <c r="I804" s="127" t="s">
        <v>57</v>
      </c>
      <c r="J804" s="128">
        <v>220000</v>
      </c>
      <c r="K804" s="127" t="s">
        <v>510</v>
      </c>
      <c r="L804" s="151">
        <v>190000</v>
      </c>
      <c r="M804" s="128">
        <v>0</v>
      </c>
      <c r="N804" s="127" t="s">
        <v>511</v>
      </c>
      <c r="O804" s="127" t="s">
        <v>457</v>
      </c>
      <c r="P804" s="128">
        <v>-1.25</v>
      </c>
      <c r="Q804" s="128">
        <v>0</v>
      </c>
      <c r="R804" s="128">
        <v>0</v>
      </c>
      <c r="S804" s="128">
        <v>0</v>
      </c>
      <c r="T804" s="128">
        <v>-1.25</v>
      </c>
      <c r="U804" s="128">
        <v>0</v>
      </c>
      <c r="V804" s="128">
        <v>-1.25</v>
      </c>
      <c r="W804" s="128">
        <v>0</v>
      </c>
      <c r="X804" s="128">
        <v>0</v>
      </c>
      <c r="Y804" s="128">
        <v>0</v>
      </c>
      <c r="Z804" s="128">
        <v>-1.25</v>
      </c>
      <c r="AA804" s="128">
        <v>0</v>
      </c>
      <c r="AB804" s="126">
        <f t="shared" si="87"/>
        <v>1.2499999999999999E-7</v>
      </c>
      <c r="AC804" s="122" t="s">
        <v>1838</v>
      </c>
      <c r="AD804" s="123">
        <f t="shared" si="89"/>
        <v>1983.9723217250009</v>
      </c>
    </row>
    <row r="805" spans="1:32" ht="12.75" hidden="1" customHeight="1">
      <c r="A805" s="125" t="str">
        <f t="shared" si="88"/>
        <v>LIC33Prov For Withholding Brokerage</v>
      </c>
      <c r="B805" s="125">
        <f>+IFERROR(VLOOKUP(L805,'TB mapping'!A:D,4,0),0)</f>
        <v>0</v>
      </c>
      <c r="C805" s="125">
        <f>+IFERROR(VLOOKUP(L805,'TB mapping'!A:C,3,0),0)</f>
        <v>0</v>
      </c>
      <c r="D805" s="125" t="str">
        <f t="shared" si="85"/>
        <v>LIC330</v>
      </c>
      <c r="E805" s="125" t="str">
        <f t="shared" si="86"/>
        <v>LIC330</v>
      </c>
      <c r="F805" s="158" t="str">
        <f>+VLOOKUP(H805,'code mapping'!A:C,3,0)</f>
        <v>LIC33</v>
      </c>
      <c r="G805" s="127" t="s">
        <v>453</v>
      </c>
      <c r="H805" s="127" t="s">
        <v>454</v>
      </c>
      <c r="I805" s="127" t="s">
        <v>57</v>
      </c>
      <c r="J805" s="128">
        <v>220000</v>
      </c>
      <c r="K805" s="127" t="s">
        <v>510</v>
      </c>
      <c r="L805" s="151">
        <v>210162</v>
      </c>
      <c r="M805" s="128">
        <v>0</v>
      </c>
      <c r="N805" s="127" t="s">
        <v>512</v>
      </c>
      <c r="O805" s="127" t="s">
        <v>457</v>
      </c>
      <c r="P805" s="128">
        <v>0</v>
      </c>
      <c r="Q805" s="128">
        <v>843868.67</v>
      </c>
      <c r="R805" s="128">
        <v>0</v>
      </c>
      <c r="S805" s="128">
        <v>0</v>
      </c>
      <c r="T805" s="128">
        <v>0</v>
      </c>
      <c r="U805" s="128">
        <v>843868.67</v>
      </c>
      <c r="V805" s="128">
        <v>0</v>
      </c>
      <c r="W805" s="128">
        <v>843868.67</v>
      </c>
      <c r="X805" s="128">
        <v>0</v>
      </c>
      <c r="Y805" s="128">
        <v>0</v>
      </c>
      <c r="Z805" s="128">
        <v>0</v>
      </c>
      <c r="AA805" s="128">
        <v>843868.67</v>
      </c>
      <c r="AB805" s="126">
        <f t="shared" si="87"/>
        <v>-8.4386867000000004E-2</v>
      </c>
      <c r="AC805" s="122" t="s">
        <v>1838</v>
      </c>
      <c r="AD805" s="123">
        <f t="shared" si="89"/>
        <v>1983.9723217250009</v>
      </c>
    </row>
    <row r="806" spans="1:32" ht="12.75" hidden="1" customHeight="1">
      <c r="A806" s="125" t="str">
        <f t="shared" si="88"/>
        <v>LIC33Prov  Withholding Brok 2016-17</v>
      </c>
      <c r="B806" s="125">
        <f>+IFERROR(VLOOKUP(L806,'TB mapping'!A:D,4,0),0)</f>
        <v>0</v>
      </c>
      <c r="C806" s="125">
        <f>+IFERROR(VLOOKUP(L806,'TB mapping'!A:C,3,0),0)</f>
        <v>0</v>
      </c>
      <c r="D806" s="125" t="str">
        <f t="shared" si="85"/>
        <v>LIC330</v>
      </c>
      <c r="E806" s="125" t="str">
        <f t="shared" si="86"/>
        <v>LIC330</v>
      </c>
      <c r="F806" s="158" t="str">
        <f>+VLOOKUP(H806,'code mapping'!A:C,3,0)</f>
        <v>LIC33</v>
      </c>
      <c r="G806" s="127" t="s">
        <v>453</v>
      </c>
      <c r="H806" s="127" t="s">
        <v>454</v>
      </c>
      <c r="I806" s="127" t="s">
        <v>57</v>
      </c>
      <c r="J806" s="128">
        <v>220000</v>
      </c>
      <c r="K806" s="127" t="s">
        <v>510</v>
      </c>
      <c r="L806" s="151">
        <v>210163</v>
      </c>
      <c r="M806" s="128">
        <v>0</v>
      </c>
      <c r="N806" s="127" t="s">
        <v>513</v>
      </c>
      <c r="O806" s="127" t="s">
        <v>457</v>
      </c>
      <c r="P806" s="128">
        <v>0</v>
      </c>
      <c r="Q806" s="128">
        <v>882603.85</v>
      </c>
      <c r="R806" s="128">
        <v>0</v>
      </c>
      <c r="S806" s="128">
        <v>0</v>
      </c>
      <c r="T806" s="128">
        <v>0</v>
      </c>
      <c r="U806" s="128">
        <v>882603.85</v>
      </c>
      <c r="V806" s="128">
        <v>0</v>
      </c>
      <c r="W806" s="128">
        <v>882603.85</v>
      </c>
      <c r="X806" s="128">
        <v>0</v>
      </c>
      <c r="Y806" s="128">
        <v>0</v>
      </c>
      <c r="Z806" s="128">
        <v>0</v>
      </c>
      <c r="AA806" s="128">
        <v>882603.85</v>
      </c>
      <c r="AB806" s="126">
        <f t="shared" si="87"/>
        <v>-8.8260384999999997E-2</v>
      </c>
      <c r="AC806" s="122" t="s">
        <v>1838</v>
      </c>
      <c r="AD806" s="123">
        <f t="shared" si="89"/>
        <v>1983.9723217250009</v>
      </c>
    </row>
    <row r="807" spans="1:32" ht="12.75" hidden="1" customHeight="1">
      <c r="A807" s="125" t="str">
        <f t="shared" si="88"/>
        <v>LIC33Unit Capital</v>
      </c>
      <c r="B807" s="125">
        <f>+IFERROR(VLOOKUP(L807,'TB mapping'!A:D,4,0),0)</f>
        <v>0</v>
      </c>
      <c r="C807" s="125">
        <f>+IFERROR(VLOOKUP(L807,'TB mapping'!A:C,3,0),0)</f>
        <v>0</v>
      </c>
      <c r="D807" s="125" t="str">
        <f t="shared" si="85"/>
        <v>LIC330</v>
      </c>
      <c r="E807" s="125" t="str">
        <f t="shared" si="86"/>
        <v>LIC330</v>
      </c>
      <c r="F807" s="158" t="str">
        <f>+VLOOKUP(H807,'code mapping'!A:C,3,0)</f>
        <v>LIC33</v>
      </c>
      <c r="G807" s="127" t="s">
        <v>453</v>
      </c>
      <c r="H807" s="127" t="s">
        <v>454</v>
      </c>
      <c r="I807" s="127" t="s">
        <v>57</v>
      </c>
      <c r="J807" s="128">
        <v>301000</v>
      </c>
      <c r="K807" s="127" t="s">
        <v>514</v>
      </c>
      <c r="L807" s="151">
        <v>310000</v>
      </c>
      <c r="M807" s="128">
        <v>0</v>
      </c>
      <c r="N807" s="127" t="s">
        <v>515</v>
      </c>
      <c r="O807" s="127" t="s">
        <v>457</v>
      </c>
      <c r="P807" s="128">
        <v>0</v>
      </c>
      <c r="Q807" s="128">
        <v>768845668.25</v>
      </c>
      <c r="R807" s="128">
        <v>0</v>
      </c>
      <c r="S807" s="128">
        <v>0</v>
      </c>
      <c r="T807" s="128">
        <v>0</v>
      </c>
      <c r="U807" s="128">
        <v>768845668.25</v>
      </c>
      <c r="V807" s="128">
        <v>0</v>
      </c>
      <c r="W807" s="128">
        <v>768845668.25</v>
      </c>
      <c r="X807" s="128">
        <v>0</v>
      </c>
      <c r="Y807" s="128">
        <v>0</v>
      </c>
      <c r="Z807" s="128">
        <v>0</v>
      </c>
      <c r="AA807" s="128">
        <v>768845668.25</v>
      </c>
      <c r="AB807" s="126">
        <f t="shared" si="87"/>
        <v>-76.884566824999993</v>
      </c>
      <c r="AC807" s="122" t="s">
        <v>1838</v>
      </c>
      <c r="AD807" s="123">
        <f t="shared" si="89"/>
        <v>1983.9723217250009</v>
      </c>
    </row>
    <row r="808" spans="1:32" ht="12.75" hidden="1" customHeight="1">
      <c r="A808" s="125" t="str">
        <f t="shared" si="88"/>
        <v>LIC33Unit Premium Reserve- RG</v>
      </c>
      <c r="B808" s="125">
        <f>+IFERROR(VLOOKUP(L808,'TB mapping'!A:D,4,0),0)</f>
        <v>0</v>
      </c>
      <c r="C808" s="125">
        <f>+IFERROR(VLOOKUP(L808,'TB mapping'!A:C,3,0),0)</f>
        <v>0</v>
      </c>
      <c r="D808" s="125" t="str">
        <f t="shared" si="85"/>
        <v>LIC330</v>
      </c>
      <c r="E808" s="125" t="str">
        <f t="shared" si="86"/>
        <v>LIC330</v>
      </c>
      <c r="F808" s="158" t="str">
        <f>+VLOOKUP(H808,'code mapping'!A:C,3,0)</f>
        <v>LIC33</v>
      </c>
      <c r="G808" s="127" t="s">
        <v>453</v>
      </c>
      <c r="H808" s="127" t="s">
        <v>454</v>
      </c>
      <c r="I808" s="127" t="s">
        <v>57</v>
      </c>
      <c r="J808" s="128">
        <v>303000</v>
      </c>
      <c r="K808" s="127" t="s">
        <v>516</v>
      </c>
      <c r="L808" s="151">
        <v>303201</v>
      </c>
      <c r="M808" s="128">
        <v>0</v>
      </c>
      <c r="N808" s="127" t="s">
        <v>517</v>
      </c>
      <c r="O808" s="127" t="s">
        <v>457</v>
      </c>
      <c r="P808" s="128">
        <v>-557935384.24000001</v>
      </c>
      <c r="Q808" s="128">
        <v>0</v>
      </c>
      <c r="R808" s="128">
        <v>0</v>
      </c>
      <c r="S808" s="128">
        <v>0</v>
      </c>
      <c r="T808" s="128">
        <v>-557935384.24000001</v>
      </c>
      <c r="U808" s="128">
        <v>0</v>
      </c>
      <c r="V808" s="128">
        <v>-557935384.24000001</v>
      </c>
      <c r="W808" s="128">
        <v>0</v>
      </c>
      <c r="X808" s="128">
        <v>0</v>
      </c>
      <c r="Y808" s="128">
        <v>0</v>
      </c>
      <c r="Z808" s="128">
        <v>-557935384.24000001</v>
      </c>
      <c r="AA808" s="128">
        <v>0</v>
      </c>
      <c r="AB808" s="126">
        <f t="shared" si="87"/>
        <v>55.793538423999998</v>
      </c>
      <c r="AC808" s="122" t="s">
        <v>1838</v>
      </c>
      <c r="AD808" s="123">
        <f t="shared" si="89"/>
        <v>1983.9723217250009</v>
      </c>
    </row>
    <row r="809" spans="1:32" ht="12.75" hidden="1" customHeight="1">
      <c r="A809" s="125" t="str">
        <f t="shared" si="88"/>
        <v>LIC33Unit Premium Reserve- RD</v>
      </c>
      <c r="B809" s="125">
        <f>+IFERROR(VLOOKUP(L809,'TB mapping'!A:D,4,0),0)</f>
        <v>0</v>
      </c>
      <c r="C809" s="125">
        <f>+IFERROR(VLOOKUP(L809,'TB mapping'!A:C,3,0),0)</f>
        <v>0</v>
      </c>
      <c r="D809" s="125" t="str">
        <f t="shared" si="85"/>
        <v>LIC330</v>
      </c>
      <c r="E809" s="125" t="str">
        <f t="shared" si="86"/>
        <v>LIC330</v>
      </c>
      <c r="F809" s="158" t="str">
        <f>+VLOOKUP(H809,'code mapping'!A:C,3,0)</f>
        <v>LIC33</v>
      </c>
      <c r="G809" s="127" t="s">
        <v>453</v>
      </c>
      <c r="H809" s="127" t="s">
        <v>454</v>
      </c>
      <c r="I809" s="127" t="s">
        <v>57</v>
      </c>
      <c r="J809" s="128">
        <v>303000</v>
      </c>
      <c r="K809" s="127" t="s">
        <v>516</v>
      </c>
      <c r="L809" s="151">
        <v>303202</v>
      </c>
      <c r="M809" s="128">
        <v>0</v>
      </c>
      <c r="N809" s="127" t="s">
        <v>518</v>
      </c>
      <c r="O809" s="127" t="s">
        <v>457</v>
      </c>
      <c r="P809" s="128">
        <v>-2873319.17</v>
      </c>
      <c r="Q809" s="128">
        <v>0</v>
      </c>
      <c r="R809" s="128">
        <v>0</v>
      </c>
      <c r="S809" s="128">
        <v>0</v>
      </c>
      <c r="T809" s="128">
        <v>-2873319.17</v>
      </c>
      <c r="U809" s="128">
        <v>0</v>
      </c>
      <c r="V809" s="128">
        <v>-2873319.17</v>
      </c>
      <c r="W809" s="128">
        <v>0</v>
      </c>
      <c r="X809" s="128">
        <v>0</v>
      </c>
      <c r="Y809" s="128">
        <v>0</v>
      </c>
      <c r="Z809" s="128">
        <v>-2873319.17</v>
      </c>
      <c r="AA809" s="128">
        <v>0</v>
      </c>
      <c r="AB809" s="126">
        <f t="shared" si="87"/>
        <v>0.28733191699999999</v>
      </c>
      <c r="AC809" s="122" t="s">
        <v>1838</v>
      </c>
      <c r="AD809" s="123">
        <f t="shared" si="89"/>
        <v>1983.9723217250009</v>
      </c>
    </row>
    <row r="810" spans="1:32" ht="12.75" hidden="1" customHeight="1">
      <c r="A810" s="125" t="str">
        <f t="shared" si="88"/>
        <v>LIC33Unit Premium Reserve-GDP</v>
      </c>
      <c r="B810" s="125">
        <f>+IFERROR(VLOOKUP(L810,'TB mapping'!A:D,4,0),0)</f>
        <v>0</v>
      </c>
      <c r="C810" s="125">
        <f>+IFERROR(VLOOKUP(L810,'TB mapping'!A:C,3,0),0)</f>
        <v>0</v>
      </c>
      <c r="D810" s="125" t="str">
        <f t="shared" si="85"/>
        <v>LIC330</v>
      </c>
      <c r="E810" s="125" t="str">
        <f t="shared" si="86"/>
        <v>LIC330</v>
      </c>
      <c r="F810" s="158" t="str">
        <f>+VLOOKUP(H810,'code mapping'!A:C,3,0)</f>
        <v>LIC33</v>
      </c>
      <c r="G810" s="127" t="s">
        <v>453</v>
      </c>
      <c r="H810" s="127" t="s">
        <v>454</v>
      </c>
      <c r="I810" s="127" t="s">
        <v>57</v>
      </c>
      <c r="J810" s="128">
        <v>303000</v>
      </c>
      <c r="K810" s="127" t="s">
        <v>516</v>
      </c>
      <c r="L810" s="151">
        <v>303245</v>
      </c>
      <c r="M810" s="128">
        <v>0</v>
      </c>
      <c r="N810" s="127" t="s">
        <v>519</v>
      </c>
      <c r="O810" s="127" t="s">
        <v>457</v>
      </c>
      <c r="P810" s="128">
        <v>-799141097.97000003</v>
      </c>
      <c r="Q810" s="128">
        <v>0</v>
      </c>
      <c r="R810" s="128">
        <v>0</v>
      </c>
      <c r="S810" s="128">
        <v>0</v>
      </c>
      <c r="T810" s="128">
        <v>-799141097.97000003</v>
      </c>
      <c r="U810" s="128">
        <v>0</v>
      </c>
      <c r="V810" s="128">
        <v>-799141097.97000003</v>
      </c>
      <c r="W810" s="128">
        <v>0</v>
      </c>
      <c r="X810" s="128">
        <v>0</v>
      </c>
      <c r="Y810" s="128">
        <v>0</v>
      </c>
      <c r="Z810" s="128">
        <v>-799141097.97000003</v>
      </c>
      <c r="AA810" s="128">
        <v>0</v>
      </c>
      <c r="AB810" s="126">
        <f t="shared" si="87"/>
        <v>79.914109797000009</v>
      </c>
      <c r="AC810" s="122" t="s">
        <v>1838</v>
      </c>
      <c r="AD810" s="123">
        <f t="shared" si="89"/>
        <v>1983.9723217250009</v>
      </c>
    </row>
    <row r="811" spans="1:32" ht="12.75" hidden="1" customHeight="1">
      <c r="A811" s="125" t="str">
        <f t="shared" si="88"/>
        <v>LIC33Unit Premium Reserve-DDP</v>
      </c>
      <c r="B811" s="125">
        <f>+IFERROR(VLOOKUP(L811,'TB mapping'!A:D,4,0),0)</f>
        <v>0</v>
      </c>
      <c r="C811" s="125">
        <f>+IFERROR(VLOOKUP(L811,'TB mapping'!A:C,3,0),0)</f>
        <v>0</v>
      </c>
      <c r="D811" s="125" t="str">
        <f t="shared" si="85"/>
        <v>LIC330</v>
      </c>
      <c r="E811" s="125" t="str">
        <f t="shared" si="86"/>
        <v>LIC330</v>
      </c>
      <c r="F811" s="158" t="str">
        <f>+VLOOKUP(H811,'code mapping'!A:C,3,0)</f>
        <v>LIC33</v>
      </c>
      <c r="G811" s="127" t="s">
        <v>453</v>
      </c>
      <c r="H811" s="127" t="s">
        <v>454</v>
      </c>
      <c r="I811" s="127" t="s">
        <v>57</v>
      </c>
      <c r="J811" s="128">
        <v>303000</v>
      </c>
      <c r="K811" s="127" t="s">
        <v>516</v>
      </c>
      <c r="L811" s="151">
        <v>303246</v>
      </c>
      <c r="M811" s="128">
        <v>0</v>
      </c>
      <c r="N811" s="127" t="s">
        <v>520</v>
      </c>
      <c r="O811" s="127" t="s">
        <v>457</v>
      </c>
      <c r="P811" s="128">
        <v>-1033031.86</v>
      </c>
      <c r="Q811" s="128">
        <v>0</v>
      </c>
      <c r="R811" s="128">
        <v>0</v>
      </c>
      <c r="S811" s="128">
        <v>0</v>
      </c>
      <c r="T811" s="128">
        <v>-1033031.86</v>
      </c>
      <c r="U811" s="128">
        <v>0</v>
      </c>
      <c r="V811" s="128">
        <v>-1033031.86</v>
      </c>
      <c r="W811" s="128">
        <v>0</v>
      </c>
      <c r="X811" s="128">
        <v>0</v>
      </c>
      <c r="Y811" s="128">
        <v>0</v>
      </c>
      <c r="Z811" s="128">
        <v>-1033031.86</v>
      </c>
      <c r="AA811" s="128">
        <v>0</v>
      </c>
      <c r="AB811" s="126">
        <f t="shared" si="87"/>
        <v>0.10330318600000001</v>
      </c>
      <c r="AC811" s="122" t="s">
        <v>1838</v>
      </c>
      <c r="AD811" s="123">
        <f t="shared" si="89"/>
        <v>1983.9723217250009</v>
      </c>
    </row>
    <row r="812" spans="1:32" ht="12.75" hidden="1" customHeight="1">
      <c r="A812" s="125" t="str">
        <f t="shared" ref="A812:A824" si="90">+F812&amp;N812</f>
        <v>LIC33Net Earnings</v>
      </c>
      <c r="B812" s="125">
        <f>+IFERROR(VLOOKUP(L812,'TB mapping'!A:D,4,0),0)</f>
        <v>0</v>
      </c>
      <c r="C812" s="125">
        <f>+IFERROR(VLOOKUP(L812,'TB mapping'!A:C,3,0),0)</f>
        <v>0</v>
      </c>
      <c r="D812" s="125" t="str">
        <f t="shared" si="85"/>
        <v>LIC330</v>
      </c>
      <c r="E812" s="125" t="str">
        <f t="shared" si="86"/>
        <v>LIC330</v>
      </c>
      <c r="F812" s="158" t="str">
        <f>+VLOOKUP(H812,'code mapping'!A:C,3,0)</f>
        <v>LIC33</v>
      </c>
      <c r="G812" s="127" t="s">
        <v>453</v>
      </c>
      <c r="H812" s="127" t="s">
        <v>454</v>
      </c>
      <c r="I812" s="127" t="s">
        <v>57</v>
      </c>
      <c r="J812" s="128">
        <v>303000</v>
      </c>
      <c r="K812" s="127" t="s">
        <v>516</v>
      </c>
      <c r="L812" s="151">
        <v>390000</v>
      </c>
      <c r="M812" s="128">
        <v>0</v>
      </c>
      <c r="N812" s="127" t="s">
        <v>521</v>
      </c>
      <c r="O812" s="127" t="s">
        <v>457</v>
      </c>
      <c r="P812" s="128">
        <v>0</v>
      </c>
      <c r="Q812" s="128">
        <v>3696911805.3000002</v>
      </c>
      <c r="R812" s="128">
        <v>0</v>
      </c>
      <c r="S812" s="128">
        <v>0</v>
      </c>
      <c r="T812" s="128">
        <v>0</v>
      </c>
      <c r="U812" s="128">
        <v>3696911805.3000002</v>
      </c>
      <c r="V812" s="128">
        <v>0</v>
      </c>
      <c r="W812" s="128">
        <v>3696911805.3000002</v>
      </c>
      <c r="X812" s="128">
        <v>0</v>
      </c>
      <c r="Y812" s="128">
        <v>0</v>
      </c>
      <c r="Z812" s="128">
        <v>0</v>
      </c>
      <c r="AA812" s="128">
        <v>3696911805.3000002</v>
      </c>
      <c r="AB812" s="126">
        <f t="shared" si="87"/>
        <v>-369.69118053</v>
      </c>
      <c r="AC812" s="122" t="s">
        <v>1838</v>
      </c>
      <c r="AD812" s="123">
        <f t="shared" si="89"/>
        <v>1983.9723217250009</v>
      </c>
    </row>
    <row r="813" spans="1:32" ht="12.75" hidden="1" customHeight="1">
      <c r="A813" s="125" t="str">
        <f t="shared" si="90"/>
        <v>LIC33R/L G/P - Corp Bonds/Debenture</v>
      </c>
      <c r="B813" s="125">
        <f>+IFERROR(VLOOKUP(L813,'TB mapping'!A:D,4,0),0)</f>
        <v>0</v>
      </c>
      <c r="C813" s="125">
        <f>+IFERROR(VLOOKUP(L813,'TB mapping'!A:C,3,0),0)</f>
        <v>5.3</v>
      </c>
      <c r="D813" s="125" t="str">
        <f t="shared" si="85"/>
        <v>LIC330</v>
      </c>
      <c r="E813" s="125" t="str">
        <f t="shared" si="86"/>
        <v>LIC335.3</v>
      </c>
      <c r="F813" s="158" t="str">
        <f>+VLOOKUP(H813,'code mapping'!A:C,3,0)</f>
        <v>LIC33</v>
      </c>
      <c r="G813" s="127" t="s">
        <v>453</v>
      </c>
      <c r="H813" s="127" t="s">
        <v>454</v>
      </c>
      <c r="I813" s="127" t="s">
        <v>57</v>
      </c>
      <c r="J813" s="128">
        <v>410000</v>
      </c>
      <c r="K813" s="127" t="s">
        <v>522</v>
      </c>
      <c r="L813" s="151">
        <v>412120</v>
      </c>
      <c r="M813" s="128">
        <v>0</v>
      </c>
      <c r="N813" s="127" t="s">
        <v>523</v>
      </c>
      <c r="O813" s="127" t="s">
        <v>457</v>
      </c>
      <c r="P813" s="128">
        <v>0</v>
      </c>
      <c r="Q813" s="128">
        <v>65400</v>
      </c>
      <c r="R813" s="128">
        <v>0</v>
      </c>
      <c r="S813" s="128">
        <v>0</v>
      </c>
      <c r="T813" s="128">
        <v>0</v>
      </c>
      <c r="U813" s="128">
        <v>65400</v>
      </c>
      <c r="V813" s="128">
        <v>0</v>
      </c>
      <c r="W813" s="128">
        <v>65400</v>
      </c>
      <c r="X813" s="128">
        <v>0</v>
      </c>
      <c r="Y813" s="128">
        <v>0</v>
      </c>
      <c r="Z813" s="128">
        <v>0</v>
      </c>
      <c r="AA813" s="128">
        <v>65400</v>
      </c>
      <c r="AB813" s="126">
        <f t="shared" si="87"/>
        <v>-6.5399999999999998E-3</v>
      </c>
      <c r="AC813" s="122" t="s">
        <v>1838</v>
      </c>
      <c r="AD813" s="123">
        <f>SUMIF(E:E,E813,AB:AB)</f>
        <v>6.9534218580000005</v>
      </c>
      <c r="AE813" s="123">
        <f>-HLOOKUP(F813,'Sep 2017 HY'!$3:$84,82,0)</f>
        <v>-1.8102940509999998</v>
      </c>
      <c r="AF813" s="123">
        <f>+AD813-AE813</f>
        <v>8.7637159090000001</v>
      </c>
    </row>
    <row r="814" spans="1:32" ht="12.75" hidden="1" customHeight="1">
      <c r="A814" s="125" t="str">
        <f t="shared" si="90"/>
        <v>LIC33R/L G/P - Government Bonds</v>
      </c>
      <c r="B814" s="125">
        <f>+IFERROR(VLOOKUP(L814,'TB mapping'!A:D,4,0),0)</f>
        <v>0</v>
      </c>
      <c r="C814" s="125">
        <f>+IFERROR(VLOOKUP(L814,'TB mapping'!A:C,3,0),0)</f>
        <v>5.3</v>
      </c>
      <c r="D814" s="125" t="str">
        <f t="shared" si="85"/>
        <v>LIC330</v>
      </c>
      <c r="E814" s="125" t="str">
        <f t="shared" si="86"/>
        <v>LIC335.3</v>
      </c>
      <c r="F814" s="158" t="str">
        <f>+VLOOKUP(H814,'code mapping'!A:C,3,0)</f>
        <v>LIC33</v>
      </c>
      <c r="G814" s="127" t="s">
        <v>453</v>
      </c>
      <c r="H814" s="127" t="s">
        <v>454</v>
      </c>
      <c r="I814" s="127" t="s">
        <v>57</v>
      </c>
      <c r="J814" s="128">
        <v>410000</v>
      </c>
      <c r="K814" s="127" t="s">
        <v>522</v>
      </c>
      <c r="L814" s="151">
        <v>412130</v>
      </c>
      <c r="M814" s="128">
        <v>0</v>
      </c>
      <c r="N814" s="127" t="s">
        <v>524</v>
      </c>
      <c r="O814" s="127" t="s">
        <v>457</v>
      </c>
      <c r="P814" s="128">
        <v>0</v>
      </c>
      <c r="Q814" s="128">
        <v>16350647.07</v>
      </c>
      <c r="R814" s="128">
        <v>0</v>
      </c>
      <c r="S814" s="128">
        <v>0</v>
      </c>
      <c r="T814" s="128">
        <v>0</v>
      </c>
      <c r="U814" s="128">
        <v>16350647.07</v>
      </c>
      <c r="V814" s="128">
        <v>0</v>
      </c>
      <c r="W814" s="128">
        <v>16350647.07</v>
      </c>
      <c r="X814" s="128">
        <v>0</v>
      </c>
      <c r="Y814" s="128">
        <v>0</v>
      </c>
      <c r="Z814" s="128">
        <v>0</v>
      </c>
      <c r="AA814" s="128">
        <v>16350647.07</v>
      </c>
      <c r="AB814" s="126">
        <f t="shared" si="87"/>
        <v>-1.635064707</v>
      </c>
      <c r="AC814" s="122" t="s">
        <v>1838</v>
      </c>
      <c r="AD814" s="123">
        <f>SUMIF(E:E,E814,AB:AB)</f>
        <v>6.9534218580000005</v>
      </c>
    </row>
    <row r="815" spans="1:32" ht="12.75" hidden="1" customHeight="1">
      <c r="A815" s="125" t="str">
        <f t="shared" si="90"/>
        <v>LIC33R/L G/P - SDLs</v>
      </c>
      <c r="B815" s="125">
        <f>+IFERROR(VLOOKUP(L815,'TB mapping'!A:D,4,0),0)</f>
        <v>0</v>
      </c>
      <c r="C815" s="125">
        <f>+IFERROR(VLOOKUP(L815,'TB mapping'!A:C,3,0),0)</f>
        <v>5.3</v>
      </c>
      <c r="D815" s="125" t="str">
        <f t="shared" si="85"/>
        <v>LIC330</v>
      </c>
      <c r="E815" s="125" t="str">
        <f t="shared" si="86"/>
        <v>LIC335.3</v>
      </c>
      <c r="F815" s="158" t="str">
        <f>+VLOOKUP(H815,'code mapping'!A:C,3,0)</f>
        <v>LIC33</v>
      </c>
      <c r="G815" s="127" t="s">
        <v>453</v>
      </c>
      <c r="H815" s="127" t="s">
        <v>454</v>
      </c>
      <c r="I815" s="127" t="s">
        <v>57</v>
      </c>
      <c r="J815" s="128">
        <v>410000</v>
      </c>
      <c r="K815" s="127" t="s">
        <v>522</v>
      </c>
      <c r="L815" s="151">
        <v>412135</v>
      </c>
      <c r="M815" s="128">
        <v>0</v>
      </c>
      <c r="N815" s="127" t="s">
        <v>525</v>
      </c>
      <c r="O815" s="127" t="s">
        <v>457</v>
      </c>
      <c r="P815" s="128">
        <v>0</v>
      </c>
      <c r="Q815" s="128">
        <v>32152700</v>
      </c>
      <c r="R815" s="128">
        <v>0</v>
      </c>
      <c r="S815" s="128">
        <v>0</v>
      </c>
      <c r="T815" s="128">
        <v>0</v>
      </c>
      <c r="U815" s="128">
        <v>32152700</v>
      </c>
      <c r="V815" s="128">
        <v>0</v>
      </c>
      <c r="W815" s="128">
        <v>32152700</v>
      </c>
      <c r="X815" s="128">
        <v>0</v>
      </c>
      <c r="Y815" s="128">
        <v>0</v>
      </c>
      <c r="Z815" s="128">
        <v>0</v>
      </c>
      <c r="AA815" s="128">
        <v>32152700</v>
      </c>
      <c r="AB815" s="126">
        <f t="shared" si="87"/>
        <v>-3.2152699999999999</v>
      </c>
      <c r="AC815" s="122" t="s">
        <v>1838</v>
      </c>
      <c r="AD815" s="123">
        <f>SUMIF(E:E,E815,AB:AB)</f>
        <v>6.9534218580000005</v>
      </c>
    </row>
    <row r="816" spans="1:32" ht="12.75" hidden="1" customHeight="1">
      <c r="A816" s="125" t="str">
        <f t="shared" si="90"/>
        <v>LIC33Profit on Sale-Mutual Fd Units</v>
      </c>
      <c r="B816" s="125">
        <f>+IFERROR(VLOOKUP(L816,'TB mapping'!A:D,4,0),0)</f>
        <v>0</v>
      </c>
      <c r="C816" s="125">
        <f>+IFERROR(VLOOKUP(L816,'TB mapping'!A:C,3,0),0)</f>
        <v>5.3</v>
      </c>
      <c r="D816" s="125" t="str">
        <f t="shared" si="85"/>
        <v>LIC330</v>
      </c>
      <c r="E816" s="125" t="str">
        <f t="shared" si="86"/>
        <v>LIC335.3</v>
      </c>
      <c r="F816" s="158" t="str">
        <f>+VLOOKUP(H816,'code mapping'!A:C,3,0)</f>
        <v>LIC33</v>
      </c>
      <c r="G816" s="127" t="s">
        <v>453</v>
      </c>
      <c r="H816" s="127" t="s">
        <v>454</v>
      </c>
      <c r="I816" s="127" t="s">
        <v>57</v>
      </c>
      <c r="J816" s="128">
        <v>410000</v>
      </c>
      <c r="K816" s="127" t="s">
        <v>522</v>
      </c>
      <c r="L816" s="151">
        <v>415102</v>
      </c>
      <c r="M816" s="128">
        <v>0</v>
      </c>
      <c r="N816" s="127" t="s">
        <v>526</v>
      </c>
      <c r="O816" s="127" t="s">
        <v>457</v>
      </c>
      <c r="P816" s="128">
        <v>0</v>
      </c>
      <c r="Q816" s="128">
        <v>1135442.6100000001</v>
      </c>
      <c r="R816" s="128">
        <v>0</v>
      </c>
      <c r="S816" s="128">
        <v>0</v>
      </c>
      <c r="T816" s="128">
        <v>0</v>
      </c>
      <c r="U816" s="128">
        <v>1135442.6100000001</v>
      </c>
      <c r="V816" s="128">
        <v>0</v>
      </c>
      <c r="W816" s="128">
        <v>1135442.6100000001</v>
      </c>
      <c r="X816" s="128">
        <v>0</v>
      </c>
      <c r="Y816" s="128">
        <v>0</v>
      </c>
      <c r="Z816" s="128">
        <v>0</v>
      </c>
      <c r="AA816" s="128">
        <v>1135442.6100000001</v>
      </c>
      <c r="AB816" s="126">
        <f t="shared" si="87"/>
        <v>-0.11354426100000001</v>
      </c>
      <c r="AC816" s="122" t="s">
        <v>1838</v>
      </c>
      <c r="AD816" s="123">
        <f>SUMIF(E:E,E816,AB:AB)</f>
        <v>6.9534218580000005</v>
      </c>
    </row>
    <row r="817" spans="1:30" ht="12.75" hidden="1" customHeight="1">
      <c r="A817" s="125" t="str">
        <f t="shared" si="90"/>
        <v>LIC33R/L Gain - Inter Sch Govt Bond</v>
      </c>
      <c r="B817" s="125">
        <f>+IFERROR(VLOOKUP(L817,'TB mapping'!A:D,4,0),0)</f>
        <v>0</v>
      </c>
      <c r="C817" s="125">
        <f>+IFERROR(VLOOKUP(L817,'TB mapping'!A:C,3,0),0)</f>
        <v>5.4</v>
      </c>
      <c r="D817" s="125" t="str">
        <f t="shared" si="85"/>
        <v>LIC330</v>
      </c>
      <c r="E817" s="125" t="str">
        <f t="shared" si="86"/>
        <v>LIC335.4</v>
      </c>
      <c r="F817" s="158" t="str">
        <f>+VLOOKUP(H817,'code mapping'!A:C,3,0)</f>
        <v>LIC33</v>
      </c>
      <c r="G817" s="127" t="s">
        <v>453</v>
      </c>
      <c r="H817" s="127" t="s">
        <v>454</v>
      </c>
      <c r="I817" s="127" t="s">
        <v>57</v>
      </c>
      <c r="J817" s="128">
        <v>410000</v>
      </c>
      <c r="K817" s="127" t="s">
        <v>522</v>
      </c>
      <c r="L817" s="151">
        <v>427304</v>
      </c>
      <c r="M817" s="128">
        <v>0</v>
      </c>
      <c r="N817" s="127" t="s">
        <v>527</v>
      </c>
      <c r="O817" s="127" t="s">
        <v>457</v>
      </c>
      <c r="P817" s="128">
        <v>0</v>
      </c>
      <c r="Q817" s="128">
        <v>378001.95</v>
      </c>
      <c r="R817" s="128">
        <v>0</v>
      </c>
      <c r="S817" s="128">
        <v>0</v>
      </c>
      <c r="T817" s="128">
        <v>0</v>
      </c>
      <c r="U817" s="128">
        <v>378001.95</v>
      </c>
      <c r="V817" s="128">
        <v>0</v>
      </c>
      <c r="W817" s="128">
        <v>378001.95</v>
      </c>
      <c r="X817" s="128">
        <v>0</v>
      </c>
      <c r="Y817" s="128">
        <v>0</v>
      </c>
      <c r="Z817" s="128">
        <v>0</v>
      </c>
      <c r="AA817" s="128">
        <v>378001.95</v>
      </c>
      <c r="AB817" s="126">
        <f t="shared" si="87"/>
        <v>-3.7800195000000002E-2</v>
      </c>
      <c r="AC817" s="122" t="s">
        <v>1838</v>
      </c>
      <c r="AD817" s="123">
        <f>SUMIF(E:E,E817,AB:AB)</f>
        <v>0.11055269599999998</v>
      </c>
    </row>
    <row r="818" spans="1:30" ht="12.75" hidden="1" customHeight="1">
      <c r="A818" s="125" t="str">
        <f t="shared" si="90"/>
        <v>LIC33UR/L G/P - Corp Bond/Debenture</v>
      </c>
      <c r="B818" s="125">
        <f>+IFERROR(VLOOKUP(L818,'TB mapping'!A:D,4,0),0)</f>
        <v>0</v>
      </c>
      <c r="C818" s="125" t="str">
        <f>+IFERROR(VLOOKUP(L818,'TB mapping'!A:C,3,0),0)</f>
        <v>Ignore</v>
      </c>
      <c r="D818" s="125" t="str">
        <f t="shared" si="85"/>
        <v>LIC330</v>
      </c>
      <c r="E818" s="125" t="str">
        <f t="shared" si="86"/>
        <v>LIC33Ignore</v>
      </c>
      <c r="F818" s="158" t="str">
        <f>+VLOOKUP(H818,'code mapping'!A:C,3,0)</f>
        <v>LIC33</v>
      </c>
      <c r="G818" s="127" t="s">
        <v>453</v>
      </c>
      <c r="H818" s="127" t="s">
        <v>454</v>
      </c>
      <c r="I818" s="127" t="s">
        <v>57</v>
      </c>
      <c r="J818" s="128">
        <v>430000</v>
      </c>
      <c r="K818" s="127" t="s">
        <v>528</v>
      </c>
      <c r="L818" s="151">
        <v>432120</v>
      </c>
      <c r="M818" s="128">
        <v>0</v>
      </c>
      <c r="N818" s="127" t="s">
        <v>529</v>
      </c>
      <c r="O818" s="127" t="s">
        <v>457</v>
      </c>
      <c r="P818" s="128">
        <v>-8274428.5700000003</v>
      </c>
      <c r="Q818" s="128">
        <v>0</v>
      </c>
      <c r="R818" s="128">
        <v>0</v>
      </c>
      <c r="S818" s="128">
        <v>0</v>
      </c>
      <c r="T818" s="128">
        <v>-8274428.5700000003</v>
      </c>
      <c r="U818" s="128">
        <v>0</v>
      </c>
      <c r="V818" s="128">
        <v>-8274428.5700000003</v>
      </c>
      <c r="W818" s="128">
        <v>0</v>
      </c>
      <c r="X818" s="128">
        <v>0</v>
      </c>
      <c r="Y818" s="128">
        <v>0</v>
      </c>
      <c r="Z818" s="128">
        <v>-8274428.5700000003</v>
      </c>
      <c r="AA818" s="128">
        <v>0</v>
      </c>
      <c r="AB818" s="126">
        <f t="shared" si="87"/>
        <v>0.82744285699999998</v>
      </c>
      <c r="AC818" s="122" t="s">
        <v>1838</v>
      </c>
      <c r="AD818" s="123">
        <f>SUMIF(C:C,C818,AB:AB)</f>
        <v>-291.7660984179999</v>
      </c>
    </row>
    <row r="819" spans="1:30" ht="12.75" hidden="1" customHeight="1">
      <c r="A819" s="125" t="str">
        <f t="shared" si="90"/>
        <v>LIC33UR/L G/P - Government Bonds</v>
      </c>
      <c r="B819" s="125">
        <f>+IFERROR(VLOOKUP(L819,'TB mapping'!A:D,4,0),0)</f>
        <v>0</v>
      </c>
      <c r="C819" s="125" t="str">
        <f>+IFERROR(VLOOKUP(L819,'TB mapping'!A:C,3,0),0)</f>
        <v>Ignore</v>
      </c>
      <c r="D819" s="125" t="str">
        <f t="shared" si="85"/>
        <v>LIC330</v>
      </c>
      <c r="E819" s="125" t="str">
        <f t="shared" si="86"/>
        <v>LIC33Ignore</v>
      </c>
      <c r="F819" s="158" t="str">
        <f>+VLOOKUP(H819,'code mapping'!A:C,3,0)</f>
        <v>LIC33</v>
      </c>
      <c r="G819" s="127" t="s">
        <v>453</v>
      </c>
      <c r="H819" s="127" t="s">
        <v>454</v>
      </c>
      <c r="I819" s="127" t="s">
        <v>57</v>
      </c>
      <c r="J819" s="128">
        <v>430000</v>
      </c>
      <c r="K819" s="127" t="s">
        <v>528</v>
      </c>
      <c r="L819" s="151">
        <v>432130</v>
      </c>
      <c r="M819" s="128">
        <v>0</v>
      </c>
      <c r="N819" s="127" t="s">
        <v>530</v>
      </c>
      <c r="O819" s="127" t="s">
        <v>457</v>
      </c>
      <c r="P819" s="128">
        <v>-13881629.75</v>
      </c>
      <c r="Q819" s="128">
        <v>0</v>
      </c>
      <c r="R819" s="128">
        <v>0</v>
      </c>
      <c r="S819" s="128">
        <v>0</v>
      </c>
      <c r="T819" s="128">
        <v>-13881629.75</v>
      </c>
      <c r="U819" s="128">
        <v>0</v>
      </c>
      <c r="V819" s="128">
        <v>-13881629.75</v>
      </c>
      <c r="W819" s="128">
        <v>0</v>
      </c>
      <c r="X819" s="128">
        <v>0</v>
      </c>
      <c r="Y819" s="128">
        <v>0</v>
      </c>
      <c r="Z819" s="128">
        <v>-13881629.75</v>
      </c>
      <c r="AA819" s="128">
        <v>0</v>
      </c>
      <c r="AB819" s="126">
        <f t="shared" si="87"/>
        <v>1.388162975</v>
      </c>
      <c r="AC819" s="122" t="s">
        <v>1838</v>
      </c>
      <c r="AD819" s="123">
        <f>SUMIF(C:C,C819,AB:AB)</f>
        <v>-291.7660984179999</v>
      </c>
    </row>
    <row r="820" spans="1:30" ht="12.75" hidden="1" customHeight="1">
      <c r="A820" s="125" t="str">
        <f t="shared" si="90"/>
        <v>LIC33UR/L G/P-SDLs</v>
      </c>
      <c r="B820" s="125">
        <f>+IFERROR(VLOOKUP(L820,'TB mapping'!A:D,4,0),0)</f>
        <v>0</v>
      </c>
      <c r="C820" s="125" t="str">
        <f>+IFERROR(VLOOKUP(L820,'TB mapping'!A:C,3,0),0)</f>
        <v>Ignore</v>
      </c>
      <c r="D820" s="125" t="str">
        <f t="shared" si="85"/>
        <v>LIC330</v>
      </c>
      <c r="E820" s="125" t="str">
        <f t="shared" si="86"/>
        <v>LIC33Ignore</v>
      </c>
      <c r="F820" s="158" t="str">
        <f>+VLOOKUP(H820,'code mapping'!A:C,3,0)</f>
        <v>LIC33</v>
      </c>
      <c r="G820" s="127" t="s">
        <v>453</v>
      </c>
      <c r="H820" s="127" t="s">
        <v>454</v>
      </c>
      <c r="I820" s="127" t="s">
        <v>57</v>
      </c>
      <c r="J820" s="128">
        <v>430000</v>
      </c>
      <c r="K820" s="127" t="s">
        <v>528</v>
      </c>
      <c r="L820" s="151">
        <v>432135</v>
      </c>
      <c r="M820" s="128">
        <v>0</v>
      </c>
      <c r="N820" s="127" t="s">
        <v>531</v>
      </c>
      <c r="O820" s="127" t="s">
        <v>457</v>
      </c>
      <c r="P820" s="128">
        <v>-7107789.1200000001</v>
      </c>
      <c r="Q820" s="128">
        <v>0</v>
      </c>
      <c r="R820" s="128">
        <v>0</v>
      </c>
      <c r="S820" s="128">
        <v>0</v>
      </c>
      <c r="T820" s="128">
        <v>-7107789.1200000001</v>
      </c>
      <c r="U820" s="128">
        <v>0</v>
      </c>
      <c r="V820" s="128">
        <v>-7107789.1200000001</v>
      </c>
      <c r="W820" s="128">
        <v>0</v>
      </c>
      <c r="X820" s="128">
        <v>0</v>
      </c>
      <c r="Y820" s="128">
        <v>0</v>
      </c>
      <c r="Z820" s="128">
        <v>-7107789.1200000001</v>
      </c>
      <c r="AA820" s="128">
        <v>0</v>
      </c>
      <c r="AB820" s="126">
        <f t="shared" si="87"/>
        <v>0.71077891199999998</v>
      </c>
      <c r="AC820" s="122" t="s">
        <v>1838</v>
      </c>
      <c r="AD820" s="123">
        <f>SUMIF(C:C,C820,AB:AB)</f>
        <v>-291.7660984179999</v>
      </c>
    </row>
    <row r="821" spans="1:30" ht="12.75" hidden="1" customHeight="1">
      <c r="A821" s="125" t="str">
        <f t="shared" si="90"/>
        <v>LIC33Interest Income - CCIL Margin</v>
      </c>
      <c r="B821" s="125">
        <f>+IFERROR(VLOOKUP(L821,'TB mapping'!A:D,4,0),0)</f>
        <v>0</v>
      </c>
      <c r="C821" s="125">
        <f>+IFERROR(VLOOKUP(L821,'TB mapping'!A:C,3,0),0)</f>
        <v>5.2</v>
      </c>
      <c r="D821" s="125" t="str">
        <f t="shared" si="85"/>
        <v>LIC330</v>
      </c>
      <c r="E821" s="125" t="str">
        <f t="shared" si="86"/>
        <v>LIC335.2</v>
      </c>
      <c r="F821" s="158" t="str">
        <f>+VLOOKUP(H821,'code mapping'!A:C,3,0)</f>
        <v>LIC33</v>
      </c>
      <c r="G821" s="127" t="s">
        <v>453</v>
      </c>
      <c r="H821" s="127" t="s">
        <v>454</v>
      </c>
      <c r="I821" s="127" t="s">
        <v>57</v>
      </c>
      <c r="J821" s="128">
        <v>450000</v>
      </c>
      <c r="K821" s="127" t="s">
        <v>532</v>
      </c>
      <c r="L821" s="151">
        <v>452111</v>
      </c>
      <c r="M821" s="128">
        <v>0</v>
      </c>
      <c r="N821" s="127" t="s">
        <v>533</v>
      </c>
      <c r="O821" s="127" t="s">
        <v>457</v>
      </c>
      <c r="P821" s="128">
        <v>0</v>
      </c>
      <c r="Q821" s="128">
        <v>3339.25</v>
      </c>
      <c r="R821" s="128">
        <v>0</v>
      </c>
      <c r="S821" s="128">
        <v>0</v>
      </c>
      <c r="T821" s="128">
        <v>0</v>
      </c>
      <c r="U821" s="128">
        <v>3339.25</v>
      </c>
      <c r="V821" s="128">
        <v>0</v>
      </c>
      <c r="W821" s="128">
        <v>3339.25</v>
      </c>
      <c r="X821" s="128">
        <v>0</v>
      </c>
      <c r="Y821" s="128">
        <v>0</v>
      </c>
      <c r="Z821" s="128">
        <v>0</v>
      </c>
      <c r="AA821" s="128">
        <v>3339.25</v>
      </c>
      <c r="AB821" s="126">
        <f t="shared" si="87"/>
        <v>-3.33925E-4</v>
      </c>
      <c r="AC821" s="122" t="s">
        <v>1838</v>
      </c>
      <c r="AD821" s="123">
        <f t="shared" ref="AD821:AD852" si="91">SUMIF(E:E,E821,AB:AB)</f>
        <v>-34.866338980000002</v>
      </c>
    </row>
    <row r="822" spans="1:30" ht="12.75" hidden="1" customHeight="1">
      <c r="A822" s="125" t="str">
        <f t="shared" si="90"/>
        <v>LIC33Int Income - Corporate Bonds</v>
      </c>
      <c r="B822" s="125">
        <f>+IFERROR(VLOOKUP(L822,'TB mapping'!A:D,4,0),0)</f>
        <v>0</v>
      </c>
      <c r="C822" s="125">
        <f>+IFERROR(VLOOKUP(L822,'TB mapping'!A:C,3,0),0)</f>
        <v>5.2</v>
      </c>
      <c r="D822" s="125" t="str">
        <f t="shared" si="85"/>
        <v>LIC330</v>
      </c>
      <c r="E822" s="125" t="str">
        <f t="shared" si="86"/>
        <v>LIC335.2</v>
      </c>
      <c r="F822" s="158" t="str">
        <f>+VLOOKUP(H822,'code mapping'!A:C,3,0)</f>
        <v>LIC33</v>
      </c>
      <c r="G822" s="127" t="s">
        <v>453</v>
      </c>
      <c r="H822" s="127" t="s">
        <v>454</v>
      </c>
      <c r="I822" s="127" t="s">
        <v>57</v>
      </c>
      <c r="J822" s="128">
        <v>450000</v>
      </c>
      <c r="K822" s="127" t="s">
        <v>532</v>
      </c>
      <c r="L822" s="151">
        <v>452120</v>
      </c>
      <c r="M822" s="128">
        <v>0</v>
      </c>
      <c r="N822" s="127" t="s">
        <v>534</v>
      </c>
      <c r="O822" s="127" t="s">
        <v>457</v>
      </c>
      <c r="P822" s="128">
        <v>0</v>
      </c>
      <c r="Q822" s="128">
        <v>144749747.72999999</v>
      </c>
      <c r="R822" s="128">
        <v>0</v>
      </c>
      <c r="S822" s="128">
        <v>0</v>
      </c>
      <c r="T822" s="128">
        <v>0</v>
      </c>
      <c r="U822" s="128">
        <v>144749747.72999999</v>
      </c>
      <c r="V822" s="128">
        <v>0</v>
      </c>
      <c r="W822" s="128">
        <v>144749747.72999999</v>
      </c>
      <c r="X822" s="128">
        <v>0</v>
      </c>
      <c r="Y822" s="128">
        <v>0</v>
      </c>
      <c r="Z822" s="128">
        <v>0</v>
      </c>
      <c r="AA822" s="128">
        <v>144749747.72999999</v>
      </c>
      <c r="AB822" s="126">
        <f t="shared" si="87"/>
        <v>-14.474974773</v>
      </c>
      <c r="AC822" s="122" t="s">
        <v>1838</v>
      </c>
      <c r="AD822" s="123">
        <f t="shared" si="91"/>
        <v>-34.866338980000002</v>
      </c>
    </row>
    <row r="823" spans="1:30" ht="12.75" hidden="1" customHeight="1">
      <c r="A823" s="125" t="str">
        <f t="shared" si="90"/>
        <v>LIC33Int Income - Government Bonds</v>
      </c>
      <c r="B823" s="125">
        <f>+IFERROR(VLOOKUP(L823,'TB mapping'!A:D,4,0),0)</f>
        <v>0</v>
      </c>
      <c r="C823" s="125">
        <f>+IFERROR(VLOOKUP(L823,'TB mapping'!A:C,3,0),0)</f>
        <v>5.2</v>
      </c>
      <c r="D823" s="125" t="str">
        <f t="shared" si="85"/>
        <v>LIC330</v>
      </c>
      <c r="E823" s="125" t="str">
        <f t="shared" si="86"/>
        <v>LIC335.2</v>
      </c>
      <c r="F823" s="158" t="str">
        <f>+VLOOKUP(H823,'code mapping'!A:C,3,0)</f>
        <v>LIC33</v>
      </c>
      <c r="G823" s="127" t="s">
        <v>453</v>
      </c>
      <c r="H823" s="127" t="s">
        <v>454</v>
      </c>
      <c r="I823" s="127" t="s">
        <v>57</v>
      </c>
      <c r="J823" s="128">
        <v>450000</v>
      </c>
      <c r="K823" s="127" t="s">
        <v>532</v>
      </c>
      <c r="L823" s="151">
        <v>452130</v>
      </c>
      <c r="M823" s="128">
        <v>0</v>
      </c>
      <c r="N823" s="127" t="s">
        <v>535</v>
      </c>
      <c r="O823" s="127" t="s">
        <v>457</v>
      </c>
      <c r="P823" s="128">
        <v>0</v>
      </c>
      <c r="Q823" s="128">
        <v>112720079.42</v>
      </c>
      <c r="R823" s="128">
        <v>0</v>
      </c>
      <c r="S823" s="128">
        <v>0</v>
      </c>
      <c r="T823" s="128">
        <v>0</v>
      </c>
      <c r="U823" s="128">
        <v>112720079.42</v>
      </c>
      <c r="V823" s="128">
        <v>0</v>
      </c>
      <c r="W823" s="128">
        <v>112720079.42</v>
      </c>
      <c r="X823" s="128">
        <v>0</v>
      </c>
      <c r="Y823" s="128">
        <v>0</v>
      </c>
      <c r="Z823" s="128">
        <v>0</v>
      </c>
      <c r="AA823" s="128">
        <v>112720079.42</v>
      </c>
      <c r="AB823" s="126">
        <f t="shared" si="87"/>
        <v>-11.272007942</v>
      </c>
      <c r="AC823" s="122" t="s">
        <v>1838</v>
      </c>
      <c r="AD823" s="123">
        <f t="shared" si="91"/>
        <v>-34.866338980000002</v>
      </c>
    </row>
    <row r="824" spans="1:30" ht="12.75" hidden="1" customHeight="1">
      <c r="A824" s="125" t="str">
        <f t="shared" si="90"/>
        <v>LIC33Int Income - State Dev Loans</v>
      </c>
      <c r="B824" s="125">
        <f>+IFERROR(VLOOKUP(L824,'TB mapping'!A:D,4,0),0)</f>
        <v>0</v>
      </c>
      <c r="C824" s="125">
        <f>+IFERROR(VLOOKUP(L824,'TB mapping'!A:C,3,0),0)</f>
        <v>5.2</v>
      </c>
      <c r="D824" s="125" t="str">
        <f t="shared" si="85"/>
        <v>LIC330</v>
      </c>
      <c r="E824" s="125" t="str">
        <f t="shared" si="86"/>
        <v>LIC335.2</v>
      </c>
      <c r="F824" s="158" t="str">
        <f>+VLOOKUP(H824,'code mapping'!A:C,3,0)</f>
        <v>LIC33</v>
      </c>
      <c r="G824" s="127" t="s">
        <v>453</v>
      </c>
      <c r="H824" s="127" t="s">
        <v>454</v>
      </c>
      <c r="I824" s="127" t="s">
        <v>57</v>
      </c>
      <c r="J824" s="128">
        <v>450000</v>
      </c>
      <c r="K824" s="127" t="s">
        <v>532</v>
      </c>
      <c r="L824" s="151">
        <v>452135</v>
      </c>
      <c r="M824" s="128">
        <v>0</v>
      </c>
      <c r="N824" s="127" t="s">
        <v>536</v>
      </c>
      <c r="O824" s="127" t="s">
        <v>457</v>
      </c>
      <c r="P824" s="128">
        <v>0</v>
      </c>
      <c r="Q824" s="128">
        <v>74356407.359999999</v>
      </c>
      <c r="R824" s="128">
        <v>0</v>
      </c>
      <c r="S824" s="128">
        <v>0</v>
      </c>
      <c r="T824" s="128">
        <v>0</v>
      </c>
      <c r="U824" s="128">
        <v>74356407.359999999</v>
      </c>
      <c r="V824" s="128">
        <v>0</v>
      </c>
      <c r="W824" s="128">
        <v>74356407.359999999</v>
      </c>
      <c r="X824" s="128">
        <v>0</v>
      </c>
      <c r="Y824" s="128">
        <v>0</v>
      </c>
      <c r="Z824" s="128">
        <v>0</v>
      </c>
      <c r="AA824" s="128">
        <v>74356407.359999999</v>
      </c>
      <c r="AB824" s="126">
        <f t="shared" si="87"/>
        <v>-7.4356407359999999</v>
      </c>
      <c r="AC824" s="122" t="s">
        <v>1838</v>
      </c>
      <c r="AD824" s="123">
        <f t="shared" si="91"/>
        <v>-34.866338980000002</v>
      </c>
    </row>
    <row r="825" spans="1:30" ht="12.75" hidden="1" customHeight="1">
      <c r="A825" s="125" t="str">
        <f t="shared" ref="A825:A888" si="92">+F825&amp;N825</f>
        <v>LIC33Amort. Income - CBLO</v>
      </c>
      <c r="B825" s="125">
        <f>+IFERROR(VLOOKUP(L825,'TB mapping'!A:D,4,0),0)</f>
        <v>0</v>
      </c>
      <c r="C825" s="125">
        <f>+IFERROR(VLOOKUP(L825,'TB mapping'!A:C,3,0),0)</f>
        <v>5.2</v>
      </c>
      <c r="D825" s="125" t="str">
        <f t="shared" ref="D825:D888" si="93">+F825&amp;B825</f>
        <v>LIC330</v>
      </c>
      <c r="E825" s="125" t="str">
        <f t="shared" ref="E825:E888" si="94">+F825&amp;C825</f>
        <v>LIC335.2</v>
      </c>
      <c r="F825" s="158" t="str">
        <f>+VLOOKUP(H825,'code mapping'!A:C,3,0)</f>
        <v>LIC33</v>
      </c>
      <c r="G825" s="127" t="s">
        <v>453</v>
      </c>
      <c r="H825" s="127" t="s">
        <v>454</v>
      </c>
      <c r="I825" s="127" t="s">
        <v>57</v>
      </c>
      <c r="J825" s="128">
        <v>450000</v>
      </c>
      <c r="K825" s="127" t="s">
        <v>532</v>
      </c>
      <c r="L825" s="151">
        <v>452228</v>
      </c>
      <c r="M825" s="128">
        <v>0</v>
      </c>
      <c r="N825" s="127" t="s">
        <v>537</v>
      </c>
      <c r="O825" s="127" t="s">
        <v>457</v>
      </c>
      <c r="P825" s="128">
        <v>0</v>
      </c>
      <c r="Q825" s="128">
        <v>15308285.369999999</v>
      </c>
      <c r="R825" s="128">
        <v>0</v>
      </c>
      <c r="S825" s="128">
        <v>0</v>
      </c>
      <c r="T825" s="128">
        <v>0</v>
      </c>
      <c r="U825" s="128">
        <v>15308285.369999999</v>
      </c>
      <c r="V825" s="128">
        <v>0</v>
      </c>
      <c r="W825" s="128">
        <v>15308285.369999999</v>
      </c>
      <c r="X825" s="128">
        <v>0</v>
      </c>
      <c r="Y825" s="128">
        <v>0</v>
      </c>
      <c r="Z825" s="128">
        <v>0</v>
      </c>
      <c r="AA825" s="128">
        <v>15308285.369999999</v>
      </c>
      <c r="AB825" s="126">
        <f t="shared" ref="AB825:AB888" si="95">SUM(-Z825-AA825)/10^7</f>
        <v>-1.5308285369999999</v>
      </c>
      <c r="AC825" s="122" t="s">
        <v>1838</v>
      </c>
      <c r="AD825" s="123">
        <f t="shared" si="91"/>
        <v>-34.866338980000002</v>
      </c>
    </row>
    <row r="826" spans="1:30" ht="12.75" hidden="1" customHeight="1">
      <c r="A826" s="125" t="str">
        <f t="shared" si="92"/>
        <v>LIC33Int Income - Repo Deposits</v>
      </c>
      <c r="B826" s="125">
        <f>+IFERROR(VLOOKUP(L826,'TB mapping'!A:D,4,0),0)</f>
        <v>0</v>
      </c>
      <c r="C826" s="125">
        <f>+IFERROR(VLOOKUP(L826,'TB mapping'!A:C,3,0),0)</f>
        <v>5.2</v>
      </c>
      <c r="D826" s="125" t="str">
        <f t="shared" si="93"/>
        <v>LIC330</v>
      </c>
      <c r="E826" s="125" t="str">
        <f t="shared" si="94"/>
        <v>LIC335.2</v>
      </c>
      <c r="F826" s="158" t="str">
        <f>+VLOOKUP(H826,'code mapping'!A:C,3,0)</f>
        <v>LIC33</v>
      </c>
      <c r="G826" s="127" t="s">
        <v>453</v>
      </c>
      <c r="H826" s="127" t="s">
        <v>454</v>
      </c>
      <c r="I826" s="127" t="s">
        <v>57</v>
      </c>
      <c r="J826" s="128">
        <v>450000</v>
      </c>
      <c r="K826" s="127" t="s">
        <v>532</v>
      </c>
      <c r="L826" s="151">
        <v>452230</v>
      </c>
      <c r="M826" s="128">
        <v>0</v>
      </c>
      <c r="N826" s="127" t="s">
        <v>538</v>
      </c>
      <c r="O826" s="127" t="s">
        <v>457</v>
      </c>
      <c r="P826" s="128">
        <v>0</v>
      </c>
      <c r="Q826" s="128">
        <v>1525530.67</v>
      </c>
      <c r="R826" s="128">
        <v>0</v>
      </c>
      <c r="S826" s="128">
        <v>0</v>
      </c>
      <c r="T826" s="128">
        <v>0</v>
      </c>
      <c r="U826" s="128">
        <v>1525530.67</v>
      </c>
      <c r="V826" s="128">
        <v>0</v>
      </c>
      <c r="W826" s="128">
        <v>1525530.67</v>
      </c>
      <c r="X826" s="128">
        <v>0</v>
      </c>
      <c r="Y826" s="128">
        <v>0</v>
      </c>
      <c r="Z826" s="128">
        <v>0</v>
      </c>
      <c r="AA826" s="128">
        <v>1525530.67</v>
      </c>
      <c r="AB826" s="126">
        <f t="shared" si="95"/>
        <v>-0.15255306699999999</v>
      </c>
      <c r="AC826" s="122" t="s">
        <v>1838</v>
      </c>
      <c r="AD826" s="123">
        <f t="shared" si="91"/>
        <v>-34.866338980000002</v>
      </c>
    </row>
    <row r="827" spans="1:30" ht="12.75" hidden="1" customHeight="1">
      <c r="A827" s="125" t="str">
        <f t="shared" si="92"/>
        <v>LIC33Load Income</v>
      </c>
      <c r="B827" s="125">
        <f>+IFERROR(VLOOKUP(L827,'TB mapping'!A:D,4,0),0)</f>
        <v>0</v>
      </c>
      <c r="C827" s="125">
        <f>+IFERROR(VLOOKUP(L827,'TB mapping'!A:C,3,0),0)</f>
        <v>5.5</v>
      </c>
      <c r="D827" s="125" t="str">
        <f t="shared" si="93"/>
        <v>LIC330</v>
      </c>
      <c r="E827" s="125" t="str">
        <f t="shared" si="94"/>
        <v>LIC335.5</v>
      </c>
      <c r="F827" s="158" t="str">
        <f>+VLOOKUP(H827,'code mapping'!A:C,3,0)</f>
        <v>LIC33</v>
      </c>
      <c r="G827" s="127" t="s">
        <v>453</v>
      </c>
      <c r="H827" s="127" t="s">
        <v>454</v>
      </c>
      <c r="I827" s="127" t="s">
        <v>57</v>
      </c>
      <c r="J827" s="128">
        <v>460000</v>
      </c>
      <c r="K827" s="127" t="s">
        <v>539</v>
      </c>
      <c r="L827" s="151">
        <v>455103</v>
      </c>
      <c r="M827" s="128">
        <v>0</v>
      </c>
      <c r="N827" s="127" t="s">
        <v>540</v>
      </c>
      <c r="O827" s="127" t="s">
        <v>457</v>
      </c>
      <c r="P827" s="128">
        <v>0</v>
      </c>
      <c r="Q827" s="128">
        <v>1307285.42</v>
      </c>
      <c r="R827" s="128">
        <v>0</v>
      </c>
      <c r="S827" s="128">
        <v>0</v>
      </c>
      <c r="T827" s="128">
        <v>0</v>
      </c>
      <c r="U827" s="128">
        <v>1307285.42</v>
      </c>
      <c r="V827" s="128">
        <v>0</v>
      </c>
      <c r="W827" s="128">
        <v>1307285.42</v>
      </c>
      <c r="X827" s="128">
        <v>0</v>
      </c>
      <c r="Y827" s="128">
        <v>0</v>
      </c>
      <c r="Z827" s="128">
        <v>0</v>
      </c>
      <c r="AA827" s="128">
        <v>1307285.42</v>
      </c>
      <c r="AB827" s="126">
        <f t="shared" si="95"/>
        <v>-0.130728542</v>
      </c>
      <c r="AC827" s="122" t="s">
        <v>1838</v>
      </c>
      <c r="AD827" s="123">
        <f t="shared" si="91"/>
        <v>-9.9976005999999992E-2</v>
      </c>
    </row>
    <row r="828" spans="1:30" ht="12.75" hidden="1" customHeight="1">
      <c r="A828" s="125" t="str">
        <f t="shared" si="92"/>
        <v>LIC33Other Income</v>
      </c>
      <c r="B828" s="125">
        <f>+IFERROR(VLOOKUP(L828,'TB mapping'!A:D,4,0),0)</f>
        <v>0</v>
      </c>
      <c r="C828" s="125">
        <f>+IFERROR(VLOOKUP(L828,'TB mapping'!A:C,3,0),0)</f>
        <v>5.5</v>
      </c>
      <c r="D828" s="125" t="str">
        <f t="shared" si="93"/>
        <v>LIC330</v>
      </c>
      <c r="E828" s="125" t="str">
        <f t="shared" si="94"/>
        <v>LIC335.5</v>
      </c>
      <c r="F828" s="158" t="str">
        <f>+VLOOKUP(H828,'code mapping'!A:C,3,0)</f>
        <v>LIC33</v>
      </c>
      <c r="G828" s="127" t="s">
        <v>453</v>
      </c>
      <c r="H828" s="127" t="s">
        <v>454</v>
      </c>
      <c r="I828" s="127" t="s">
        <v>57</v>
      </c>
      <c r="J828" s="128">
        <v>460000</v>
      </c>
      <c r="K828" s="127" t="s">
        <v>539</v>
      </c>
      <c r="L828" s="151">
        <v>460000</v>
      </c>
      <c r="M828" s="128">
        <v>0</v>
      </c>
      <c r="N828" s="127" t="s">
        <v>541</v>
      </c>
      <c r="O828" s="127" t="s">
        <v>457</v>
      </c>
      <c r="P828" s="128">
        <v>-307525.36</v>
      </c>
      <c r="Q828" s="128">
        <v>0</v>
      </c>
      <c r="R828" s="128">
        <v>0</v>
      </c>
      <c r="S828" s="128">
        <v>0</v>
      </c>
      <c r="T828" s="128">
        <v>-307525.36</v>
      </c>
      <c r="U828" s="128">
        <v>0</v>
      </c>
      <c r="V828" s="128">
        <v>-307525.36</v>
      </c>
      <c r="W828" s="128">
        <v>0</v>
      </c>
      <c r="X828" s="128">
        <v>0</v>
      </c>
      <c r="Y828" s="128">
        <v>0</v>
      </c>
      <c r="Z828" s="128">
        <v>-307525.36</v>
      </c>
      <c r="AA828" s="128">
        <v>0</v>
      </c>
      <c r="AB828" s="126">
        <f t="shared" si="95"/>
        <v>3.0752535999999997E-2</v>
      </c>
      <c r="AC828" s="122" t="s">
        <v>1838</v>
      </c>
      <c r="AD828" s="123">
        <f t="shared" si="91"/>
        <v>-9.9976005999999992E-2</v>
      </c>
    </row>
    <row r="829" spans="1:30" ht="12.75" hidden="1" customHeight="1">
      <c r="A829" s="125" t="str">
        <f t="shared" si="92"/>
        <v>LIC33Interplan Adjustment- RG</v>
      </c>
      <c r="B829" s="125">
        <f>+IFERROR(VLOOKUP(L829,'TB mapping'!A:D,4,0),0)</f>
        <v>0</v>
      </c>
      <c r="C829" s="125">
        <f>+IFERROR(VLOOKUP(L829,'TB mapping'!A:C,3,0),0)</f>
        <v>5.5</v>
      </c>
      <c r="D829" s="125" t="str">
        <f t="shared" si="93"/>
        <v>LIC330</v>
      </c>
      <c r="E829" s="125" t="str">
        <f t="shared" si="94"/>
        <v>LIC335.5</v>
      </c>
      <c r="F829" s="158" t="str">
        <f>+VLOOKUP(H829,'code mapping'!A:C,3,0)</f>
        <v>LIC33</v>
      </c>
      <c r="G829" s="127" t="s">
        <v>453</v>
      </c>
      <c r="H829" s="127" t="s">
        <v>454</v>
      </c>
      <c r="I829" s="127" t="s">
        <v>57</v>
      </c>
      <c r="J829" s="128">
        <v>460000</v>
      </c>
      <c r="K829" s="127" t="s">
        <v>539</v>
      </c>
      <c r="L829" s="151">
        <v>460101</v>
      </c>
      <c r="M829" s="128">
        <v>0</v>
      </c>
      <c r="N829" s="127" t="s">
        <v>542</v>
      </c>
      <c r="O829" s="127" t="s">
        <v>457</v>
      </c>
      <c r="P829" s="128">
        <v>0</v>
      </c>
      <c r="Q829" s="128">
        <v>37.03</v>
      </c>
      <c r="R829" s="128">
        <v>0</v>
      </c>
      <c r="S829" s="128">
        <v>0</v>
      </c>
      <c r="T829" s="128">
        <v>0</v>
      </c>
      <c r="U829" s="128">
        <v>37.03</v>
      </c>
      <c r="V829" s="128">
        <v>0</v>
      </c>
      <c r="W829" s="128">
        <v>37.03</v>
      </c>
      <c r="X829" s="128">
        <v>0</v>
      </c>
      <c r="Y829" s="128">
        <v>0</v>
      </c>
      <c r="Z829" s="128">
        <v>0</v>
      </c>
      <c r="AA829" s="128">
        <v>37.03</v>
      </c>
      <c r="AB829" s="126">
        <f t="shared" si="95"/>
        <v>-3.703E-6</v>
      </c>
      <c r="AC829" s="122" t="s">
        <v>1838</v>
      </c>
      <c r="AD829" s="123">
        <f t="shared" si="91"/>
        <v>-9.9976005999999992E-2</v>
      </c>
    </row>
    <row r="830" spans="1:30" ht="12.75" hidden="1" customHeight="1">
      <c r="A830" s="125" t="str">
        <f t="shared" si="92"/>
        <v>LIC33Interplan Adjustment- RD</v>
      </c>
      <c r="B830" s="125">
        <f>+IFERROR(VLOOKUP(L830,'TB mapping'!A:D,4,0),0)</f>
        <v>0</v>
      </c>
      <c r="C830" s="125">
        <f>+IFERROR(VLOOKUP(L830,'TB mapping'!A:C,3,0),0)</f>
        <v>5.5</v>
      </c>
      <c r="D830" s="125" t="str">
        <f t="shared" si="93"/>
        <v>LIC330</v>
      </c>
      <c r="E830" s="125" t="str">
        <f t="shared" si="94"/>
        <v>LIC335.5</v>
      </c>
      <c r="F830" s="158" t="str">
        <f>+VLOOKUP(H830,'code mapping'!A:C,3,0)</f>
        <v>LIC33</v>
      </c>
      <c r="G830" s="127" t="s">
        <v>453</v>
      </c>
      <c r="H830" s="127" t="s">
        <v>454</v>
      </c>
      <c r="I830" s="127" t="s">
        <v>57</v>
      </c>
      <c r="J830" s="128">
        <v>460000</v>
      </c>
      <c r="K830" s="127" t="s">
        <v>539</v>
      </c>
      <c r="L830" s="151">
        <v>460102</v>
      </c>
      <c r="M830" s="128">
        <v>0</v>
      </c>
      <c r="N830" s="127" t="s">
        <v>543</v>
      </c>
      <c r="O830" s="127" t="s">
        <v>457</v>
      </c>
      <c r="P830" s="128">
        <v>0</v>
      </c>
      <c r="Q830" s="128">
        <v>0.06</v>
      </c>
      <c r="R830" s="128">
        <v>0</v>
      </c>
      <c r="S830" s="128">
        <v>0</v>
      </c>
      <c r="T830" s="128">
        <v>0</v>
      </c>
      <c r="U830" s="128">
        <v>0.06</v>
      </c>
      <c r="V830" s="128">
        <v>0</v>
      </c>
      <c r="W830" s="128">
        <v>0.06</v>
      </c>
      <c r="X830" s="128">
        <v>0</v>
      </c>
      <c r="Y830" s="128">
        <v>0</v>
      </c>
      <c r="Z830" s="128">
        <v>0</v>
      </c>
      <c r="AA830" s="128">
        <v>0.06</v>
      </c>
      <c r="AB830" s="126">
        <f t="shared" si="95"/>
        <v>-6E-9</v>
      </c>
      <c r="AC830" s="122" t="s">
        <v>1838</v>
      </c>
      <c r="AD830" s="123">
        <f t="shared" si="91"/>
        <v>-9.9976005999999992E-2</v>
      </c>
    </row>
    <row r="831" spans="1:30" ht="12.75" hidden="1" customHeight="1">
      <c r="A831" s="125" t="str">
        <f t="shared" si="92"/>
        <v>LIC33Interplan Adjustment- GDP</v>
      </c>
      <c r="B831" s="125">
        <f>+IFERROR(VLOOKUP(L831,'TB mapping'!A:D,4,0),0)</f>
        <v>0</v>
      </c>
      <c r="C831" s="125">
        <f>+IFERROR(VLOOKUP(L831,'TB mapping'!A:C,3,0),0)</f>
        <v>5.5</v>
      </c>
      <c r="D831" s="125" t="str">
        <f t="shared" si="93"/>
        <v>LIC330</v>
      </c>
      <c r="E831" s="125" t="str">
        <f t="shared" si="94"/>
        <v>LIC335.5</v>
      </c>
      <c r="F831" s="158" t="str">
        <f>+VLOOKUP(H831,'code mapping'!A:C,3,0)</f>
        <v>LIC33</v>
      </c>
      <c r="G831" s="127" t="s">
        <v>453</v>
      </c>
      <c r="H831" s="127" t="s">
        <v>454</v>
      </c>
      <c r="I831" s="127" t="s">
        <v>57</v>
      </c>
      <c r="J831" s="128">
        <v>460000</v>
      </c>
      <c r="K831" s="127" t="s">
        <v>539</v>
      </c>
      <c r="L831" s="151">
        <v>460143</v>
      </c>
      <c r="M831" s="128">
        <v>0</v>
      </c>
      <c r="N831" s="127" t="s">
        <v>544</v>
      </c>
      <c r="O831" s="127" t="s">
        <v>457</v>
      </c>
      <c r="P831" s="128">
        <v>-36.869999999999997</v>
      </c>
      <c r="Q831" s="128">
        <v>0</v>
      </c>
      <c r="R831" s="128">
        <v>0</v>
      </c>
      <c r="S831" s="128">
        <v>0</v>
      </c>
      <c r="T831" s="128">
        <v>-36.869999999999997</v>
      </c>
      <c r="U831" s="128">
        <v>0</v>
      </c>
      <c r="V831" s="128">
        <v>-36.869999999999997</v>
      </c>
      <c r="W831" s="128">
        <v>0</v>
      </c>
      <c r="X831" s="128">
        <v>0</v>
      </c>
      <c r="Y831" s="128">
        <v>0</v>
      </c>
      <c r="Z831" s="128">
        <v>-36.869999999999997</v>
      </c>
      <c r="AA831" s="128">
        <v>0</v>
      </c>
      <c r="AB831" s="126">
        <f t="shared" si="95"/>
        <v>3.6869999999999996E-6</v>
      </c>
      <c r="AC831" s="122" t="s">
        <v>1838</v>
      </c>
      <c r="AD831" s="123">
        <f t="shared" si="91"/>
        <v>-9.9976005999999992E-2</v>
      </c>
    </row>
    <row r="832" spans="1:30" ht="12.75" hidden="1" customHeight="1">
      <c r="A832" s="125" t="str">
        <f t="shared" si="92"/>
        <v>LIC33Interplan Adjustment- DDP</v>
      </c>
      <c r="B832" s="125">
        <f>+IFERROR(VLOOKUP(L832,'TB mapping'!A:D,4,0),0)</f>
        <v>0</v>
      </c>
      <c r="C832" s="125">
        <f>+IFERROR(VLOOKUP(L832,'TB mapping'!A:C,3,0),0)</f>
        <v>5.5</v>
      </c>
      <c r="D832" s="125" t="str">
        <f t="shared" si="93"/>
        <v>LIC330</v>
      </c>
      <c r="E832" s="125" t="str">
        <f t="shared" si="94"/>
        <v>LIC335.5</v>
      </c>
      <c r="F832" s="158" t="str">
        <f>+VLOOKUP(H832,'code mapping'!A:C,3,0)</f>
        <v>LIC33</v>
      </c>
      <c r="G832" s="127" t="s">
        <v>453</v>
      </c>
      <c r="H832" s="127" t="s">
        <v>454</v>
      </c>
      <c r="I832" s="127" t="s">
        <v>57</v>
      </c>
      <c r="J832" s="128">
        <v>460000</v>
      </c>
      <c r="K832" s="127" t="s">
        <v>539</v>
      </c>
      <c r="L832" s="151">
        <v>460144</v>
      </c>
      <c r="M832" s="128">
        <v>0</v>
      </c>
      <c r="N832" s="127" t="s">
        <v>545</v>
      </c>
      <c r="O832" s="127" t="s">
        <v>457</v>
      </c>
      <c r="P832" s="128">
        <v>-0.22</v>
      </c>
      <c r="Q832" s="128">
        <v>0</v>
      </c>
      <c r="R832" s="128">
        <v>0</v>
      </c>
      <c r="S832" s="128">
        <v>0</v>
      </c>
      <c r="T832" s="128">
        <v>-0.22</v>
      </c>
      <c r="U832" s="128">
        <v>0</v>
      </c>
      <c r="V832" s="128">
        <v>-0.22</v>
      </c>
      <c r="W832" s="128">
        <v>0</v>
      </c>
      <c r="X832" s="128">
        <v>0</v>
      </c>
      <c r="Y832" s="128">
        <v>0</v>
      </c>
      <c r="Z832" s="128">
        <v>-0.22</v>
      </c>
      <c r="AA832" s="128">
        <v>0</v>
      </c>
      <c r="AB832" s="126">
        <f t="shared" si="95"/>
        <v>2.1999999999999998E-8</v>
      </c>
      <c r="AC832" s="122" t="s">
        <v>1838</v>
      </c>
      <c r="AD832" s="123">
        <f t="shared" si="91"/>
        <v>-9.9976005999999992E-2</v>
      </c>
    </row>
    <row r="833" spans="1:30" ht="12.75" hidden="1" customHeight="1">
      <c r="A833" s="125" t="str">
        <f t="shared" si="92"/>
        <v>LIC33R/L L/P - Corp Bond/Debenture</v>
      </c>
      <c r="B833" s="125">
        <f>+IFERROR(VLOOKUP(L833,'TB mapping'!A:D,4,0),0)</f>
        <v>0</v>
      </c>
      <c r="C833" s="125">
        <f>+IFERROR(VLOOKUP(L833,'TB mapping'!A:C,3,0),0)</f>
        <v>5.3</v>
      </c>
      <c r="D833" s="125" t="str">
        <f t="shared" si="93"/>
        <v>LIC330</v>
      </c>
      <c r="E833" s="125" t="str">
        <f t="shared" si="94"/>
        <v>LIC335.3</v>
      </c>
      <c r="F833" s="158" t="str">
        <f>+VLOOKUP(H833,'code mapping'!A:C,3,0)</f>
        <v>LIC33</v>
      </c>
      <c r="G833" s="127" t="s">
        <v>453</v>
      </c>
      <c r="H833" s="127" t="s">
        <v>454</v>
      </c>
      <c r="I833" s="127" t="s">
        <v>57</v>
      </c>
      <c r="J833" s="128">
        <v>510000</v>
      </c>
      <c r="K833" s="127" t="s">
        <v>546</v>
      </c>
      <c r="L833" s="151">
        <v>512120</v>
      </c>
      <c r="M833" s="128">
        <v>0</v>
      </c>
      <c r="N833" s="127" t="s">
        <v>547</v>
      </c>
      <c r="O833" s="127" t="s">
        <v>457</v>
      </c>
      <c r="P833" s="128">
        <v>-13476371.43</v>
      </c>
      <c r="Q833" s="128">
        <v>0</v>
      </c>
      <c r="R833" s="128">
        <v>0</v>
      </c>
      <c r="S833" s="128">
        <v>0</v>
      </c>
      <c r="T833" s="128">
        <v>-13476371.43</v>
      </c>
      <c r="U833" s="128">
        <v>0</v>
      </c>
      <c r="V833" s="128">
        <v>-13476371.43</v>
      </c>
      <c r="W833" s="128">
        <v>0</v>
      </c>
      <c r="X833" s="128">
        <v>0</v>
      </c>
      <c r="Y833" s="128">
        <v>0</v>
      </c>
      <c r="Z833" s="128">
        <v>-13476371.43</v>
      </c>
      <c r="AA833" s="128">
        <v>0</v>
      </c>
      <c r="AB833" s="126">
        <f t="shared" si="95"/>
        <v>1.347637143</v>
      </c>
      <c r="AC833" s="122" t="s">
        <v>1838</v>
      </c>
      <c r="AD833" s="123">
        <f t="shared" si="91"/>
        <v>6.9534218580000005</v>
      </c>
    </row>
    <row r="834" spans="1:30" ht="12.75" hidden="1" customHeight="1">
      <c r="A834" s="125" t="str">
        <f t="shared" si="92"/>
        <v>LIC33R/L L/P - Government Bonds</v>
      </c>
      <c r="B834" s="125">
        <f>+IFERROR(VLOOKUP(L834,'TB mapping'!A:D,4,0),0)</f>
        <v>0</v>
      </c>
      <c r="C834" s="125">
        <f>+IFERROR(VLOOKUP(L834,'TB mapping'!A:C,3,0),0)</f>
        <v>5.3</v>
      </c>
      <c r="D834" s="125" t="str">
        <f t="shared" si="93"/>
        <v>LIC330</v>
      </c>
      <c r="E834" s="125" t="str">
        <f t="shared" si="94"/>
        <v>LIC335.3</v>
      </c>
      <c r="F834" s="158" t="str">
        <f>+VLOOKUP(H834,'code mapping'!A:C,3,0)</f>
        <v>LIC33</v>
      </c>
      <c r="G834" s="127" t="s">
        <v>453</v>
      </c>
      <c r="H834" s="127" t="s">
        <v>454</v>
      </c>
      <c r="I834" s="127" t="s">
        <v>57</v>
      </c>
      <c r="J834" s="128">
        <v>510000</v>
      </c>
      <c r="K834" s="127" t="s">
        <v>546</v>
      </c>
      <c r="L834" s="151">
        <v>512130</v>
      </c>
      <c r="M834" s="128">
        <v>0</v>
      </c>
      <c r="N834" s="127" t="s">
        <v>548</v>
      </c>
      <c r="O834" s="127" t="s">
        <v>457</v>
      </c>
      <c r="P834" s="128">
        <v>-93381986.829999998</v>
      </c>
      <c r="Q834" s="128">
        <v>0</v>
      </c>
      <c r="R834" s="128">
        <v>0</v>
      </c>
      <c r="S834" s="128">
        <v>0</v>
      </c>
      <c r="T834" s="128">
        <v>-93381986.829999998</v>
      </c>
      <c r="U834" s="128">
        <v>0</v>
      </c>
      <c r="V834" s="128">
        <v>-93381986.829999998</v>
      </c>
      <c r="W834" s="128">
        <v>0</v>
      </c>
      <c r="X834" s="128">
        <v>0</v>
      </c>
      <c r="Y834" s="128">
        <v>0</v>
      </c>
      <c r="Z834" s="128">
        <v>-93381986.829999998</v>
      </c>
      <c r="AA834" s="128">
        <v>0</v>
      </c>
      <c r="AB834" s="126">
        <f t="shared" si="95"/>
        <v>9.3381986829999999</v>
      </c>
      <c r="AC834" s="122" t="s">
        <v>1838</v>
      </c>
      <c r="AD834" s="123">
        <f t="shared" si="91"/>
        <v>6.9534218580000005</v>
      </c>
    </row>
    <row r="835" spans="1:30" ht="12.75" hidden="1" customHeight="1">
      <c r="A835" s="125" t="str">
        <f t="shared" si="92"/>
        <v>LIC33R/L L/P - SDLs</v>
      </c>
      <c r="B835" s="125">
        <f>+IFERROR(VLOOKUP(L835,'TB mapping'!A:D,4,0),0)</f>
        <v>0</v>
      </c>
      <c r="C835" s="125">
        <f>+IFERROR(VLOOKUP(L835,'TB mapping'!A:C,3,0),0)</f>
        <v>5.3</v>
      </c>
      <c r="D835" s="125" t="str">
        <f t="shared" si="93"/>
        <v>LIC330</v>
      </c>
      <c r="E835" s="125" t="str">
        <f t="shared" si="94"/>
        <v>LIC335.3</v>
      </c>
      <c r="F835" s="158" t="str">
        <f>+VLOOKUP(H835,'code mapping'!A:C,3,0)</f>
        <v>LIC33</v>
      </c>
      <c r="G835" s="127" t="s">
        <v>453</v>
      </c>
      <c r="H835" s="127" t="s">
        <v>454</v>
      </c>
      <c r="I835" s="127" t="s">
        <v>57</v>
      </c>
      <c r="J835" s="128">
        <v>510000</v>
      </c>
      <c r="K835" s="127" t="s">
        <v>546</v>
      </c>
      <c r="L835" s="151">
        <v>512135</v>
      </c>
      <c r="M835" s="128">
        <v>0</v>
      </c>
      <c r="N835" s="127" t="s">
        <v>711</v>
      </c>
      <c r="O835" s="127" t="s">
        <v>457</v>
      </c>
      <c r="P835" s="128">
        <v>-12380050</v>
      </c>
      <c r="Q835" s="128">
        <v>0</v>
      </c>
      <c r="R835" s="128">
        <v>0</v>
      </c>
      <c r="S835" s="128">
        <v>0</v>
      </c>
      <c r="T835" s="128">
        <v>-12380050</v>
      </c>
      <c r="U835" s="128">
        <v>0</v>
      </c>
      <c r="V835" s="128">
        <v>-12380050</v>
      </c>
      <c r="W835" s="128">
        <v>0</v>
      </c>
      <c r="X835" s="128">
        <v>0</v>
      </c>
      <c r="Y835" s="128">
        <v>0</v>
      </c>
      <c r="Z835" s="128">
        <v>-12380050</v>
      </c>
      <c r="AA835" s="128">
        <v>0</v>
      </c>
      <c r="AB835" s="126">
        <f t="shared" si="95"/>
        <v>1.238005</v>
      </c>
      <c r="AC835" s="122" t="s">
        <v>1838</v>
      </c>
      <c r="AD835" s="123">
        <f t="shared" si="91"/>
        <v>6.9534218580000005</v>
      </c>
    </row>
    <row r="836" spans="1:30" ht="12.75" hidden="1" customHeight="1">
      <c r="A836" s="125" t="str">
        <f t="shared" si="92"/>
        <v>LIC33R/L Loss - Inter Sch Govt Bond</v>
      </c>
      <c r="B836" s="125">
        <f>+IFERROR(VLOOKUP(L836,'TB mapping'!A:D,4,0),0)</f>
        <v>0</v>
      </c>
      <c r="C836" s="125">
        <f>+IFERROR(VLOOKUP(L836,'TB mapping'!A:C,3,0),0)</f>
        <v>5.4</v>
      </c>
      <c r="D836" s="125" t="str">
        <f t="shared" si="93"/>
        <v>LIC330</v>
      </c>
      <c r="E836" s="125" t="str">
        <f t="shared" si="94"/>
        <v>LIC335.4</v>
      </c>
      <c r="F836" s="158" t="str">
        <f>+VLOOKUP(H836,'code mapping'!A:C,3,0)</f>
        <v>LIC33</v>
      </c>
      <c r="G836" s="127" t="s">
        <v>453</v>
      </c>
      <c r="H836" s="127" t="s">
        <v>454</v>
      </c>
      <c r="I836" s="127" t="s">
        <v>57</v>
      </c>
      <c r="J836" s="128">
        <v>510000</v>
      </c>
      <c r="K836" s="127" t="s">
        <v>546</v>
      </c>
      <c r="L836" s="151">
        <v>527304</v>
      </c>
      <c r="M836" s="128">
        <v>0</v>
      </c>
      <c r="N836" s="127" t="s">
        <v>549</v>
      </c>
      <c r="O836" s="127" t="s">
        <v>457</v>
      </c>
      <c r="P836" s="128">
        <v>-1483528.91</v>
      </c>
      <c r="Q836" s="128">
        <v>0</v>
      </c>
      <c r="R836" s="128">
        <v>0</v>
      </c>
      <c r="S836" s="128">
        <v>0</v>
      </c>
      <c r="T836" s="128">
        <v>-1483528.91</v>
      </c>
      <c r="U836" s="128">
        <v>0</v>
      </c>
      <c r="V836" s="128">
        <v>-1483528.91</v>
      </c>
      <c r="W836" s="128">
        <v>0</v>
      </c>
      <c r="X836" s="128">
        <v>0</v>
      </c>
      <c r="Y836" s="128">
        <v>0</v>
      </c>
      <c r="Z836" s="128">
        <v>-1483528.91</v>
      </c>
      <c r="AA836" s="128">
        <v>0</v>
      </c>
      <c r="AB836" s="126">
        <f t="shared" si="95"/>
        <v>0.14835289099999999</v>
      </c>
      <c r="AC836" s="122" t="s">
        <v>1838</v>
      </c>
      <c r="AD836" s="123">
        <f t="shared" si="91"/>
        <v>0.11055269599999998</v>
      </c>
    </row>
    <row r="837" spans="1:30" ht="12.75" hidden="1" customHeight="1">
      <c r="A837" s="125" t="str">
        <f t="shared" si="92"/>
        <v>LIC33SEBI Fees</v>
      </c>
      <c r="B837" s="125">
        <f>+IFERROR(VLOOKUP(L837,'TB mapping'!A:D,4,0),0)</f>
        <v>0</v>
      </c>
      <c r="C837" s="125">
        <f>+IFERROR(VLOOKUP(L837,'TB mapping'!A:C,3,0),0)</f>
        <v>6.3</v>
      </c>
      <c r="D837" s="125" t="str">
        <f t="shared" si="93"/>
        <v>LIC330</v>
      </c>
      <c r="E837" s="125" t="str">
        <f t="shared" si="94"/>
        <v>LIC336.3</v>
      </c>
      <c r="F837" s="158" t="str">
        <f>+VLOOKUP(H837,'code mapping'!A:C,3,0)</f>
        <v>LIC33</v>
      </c>
      <c r="G837" s="127" t="s">
        <v>453</v>
      </c>
      <c r="H837" s="127" t="s">
        <v>454</v>
      </c>
      <c r="I837" s="127" t="s">
        <v>57</v>
      </c>
      <c r="J837" s="128">
        <v>550000</v>
      </c>
      <c r="K837" s="127" t="s">
        <v>550</v>
      </c>
      <c r="L837" s="151">
        <v>553007</v>
      </c>
      <c r="M837" s="128">
        <v>0</v>
      </c>
      <c r="N837" s="127" t="s">
        <v>551</v>
      </c>
      <c r="O837" s="127" t="s">
        <v>457</v>
      </c>
      <c r="P837" s="128">
        <v>-44394.06</v>
      </c>
      <c r="Q837" s="128">
        <v>0</v>
      </c>
      <c r="R837" s="128">
        <v>0</v>
      </c>
      <c r="S837" s="128">
        <v>0</v>
      </c>
      <c r="T837" s="128">
        <v>-44394.06</v>
      </c>
      <c r="U837" s="128">
        <v>0</v>
      </c>
      <c r="V837" s="128">
        <v>-44394.06</v>
      </c>
      <c r="W837" s="128">
        <v>0</v>
      </c>
      <c r="X837" s="128">
        <v>0</v>
      </c>
      <c r="Y837" s="128">
        <v>0</v>
      </c>
      <c r="Z837" s="128">
        <v>-44394.06</v>
      </c>
      <c r="AA837" s="128">
        <v>0</v>
      </c>
      <c r="AB837" s="126">
        <f t="shared" si="95"/>
        <v>4.4394059999999999E-3</v>
      </c>
      <c r="AC837" s="122" t="s">
        <v>1838</v>
      </c>
      <c r="AD837" s="123">
        <f t="shared" si="91"/>
        <v>5.1915238519999996</v>
      </c>
    </row>
    <row r="838" spans="1:30" ht="12.75" hidden="1" customHeight="1">
      <c r="A838" s="125" t="str">
        <f t="shared" si="92"/>
        <v>LIC33Audit Fee</v>
      </c>
      <c r="B838" s="125">
        <f>+IFERROR(VLOOKUP(L838,'TB mapping'!A:D,4,0),0)</f>
        <v>0</v>
      </c>
      <c r="C838" s="125">
        <f>+IFERROR(VLOOKUP(L838,'TB mapping'!A:C,3,0),0)</f>
        <v>6.3</v>
      </c>
      <c r="D838" s="125" t="str">
        <f t="shared" si="93"/>
        <v>LIC330</v>
      </c>
      <c r="E838" s="125" t="str">
        <f t="shared" si="94"/>
        <v>LIC336.3</v>
      </c>
      <c r="F838" s="158" t="str">
        <f>+VLOOKUP(H838,'code mapping'!A:C,3,0)</f>
        <v>LIC33</v>
      </c>
      <c r="G838" s="127" t="s">
        <v>453</v>
      </c>
      <c r="H838" s="127" t="s">
        <v>454</v>
      </c>
      <c r="I838" s="127" t="s">
        <v>57</v>
      </c>
      <c r="J838" s="128">
        <v>550000</v>
      </c>
      <c r="K838" s="127" t="s">
        <v>550</v>
      </c>
      <c r="L838" s="151">
        <v>553105</v>
      </c>
      <c r="M838" s="128">
        <v>0</v>
      </c>
      <c r="N838" s="127" t="s">
        <v>552</v>
      </c>
      <c r="O838" s="127" t="s">
        <v>457</v>
      </c>
      <c r="P838" s="128">
        <v>-3673.34</v>
      </c>
      <c r="Q838" s="128">
        <v>0</v>
      </c>
      <c r="R838" s="128">
        <v>0</v>
      </c>
      <c r="S838" s="128">
        <v>0</v>
      </c>
      <c r="T838" s="128">
        <v>-3673.34</v>
      </c>
      <c r="U838" s="128">
        <v>0</v>
      </c>
      <c r="V838" s="128">
        <v>-3673.34</v>
      </c>
      <c r="W838" s="128">
        <v>0</v>
      </c>
      <c r="X838" s="128">
        <v>0</v>
      </c>
      <c r="Y838" s="128">
        <v>0</v>
      </c>
      <c r="Z838" s="128">
        <v>-3673.34</v>
      </c>
      <c r="AA838" s="128">
        <v>0</v>
      </c>
      <c r="AB838" s="126">
        <f t="shared" si="95"/>
        <v>3.6733400000000003E-4</v>
      </c>
      <c r="AC838" s="122" t="s">
        <v>1838</v>
      </c>
      <c r="AD838" s="123">
        <f t="shared" si="91"/>
        <v>5.1915238519999996</v>
      </c>
    </row>
    <row r="839" spans="1:30" ht="12.75" hidden="1" customHeight="1">
      <c r="A839" s="125" t="str">
        <f t="shared" si="92"/>
        <v>LIC33Custody Fee</v>
      </c>
      <c r="B839" s="125">
        <f>+IFERROR(VLOOKUP(L839,'TB mapping'!A:D,4,0),0)</f>
        <v>0</v>
      </c>
      <c r="C839" s="125">
        <f>+IFERROR(VLOOKUP(L839,'TB mapping'!A:C,3,0),0)</f>
        <v>6.3</v>
      </c>
      <c r="D839" s="125" t="str">
        <f t="shared" si="93"/>
        <v>LIC330</v>
      </c>
      <c r="E839" s="125" t="str">
        <f t="shared" si="94"/>
        <v>LIC336.3</v>
      </c>
      <c r="F839" s="158" t="str">
        <f>+VLOOKUP(H839,'code mapping'!A:C,3,0)</f>
        <v>LIC33</v>
      </c>
      <c r="G839" s="127" t="s">
        <v>453</v>
      </c>
      <c r="H839" s="127" t="s">
        <v>454</v>
      </c>
      <c r="I839" s="127" t="s">
        <v>57</v>
      </c>
      <c r="J839" s="128">
        <v>550000</v>
      </c>
      <c r="K839" s="127" t="s">
        <v>550</v>
      </c>
      <c r="L839" s="151">
        <v>553107</v>
      </c>
      <c r="M839" s="128">
        <v>0</v>
      </c>
      <c r="N839" s="127" t="s">
        <v>553</v>
      </c>
      <c r="O839" s="127" t="s">
        <v>457</v>
      </c>
      <c r="P839" s="128">
        <v>-335014.98</v>
      </c>
      <c r="Q839" s="128">
        <v>0</v>
      </c>
      <c r="R839" s="128">
        <v>0</v>
      </c>
      <c r="S839" s="128">
        <v>0</v>
      </c>
      <c r="T839" s="128">
        <v>-335014.98</v>
      </c>
      <c r="U839" s="128">
        <v>0</v>
      </c>
      <c r="V839" s="128">
        <v>-335014.98</v>
      </c>
      <c r="W839" s="128">
        <v>0</v>
      </c>
      <c r="X839" s="128">
        <v>0</v>
      </c>
      <c r="Y839" s="128">
        <v>0</v>
      </c>
      <c r="Z839" s="128">
        <v>-335014.98</v>
      </c>
      <c r="AA839" s="128">
        <v>0</v>
      </c>
      <c r="AB839" s="126">
        <f t="shared" si="95"/>
        <v>3.3501497999999998E-2</v>
      </c>
      <c r="AC839" s="122" t="s">
        <v>1838</v>
      </c>
      <c r="AD839" s="123">
        <f t="shared" si="91"/>
        <v>5.1915238519999996</v>
      </c>
    </row>
    <row r="840" spans="1:30" ht="12.75" hidden="1" customHeight="1">
      <c r="A840" s="125" t="str">
        <f t="shared" si="92"/>
        <v>LIC33Expense Allocation Account</v>
      </c>
      <c r="B840" s="125">
        <f>+IFERROR(VLOOKUP(L840,'TB mapping'!A:D,4,0),0)</f>
        <v>0</v>
      </c>
      <c r="C840" s="125">
        <f>+IFERROR(VLOOKUP(L840,'TB mapping'!A:C,3,0),0)</f>
        <v>6.3</v>
      </c>
      <c r="D840" s="125" t="str">
        <f t="shared" si="93"/>
        <v>LIC330</v>
      </c>
      <c r="E840" s="125" t="str">
        <f t="shared" si="94"/>
        <v>LIC336.3</v>
      </c>
      <c r="F840" s="158" t="str">
        <f>+VLOOKUP(H840,'code mapping'!A:C,3,0)</f>
        <v>LIC33</v>
      </c>
      <c r="G840" s="127" t="s">
        <v>453</v>
      </c>
      <c r="H840" s="127" t="s">
        <v>454</v>
      </c>
      <c r="I840" s="127" t="s">
        <v>57</v>
      </c>
      <c r="J840" s="128">
        <v>550000</v>
      </c>
      <c r="K840" s="127" t="s">
        <v>550</v>
      </c>
      <c r="L840" s="151">
        <v>553111</v>
      </c>
      <c r="M840" s="128">
        <v>0</v>
      </c>
      <c r="N840" s="127" t="s">
        <v>554</v>
      </c>
      <c r="O840" s="127" t="s">
        <v>457</v>
      </c>
      <c r="P840" s="128">
        <v>0</v>
      </c>
      <c r="Q840" s="128">
        <v>1693342.23</v>
      </c>
      <c r="R840" s="128">
        <v>0</v>
      </c>
      <c r="S840" s="128">
        <v>0</v>
      </c>
      <c r="T840" s="128">
        <v>0</v>
      </c>
      <c r="U840" s="128">
        <v>1693342.23</v>
      </c>
      <c r="V840" s="128">
        <v>0</v>
      </c>
      <c r="W840" s="128">
        <v>1693342.23</v>
      </c>
      <c r="X840" s="128">
        <v>0</v>
      </c>
      <c r="Y840" s="128">
        <v>0</v>
      </c>
      <c r="Z840" s="128">
        <v>0</v>
      </c>
      <c r="AA840" s="128">
        <v>1693342.23</v>
      </c>
      <c r="AB840" s="126">
        <f t="shared" si="95"/>
        <v>-0.16933422300000001</v>
      </c>
      <c r="AC840" s="122" t="s">
        <v>1838</v>
      </c>
      <c r="AD840" s="123">
        <f t="shared" si="91"/>
        <v>5.1915238519999996</v>
      </c>
    </row>
    <row r="841" spans="1:30" ht="12.75" hidden="1" customHeight="1">
      <c r="A841" s="125" t="str">
        <f t="shared" si="92"/>
        <v>LIC33Trustee Fee</v>
      </c>
      <c r="B841" s="125">
        <f>+IFERROR(VLOOKUP(L841,'TB mapping'!A:D,4,0),0)</f>
        <v>6.2</v>
      </c>
      <c r="C841" s="125">
        <f>+IFERROR(VLOOKUP(L841,'TB mapping'!A:C,3,0),0)</f>
        <v>6.3</v>
      </c>
      <c r="D841" s="125" t="str">
        <f t="shared" si="93"/>
        <v>LIC336.2</v>
      </c>
      <c r="E841" s="125" t="str">
        <f t="shared" si="94"/>
        <v>LIC336.3</v>
      </c>
      <c r="F841" s="158" t="str">
        <f>+VLOOKUP(H841,'code mapping'!A:C,3,0)</f>
        <v>LIC33</v>
      </c>
      <c r="G841" s="127" t="s">
        <v>453</v>
      </c>
      <c r="H841" s="127" t="s">
        <v>454</v>
      </c>
      <c r="I841" s="127" t="s">
        <v>57</v>
      </c>
      <c r="J841" s="128">
        <v>550000</v>
      </c>
      <c r="K841" s="127" t="s">
        <v>550</v>
      </c>
      <c r="L841" s="151">
        <v>553131</v>
      </c>
      <c r="M841" s="128">
        <v>0</v>
      </c>
      <c r="N841" s="127" t="s">
        <v>555</v>
      </c>
      <c r="O841" s="127" t="s">
        <v>457</v>
      </c>
      <c r="P841" s="128">
        <v>-47199.71</v>
      </c>
      <c r="Q841" s="128">
        <v>0</v>
      </c>
      <c r="R841" s="128">
        <v>0</v>
      </c>
      <c r="S841" s="128">
        <v>0</v>
      </c>
      <c r="T841" s="128">
        <v>-47199.71</v>
      </c>
      <c r="U841" s="128">
        <v>0</v>
      </c>
      <c r="V841" s="128">
        <v>-47199.71</v>
      </c>
      <c r="W841" s="128">
        <v>0</v>
      </c>
      <c r="X841" s="128">
        <v>0</v>
      </c>
      <c r="Y841" s="128">
        <v>0</v>
      </c>
      <c r="Z841" s="128">
        <v>-47199.71</v>
      </c>
      <c r="AA841" s="128">
        <v>0</v>
      </c>
      <c r="AB841" s="126">
        <f t="shared" si="95"/>
        <v>4.7199709999999999E-3</v>
      </c>
      <c r="AC841" s="122" t="s">
        <v>1838</v>
      </c>
      <c r="AD841" s="123">
        <f t="shared" si="91"/>
        <v>5.1915238519999996</v>
      </c>
    </row>
    <row r="842" spans="1:30" ht="12.75" hidden="1" customHeight="1">
      <c r="A842" s="125" t="str">
        <f t="shared" si="92"/>
        <v>LIC33Bank Charges</v>
      </c>
      <c r="B842" s="125">
        <f>+IFERROR(VLOOKUP(L842,'TB mapping'!A:D,4,0),0)</f>
        <v>0</v>
      </c>
      <c r="C842" s="125">
        <f>+IFERROR(VLOOKUP(L842,'TB mapping'!A:C,3,0),0)</f>
        <v>6.3</v>
      </c>
      <c r="D842" s="125" t="str">
        <f t="shared" si="93"/>
        <v>LIC330</v>
      </c>
      <c r="E842" s="125" t="str">
        <f t="shared" si="94"/>
        <v>LIC336.3</v>
      </c>
      <c r="F842" s="158" t="str">
        <f>+VLOOKUP(H842,'code mapping'!A:C,3,0)</f>
        <v>LIC33</v>
      </c>
      <c r="G842" s="127" t="s">
        <v>453</v>
      </c>
      <c r="H842" s="127" t="s">
        <v>454</v>
      </c>
      <c r="I842" s="127" t="s">
        <v>57</v>
      </c>
      <c r="J842" s="128">
        <v>550000</v>
      </c>
      <c r="K842" s="127" t="s">
        <v>550</v>
      </c>
      <c r="L842" s="151">
        <v>553141</v>
      </c>
      <c r="M842" s="128">
        <v>0</v>
      </c>
      <c r="N842" s="127" t="s">
        <v>556</v>
      </c>
      <c r="O842" s="127" t="s">
        <v>457</v>
      </c>
      <c r="P842" s="128">
        <v>-21804.400000000001</v>
      </c>
      <c r="Q842" s="128">
        <v>0</v>
      </c>
      <c r="R842" s="128">
        <v>0</v>
      </c>
      <c r="S842" s="128">
        <v>0</v>
      </c>
      <c r="T842" s="128">
        <v>-21804.400000000001</v>
      </c>
      <c r="U842" s="128">
        <v>0</v>
      </c>
      <c r="V842" s="128">
        <v>-21804.400000000001</v>
      </c>
      <c r="W842" s="128">
        <v>0</v>
      </c>
      <c r="X842" s="128">
        <v>0</v>
      </c>
      <c r="Y842" s="128">
        <v>0</v>
      </c>
      <c r="Z842" s="128">
        <v>-21804.400000000001</v>
      </c>
      <c r="AA842" s="128">
        <v>0</v>
      </c>
      <c r="AB842" s="126">
        <f t="shared" si="95"/>
        <v>2.1804400000000001E-3</v>
      </c>
      <c r="AC842" s="122" t="s">
        <v>1838</v>
      </c>
      <c r="AD842" s="123">
        <f t="shared" si="91"/>
        <v>5.1915238519999996</v>
      </c>
    </row>
    <row r="843" spans="1:30" ht="12.75" hidden="1" customHeight="1">
      <c r="A843" s="125" t="str">
        <f t="shared" si="92"/>
        <v>LIC33Investor Education Fund Exps</v>
      </c>
      <c r="B843" s="125">
        <f>+IFERROR(VLOOKUP(L843,'TB mapping'!A:D,4,0),0)</f>
        <v>0</v>
      </c>
      <c r="C843" s="125">
        <f>+IFERROR(VLOOKUP(L843,'TB mapping'!A:C,3,0),0)</f>
        <v>6.3</v>
      </c>
      <c r="D843" s="125" t="str">
        <f t="shared" si="93"/>
        <v>LIC330</v>
      </c>
      <c r="E843" s="125" t="str">
        <f t="shared" si="94"/>
        <v>LIC336.3</v>
      </c>
      <c r="F843" s="158" t="str">
        <f>+VLOOKUP(H843,'code mapping'!A:C,3,0)</f>
        <v>LIC33</v>
      </c>
      <c r="G843" s="127" t="s">
        <v>453</v>
      </c>
      <c r="H843" s="127" t="s">
        <v>454</v>
      </c>
      <c r="I843" s="127" t="s">
        <v>57</v>
      </c>
      <c r="J843" s="128">
        <v>550000</v>
      </c>
      <c r="K843" s="127" t="s">
        <v>550</v>
      </c>
      <c r="L843" s="151">
        <v>553171</v>
      </c>
      <c r="M843" s="128">
        <v>0</v>
      </c>
      <c r="N843" s="127" t="s">
        <v>557</v>
      </c>
      <c r="O843" s="127" t="s">
        <v>457</v>
      </c>
      <c r="P843" s="128">
        <v>-477714.03</v>
      </c>
      <c r="Q843" s="128">
        <v>0</v>
      </c>
      <c r="R843" s="128">
        <v>0</v>
      </c>
      <c r="S843" s="128">
        <v>0</v>
      </c>
      <c r="T843" s="128">
        <v>-477714.03</v>
      </c>
      <c r="U843" s="128">
        <v>0</v>
      </c>
      <c r="V843" s="128">
        <v>-477714.03</v>
      </c>
      <c r="W843" s="128">
        <v>0</v>
      </c>
      <c r="X843" s="128">
        <v>0</v>
      </c>
      <c r="Y843" s="128">
        <v>0</v>
      </c>
      <c r="Z843" s="128">
        <v>-477714.03</v>
      </c>
      <c r="AA843" s="128">
        <v>0</v>
      </c>
      <c r="AB843" s="126">
        <f t="shared" si="95"/>
        <v>4.7771403000000004E-2</v>
      </c>
      <c r="AC843" s="122" t="s">
        <v>1838</v>
      </c>
      <c r="AD843" s="123">
        <f t="shared" si="91"/>
        <v>5.1915238519999996</v>
      </c>
    </row>
    <row r="844" spans="1:30" ht="12.75" hidden="1" customHeight="1">
      <c r="A844" s="125" t="str">
        <f t="shared" si="92"/>
        <v>LIC33Service Tax on Management Fees</v>
      </c>
      <c r="B844" s="125">
        <f>+IFERROR(VLOOKUP(L844,'TB mapping'!A:D,4,0),0)</f>
        <v>6.1</v>
      </c>
      <c r="C844" s="125">
        <f>+IFERROR(VLOOKUP(L844,'TB mapping'!A:C,3,0),0)</f>
        <v>6.3</v>
      </c>
      <c r="D844" s="125" t="str">
        <f t="shared" si="93"/>
        <v>LIC336.1</v>
      </c>
      <c r="E844" s="125" t="str">
        <f t="shared" si="94"/>
        <v>LIC336.3</v>
      </c>
      <c r="F844" s="158" t="str">
        <f>+VLOOKUP(H844,'code mapping'!A:C,3,0)</f>
        <v>LIC33</v>
      </c>
      <c r="G844" s="127" t="s">
        <v>453</v>
      </c>
      <c r="H844" s="127" t="s">
        <v>454</v>
      </c>
      <c r="I844" s="127" t="s">
        <v>57</v>
      </c>
      <c r="J844" s="128">
        <v>550000</v>
      </c>
      <c r="K844" s="127" t="s">
        <v>550</v>
      </c>
      <c r="L844" s="151">
        <v>553172</v>
      </c>
      <c r="M844" s="128">
        <v>0</v>
      </c>
      <c r="N844" s="127" t="s">
        <v>558</v>
      </c>
      <c r="O844" s="127" t="s">
        <v>457</v>
      </c>
      <c r="P844" s="128">
        <v>-1635095.6</v>
      </c>
      <c r="Q844" s="128">
        <v>0</v>
      </c>
      <c r="R844" s="128">
        <v>0</v>
      </c>
      <c r="S844" s="128">
        <v>0</v>
      </c>
      <c r="T844" s="128">
        <v>-1635095.6</v>
      </c>
      <c r="U844" s="128">
        <v>0</v>
      </c>
      <c r="V844" s="128">
        <v>-1635095.6</v>
      </c>
      <c r="W844" s="128">
        <v>0</v>
      </c>
      <c r="X844" s="128">
        <v>0</v>
      </c>
      <c r="Y844" s="128">
        <v>0</v>
      </c>
      <c r="Z844" s="128">
        <v>-1635095.6</v>
      </c>
      <c r="AA844" s="128">
        <v>0</v>
      </c>
      <c r="AB844" s="126">
        <f t="shared" si="95"/>
        <v>0.16350956</v>
      </c>
      <c r="AC844" s="122" t="s">
        <v>1838</v>
      </c>
      <c r="AD844" s="123">
        <f t="shared" si="91"/>
        <v>5.1915238519999996</v>
      </c>
    </row>
    <row r="845" spans="1:30" ht="12.75" hidden="1" customHeight="1">
      <c r="A845" s="125" t="str">
        <f t="shared" si="92"/>
        <v>LIC33CCIL Expenses</v>
      </c>
      <c r="B845" s="125">
        <f>+IFERROR(VLOOKUP(L845,'TB mapping'!A:D,4,0),0)</f>
        <v>0</v>
      </c>
      <c r="C845" s="125">
        <f>+IFERROR(VLOOKUP(L845,'TB mapping'!A:C,3,0),0)</f>
        <v>6.3</v>
      </c>
      <c r="D845" s="125" t="str">
        <f t="shared" si="93"/>
        <v>LIC330</v>
      </c>
      <c r="E845" s="125" t="str">
        <f t="shared" si="94"/>
        <v>LIC336.3</v>
      </c>
      <c r="F845" s="158" t="str">
        <f>+VLOOKUP(H845,'code mapping'!A:C,3,0)</f>
        <v>LIC33</v>
      </c>
      <c r="G845" s="127" t="s">
        <v>453</v>
      </c>
      <c r="H845" s="127" t="s">
        <v>454</v>
      </c>
      <c r="I845" s="127" t="s">
        <v>57</v>
      </c>
      <c r="J845" s="128">
        <v>550000</v>
      </c>
      <c r="K845" s="127" t="s">
        <v>550</v>
      </c>
      <c r="L845" s="151">
        <v>553176</v>
      </c>
      <c r="M845" s="128">
        <v>0</v>
      </c>
      <c r="N845" s="127" t="s">
        <v>559</v>
      </c>
      <c r="O845" s="127" t="s">
        <v>457</v>
      </c>
      <c r="P845" s="128">
        <v>-379179.38</v>
      </c>
      <c r="Q845" s="128">
        <v>0</v>
      </c>
      <c r="R845" s="128">
        <v>0</v>
      </c>
      <c r="S845" s="128">
        <v>0</v>
      </c>
      <c r="T845" s="128">
        <v>-379179.38</v>
      </c>
      <c r="U845" s="128">
        <v>0</v>
      </c>
      <c r="V845" s="128">
        <v>-379179.38</v>
      </c>
      <c r="W845" s="128">
        <v>0</v>
      </c>
      <c r="X845" s="128">
        <v>0</v>
      </c>
      <c r="Y845" s="128">
        <v>0</v>
      </c>
      <c r="Z845" s="128">
        <v>-379179.38</v>
      </c>
      <c r="AA845" s="128">
        <v>0</v>
      </c>
      <c r="AB845" s="126">
        <f t="shared" si="95"/>
        <v>3.7917937999999998E-2</v>
      </c>
      <c r="AC845" s="122" t="s">
        <v>1838</v>
      </c>
      <c r="AD845" s="123">
        <f t="shared" si="91"/>
        <v>5.1915238519999996</v>
      </c>
    </row>
    <row r="846" spans="1:30" ht="12.75" hidden="1" customHeight="1">
      <c r="A846" s="125" t="str">
        <f t="shared" si="92"/>
        <v>LIC33Out of Pocket Expenses - R&amp;T</v>
      </c>
      <c r="B846" s="125">
        <f>+IFERROR(VLOOKUP(L846,'TB mapping'!A:D,4,0),0)</f>
        <v>0</v>
      </c>
      <c r="C846" s="125">
        <f>+IFERROR(VLOOKUP(L846,'TB mapping'!A:C,3,0),0)</f>
        <v>6.3</v>
      </c>
      <c r="D846" s="125" t="str">
        <f t="shared" si="93"/>
        <v>LIC330</v>
      </c>
      <c r="E846" s="125" t="str">
        <f t="shared" si="94"/>
        <v>LIC336.3</v>
      </c>
      <c r="F846" s="158" t="str">
        <f>+VLOOKUP(H846,'code mapping'!A:C,3,0)</f>
        <v>LIC33</v>
      </c>
      <c r="G846" s="127" t="s">
        <v>453</v>
      </c>
      <c r="H846" s="127" t="s">
        <v>454</v>
      </c>
      <c r="I846" s="127" t="s">
        <v>57</v>
      </c>
      <c r="J846" s="128">
        <v>550000</v>
      </c>
      <c r="K846" s="127" t="s">
        <v>550</v>
      </c>
      <c r="L846" s="151">
        <v>553180</v>
      </c>
      <c r="M846" s="128">
        <v>0</v>
      </c>
      <c r="N846" s="127" t="s">
        <v>560</v>
      </c>
      <c r="O846" s="127" t="s">
        <v>457</v>
      </c>
      <c r="P846" s="128">
        <v>-32275.1</v>
      </c>
      <c r="Q846" s="128">
        <v>0</v>
      </c>
      <c r="R846" s="128">
        <v>0</v>
      </c>
      <c r="S846" s="128">
        <v>0</v>
      </c>
      <c r="T846" s="128">
        <v>-32275.1</v>
      </c>
      <c r="U846" s="128">
        <v>0</v>
      </c>
      <c r="V846" s="128">
        <v>-32275.1</v>
      </c>
      <c r="W846" s="128">
        <v>0</v>
      </c>
      <c r="X846" s="128">
        <v>0</v>
      </c>
      <c r="Y846" s="128">
        <v>0</v>
      </c>
      <c r="Z846" s="128">
        <v>-32275.1</v>
      </c>
      <c r="AA846" s="128">
        <v>0</v>
      </c>
      <c r="AB846" s="126">
        <f t="shared" si="95"/>
        <v>3.2275099999999998E-3</v>
      </c>
      <c r="AC846" s="122" t="s">
        <v>1838</v>
      </c>
      <c r="AD846" s="123">
        <f t="shared" si="91"/>
        <v>5.1915238519999996</v>
      </c>
    </row>
    <row r="847" spans="1:30" ht="12.75" hidden="1" customHeight="1">
      <c r="A847" s="125" t="str">
        <f t="shared" si="92"/>
        <v>LIC33Other Expenses</v>
      </c>
      <c r="B847" s="125">
        <f>+IFERROR(VLOOKUP(L847,'TB mapping'!A:D,4,0),0)</f>
        <v>0</v>
      </c>
      <c r="C847" s="125">
        <f>+IFERROR(VLOOKUP(L847,'TB mapping'!A:C,3,0),0)</f>
        <v>6.3</v>
      </c>
      <c r="D847" s="125" t="str">
        <f t="shared" si="93"/>
        <v>LIC330</v>
      </c>
      <c r="E847" s="125" t="str">
        <f t="shared" si="94"/>
        <v>LIC336.3</v>
      </c>
      <c r="F847" s="158" t="str">
        <f>+VLOOKUP(H847,'code mapping'!A:C,3,0)</f>
        <v>LIC33</v>
      </c>
      <c r="G847" s="127" t="s">
        <v>453</v>
      </c>
      <c r="H847" s="127" t="s">
        <v>454</v>
      </c>
      <c r="I847" s="127" t="s">
        <v>57</v>
      </c>
      <c r="J847" s="128">
        <v>550000</v>
      </c>
      <c r="K847" s="127" t="s">
        <v>550</v>
      </c>
      <c r="L847" s="151">
        <v>553190</v>
      </c>
      <c r="M847" s="128">
        <v>0</v>
      </c>
      <c r="N847" s="127" t="s">
        <v>561</v>
      </c>
      <c r="O847" s="127" t="s">
        <v>457</v>
      </c>
      <c r="P847" s="128">
        <v>0</v>
      </c>
      <c r="Q847" s="128">
        <v>880758.2</v>
      </c>
      <c r="R847" s="128">
        <v>0</v>
      </c>
      <c r="S847" s="128">
        <v>0</v>
      </c>
      <c r="T847" s="128">
        <v>0</v>
      </c>
      <c r="U847" s="128">
        <v>880758.2</v>
      </c>
      <c r="V847" s="128">
        <v>0</v>
      </c>
      <c r="W847" s="128">
        <v>880758.2</v>
      </c>
      <c r="X847" s="128">
        <v>0</v>
      </c>
      <c r="Y847" s="128">
        <v>0</v>
      </c>
      <c r="Z847" s="128">
        <v>0</v>
      </c>
      <c r="AA847" s="128">
        <v>880758.2</v>
      </c>
      <c r="AB847" s="126">
        <f t="shared" si="95"/>
        <v>-8.8075819999999999E-2</v>
      </c>
      <c r="AC847" s="122" t="s">
        <v>1838</v>
      </c>
      <c r="AD847" s="123">
        <f t="shared" si="91"/>
        <v>5.1915238519999996</v>
      </c>
    </row>
    <row r="848" spans="1:30" ht="12.75" hidden="1" customHeight="1">
      <c r="A848" s="125" t="str">
        <f t="shared" si="92"/>
        <v>LIC33Other Expenses-RG</v>
      </c>
      <c r="B848" s="125">
        <f>+IFERROR(VLOOKUP(L848,'TB mapping'!A:D,4,0),0)</f>
        <v>0</v>
      </c>
      <c r="C848" s="125">
        <f>+IFERROR(VLOOKUP(L848,'TB mapping'!A:C,3,0),0)</f>
        <v>6.3</v>
      </c>
      <c r="D848" s="125" t="str">
        <f t="shared" si="93"/>
        <v>LIC330</v>
      </c>
      <c r="E848" s="125" t="str">
        <f t="shared" si="94"/>
        <v>LIC336.3</v>
      </c>
      <c r="F848" s="158" t="str">
        <f>+VLOOKUP(H848,'code mapping'!A:C,3,0)</f>
        <v>LIC33</v>
      </c>
      <c r="G848" s="127" t="s">
        <v>453</v>
      </c>
      <c r="H848" s="127" t="s">
        <v>454</v>
      </c>
      <c r="I848" s="127" t="s">
        <v>57</v>
      </c>
      <c r="J848" s="128">
        <v>550000</v>
      </c>
      <c r="K848" s="127" t="s">
        <v>550</v>
      </c>
      <c r="L848" s="151">
        <v>553191</v>
      </c>
      <c r="M848" s="128">
        <v>0</v>
      </c>
      <c r="N848" s="127" t="s">
        <v>562</v>
      </c>
      <c r="O848" s="127" t="s">
        <v>457</v>
      </c>
      <c r="P848" s="128">
        <v>-1803153.14</v>
      </c>
      <c r="Q848" s="128">
        <v>0</v>
      </c>
      <c r="R848" s="128">
        <v>0</v>
      </c>
      <c r="S848" s="128">
        <v>0</v>
      </c>
      <c r="T848" s="128">
        <v>-1803153.14</v>
      </c>
      <c r="U848" s="128">
        <v>0</v>
      </c>
      <c r="V848" s="128">
        <v>-1803153.14</v>
      </c>
      <c r="W848" s="128">
        <v>0</v>
      </c>
      <c r="X848" s="128">
        <v>0</v>
      </c>
      <c r="Y848" s="128">
        <v>0</v>
      </c>
      <c r="Z848" s="128">
        <v>-1803153.14</v>
      </c>
      <c r="AA848" s="128">
        <v>0</v>
      </c>
      <c r="AB848" s="126">
        <f t="shared" si="95"/>
        <v>0.18031531399999998</v>
      </c>
      <c r="AC848" s="122" t="s">
        <v>1838</v>
      </c>
      <c r="AD848" s="123">
        <f t="shared" si="91"/>
        <v>5.1915238519999996</v>
      </c>
    </row>
    <row r="849" spans="1:30" ht="12.75" hidden="1" customHeight="1">
      <c r="A849" s="125" t="str">
        <f t="shared" si="92"/>
        <v>LIC33Other Expenses-RD</v>
      </c>
      <c r="B849" s="125">
        <f>+IFERROR(VLOOKUP(L849,'TB mapping'!A:D,4,0),0)</f>
        <v>0</v>
      </c>
      <c r="C849" s="125">
        <f>+IFERROR(VLOOKUP(L849,'TB mapping'!A:C,3,0),0)</f>
        <v>6.3</v>
      </c>
      <c r="D849" s="125" t="str">
        <f t="shared" si="93"/>
        <v>LIC330</v>
      </c>
      <c r="E849" s="125" t="str">
        <f t="shared" si="94"/>
        <v>LIC336.3</v>
      </c>
      <c r="F849" s="158" t="str">
        <f>+VLOOKUP(H849,'code mapping'!A:C,3,0)</f>
        <v>LIC33</v>
      </c>
      <c r="G849" s="127" t="s">
        <v>453</v>
      </c>
      <c r="H849" s="127" t="s">
        <v>454</v>
      </c>
      <c r="I849" s="127" t="s">
        <v>57</v>
      </c>
      <c r="J849" s="128">
        <v>550000</v>
      </c>
      <c r="K849" s="127" t="s">
        <v>550</v>
      </c>
      <c r="L849" s="151">
        <v>553192</v>
      </c>
      <c r="M849" s="128">
        <v>0</v>
      </c>
      <c r="N849" s="127" t="s">
        <v>563</v>
      </c>
      <c r="O849" s="127" t="s">
        <v>457</v>
      </c>
      <c r="P849" s="128">
        <v>-102547.98</v>
      </c>
      <c r="Q849" s="128">
        <v>0</v>
      </c>
      <c r="R849" s="128">
        <v>0</v>
      </c>
      <c r="S849" s="128">
        <v>0</v>
      </c>
      <c r="T849" s="128">
        <v>-102547.98</v>
      </c>
      <c r="U849" s="128">
        <v>0</v>
      </c>
      <c r="V849" s="128">
        <v>-102547.98</v>
      </c>
      <c r="W849" s="128">
        <v>0</v>
      </c>
      <c r="X849" s="128">
        <v>0</v>
      </c>
      <c r="Y849" s="128">
        <v>0</v>
      </c>
      <c r="Z849" s="128">
        <v>-102547.98</v>
      </c>
      <c r="AA849" s="128">
        <v>0</v>
      </c>
      <c r="AB849" s="126">
        <f t="shared" si="95"/>
        <v>1.0254797999999999E-2</v>
      </c>
      <c r="AC849" s="122" t="s">
        <v>1838</v>
      </c>
      <c r="AD849" s="123">
        <f t="shared" si="91"/>
        <v>5.1915238519999996</v>
      </c>
    </row>
    <row r="850" spans="1:30" ht="12.75" hidden="1" customHeight="1">
      <c r="A850" s="125" t="str">
        <f t="shared" si="92"/>
        <v>LIC33Other Exp - Brok - Indirect</v>
      </c>
      <c r="B850" s="125">
        <f>+IFERROR(VLOOKUP(L850,'TB mapping'!A:D,4,0),0)</f>
        <v>0</v>
      </c>
      <c r="C850" s="125">
        <f>+IFERROR(VLOOKUP(L850,'TB mapping'!A:C,3,0),0)</f>
        <v>6.3</v>
      </c>
      <c r="D850" s="125" t="str">
        <f t="shared" si="93"/>
        <v>LIC330</v>
      </c>
      <c r="E850" s="125" t="str">
        <f t="shared" si="94"/>
        <v>LIC336.3</v>
      </c>
      <c r="F850" s="158" t="str">
        <f>+VLOOKUP(H850,'code mapping'!A:C,3,0)</f>
        <v>LIC33</v>
      </c>
      <c r="G850" s="127" t="s">
        <v>453</v>
      </c>
      <c r="H850" s="127" t="s">
        <v>454</v>
      </c>
      <c r="I850" s="127" t="s">
        <v>57</v>
      </c>
      <c r="J850" s="128">
        <v>550000</v>
      </c>
      <c r="K850" s="127" t="s">
        <v>550</v>
      </c>
      <c r="L850" s="151">
        <v>553202</v>
      </c>
      <c r="M850" s="128">
        <v>0</v>
      </c>
      <c r="N850" s="127" t="s">
        <v>564</v>
      </c>
      <c r="O850" s="127" t="s">
        <v>457</v>
      </c>
      <c r="P850" s="128">
        <v>-6809744.9900000002</v>
      </c>
      <c r="Q850" s="128">
        <v>0</v>
      </c>
      <c r="R850" s="128">
        <v>0</v>
      </c>
      <c r="S850" s="128">
        <v>0</v>
      </c>
      <c r="T850" s="128">
        <v>-6809744.9900000002</v>
      </c>
      <c r="U850" s="128">
        <v>0</v>
      </c>
      <c r="V850" s="128">
        <v>-6809744.9900000002</v>
      </c>
      <c r="W850" s="128">
        <v>0</v>
      </c>
      <c r="X850" s="128">
        <v>0</v>
      </c>
      <c r="Y850" s="128">
        <v>0</v>
      </c>
      <c r="Z850" s="128">
        <v>-6809744.9900000002</v>
      </c>
      <c r="AA850" s="128">
        <v>0</v>
      </c>
      <c r="AB850" s="126">
        <f t="shared" si="95"/>
        <v>0.68097449900000007</v>
      </c>
      <c r="AC850" s="122" t="s">
        <v>1838</v>
      </c>
      <c r="AD850" s="123">
        <f t="shared" si="91"/>
        <v>5.1915238519999996</v>
      </c>
    </row>
    <row r="851" spans="1:30" ht="12.75" hidden="1" customHeight="1">
      <c r="A851" s="125" t="str">
        <f t="shared" si="92"/>
        <v>LIC33Brokerage/Dist Exps</v>
      </c>
      <c r="B851" s="125">
        <f>+IFERROR(VLOOKUP(L851,'TB mapping'!A:D,4,0),0)</f>
        <v>0</v>
      </c>
      <c r="C851" s="125">
        <f>+IFERROR(VLOOKUP(L851,'TB mapping'!A:C,3,0),0)</f>
        <v>6.3</v>
      </c>
      <c r="D851" s="125" t="str">
        <f t="shared" si="93"/>
        <v>LIC330</v>
      </c>
      <c r="E851" s="125" t="str">
        <f t="shared" si="94"/>
        <v>LIC336.3</v>
      </c>
      <c r="F851" s="158" t="str">
        <f>+VLOOKUP(H851,'code mapping'!A:C,3,0)</f>
        <v>LIC33</v>
      </c>
      <c r="G851" s="127" t="s">
        <v>453</v>
      </c>
      <c r="H851" s="127" t="s">
        <v>454</v>
      </c>
      <c r="I851" s="127" t="s">
        <v>57</v>
      </c>
      <c r="J851" s="128">
        <v>550000</v>
      </c>
      <c r="K851" s="127" t="s">
        <v>550</v>
      </c>
      <c r="L851" s="151">
        <v>553208</v>
      </c>
      <c r="M851" s="128">
        <v>0</v>
      </c>
      <c r="N851" s="127" t="s">
        <v>565</v>
      </c>
      <c r="O851" s="127" t="s">
        <v>457</v>
      </c>
      <c r="P851" s="128">
        <v>0</v>
      </c>
      <c r="Q851" s="128">
        <v>1700052.78</v>
      </c>
      <c r="R851" s="128">
        <v>0</v>
      </c>
      <c r="S851" s="128">
        <v>0</v>
      </c>
      <c r="T851" s="128">
        <v>0</v>
      </c>
      <c r="U851" s="128">
        <v>1700052.78</v>
      </c>
      <c r="V851" s="128">
        <v>0</v>
      </c>
      <c r="W851" s="128">
        <v>1700052.78</v>
      </c>
      <c r="X851" s="128">
        <v>0</v>
      </c>
      <c r="Y851" s="128">
        <v>0</v>
      </c>
      <c r="Z851" s="128">
        <v>0</v>
      </c>
      <c r="AA851" s="128">
        <v>1700052.78</v>
      </c>
      <c r="AB851" s="126">
        <f t="shared" si="95"/>
        <v>-0.17000527800000001</v>
      </c>
      <c r="AC851" s="122" t="s">
        <v>1838</v>
      </c>
      <c r="AD851" s="123">
        <f t="shared" si="91"/>
        <v>5.1915238519999996</v>
      </c>
    </row>
    <row r="852" spans="1:30" ht="12.75" hidden="1" customHeight="1">
      <c r="A852" s="125" t="str">
        <f t="shared" si="92"/>
        <v>LIC33Internal Audit Fee</v>
      </c>
      <c r="B852" s="125">
        <f>+IFERROR(VLOOKUP(L852,'TB mapping'!A:D,4,0),0)</f>
        <v>0</v>
      </c>
      <c r="C852" s="125">
        <f>+IFERROR(VLOOKUP(L852,'TB mapping'!A:C,3,0),0)</f>
        <v>6.3</v>
      </c>
      <c r="D852" s="125" t="str">
        <f t="shared" si="93"/>
        <v>LIC330</v>
      </c>
      <c r="E852" s="125" t="str">
        <f t="shared" si="94"/>
        <v>LIC336.3</v>
      </c>
      <c r="F852" s="158" t="str">
        <f>+VLOOKUP(H852,'code mapping'!A:C,3,0)</f>
        <v>LIC33</v>
      </c>
      <c r="G852" s="127" t="s">
        <v>453</v>
      </c>
      <c r="H852" s="127" t="s">
        <v>454</v>
      </c>
      <c r="I852" s="127" t="s">
        <v>57</v>
      </c>
      <c r="J852" s="128">
        <v>550000</v>
      </c>
      <c r="K852" s="127" t="s">
        <v>550</v>
      </c>
      <c r="L852" s="151">
        <v>553213</v>
      </c>
      <c r="M852" s="128">
        <v>0</v>
      </c>
      <c r="N852" s="127" t="s">
        <v>566</v>
      </c>
      <c r="O852" s="127" t="s">
        <v>457</v>
      </c>
      <c r="P852" s="128">
        <v>-34758.25</v>
      </c>
      <c r="Q852" s="128">
        <v>0</v>
      </c>
      <c r="R852" s="128">
        <v>0</v>
      </c>
      <c r="S852" s="128">
        <v>0</v>
      </c>
      <c r="T852" s="128">
        <v>-34758.25</v>
      </c>
      <c r="U852" s="128">
        <v>0</v>
      </c>
      <c r="V852" s="128">
        <v>-34758.25</v>
      </c>
      <c r="W852" s="128">
        <v>0</v>
      </c>
      <c r="X852" s="128">
        <v>0</v>
      </c>
      <c r="Y852" s="128">
        <v>0</v>
      </c>
      <c r="Z852" s="128">
        <v>-34758.25</v>
      </c>
      <c r="AA852" s="128">
        <v>0</v>
      </c>
      <c r="AB852" s="126">
        <f t="shared" si="95"/>
        <v>3.4758250000000001E-3</v>
      </c>
      <c r="AC852" s="122" t="s">
        <v>1838</v>
      </c>
      <c r="AD852" s="123">
        <f t="shared" si="91"/>
        <v>5.1915238519999996</v>
      </c>
    </row>
    <row r="853" spans="1:30" ht="12.75" hidden="1" customHeight="1">
      <c r="A853" s="125" t="str">
        <f t="shared" si="92"/>
        <v>LIC33Other Expenses-GDP</v>
      </c>
      <c r="B853" s="125">
        <f>+IFERROR(VLOOKUP(L853,'TB mapping'!A:D,4,0),0)</f>
        <v>0</v>
      </c>
      <c r="C853" s="125">
        <f>+IFERROR(VLOOKUP(L853,'TB mapping'!A:C,3,0),0)</f>
        <v>6.3</v>
      </c>
      <c r="D853" s="125" t="str">
        <f t="shared" si="93"/>
        <v>LIC330</v>
      </c>
      <c r="E853" s="125" t="str">
        <f t="shared" si="94"/>
        <v>LIC336.3</v>
      </c>
      <c r="F853" s="158" t="str">
        <f>+VLOOKUP(H853,'code mapping'!A:C,3,0)</f>
        <v>LIC33</v>
      </c>
      <c r="G853" s="127" t="s">
        <v>453</v>
      </c>
      <c r="H853" s="127" t="s">
        <v>454</v>
      </c>
      <c r="I853" s="127" t="s">
        <v>57</v>
      </c>
      <c r="J853" s="128">
        <v>550000</v>
      </c>
      <c r="K853" s="127" t="s">
        <v>550</v>
      </c>
      <c r="L853" s="151">
        <v>553329</v>
      </c>
      <c r="M853" s="128">
        <v>0</v>
      </c>
      <c r="N853" s="127" t="s">
        <v>567</v>
      </c>
      <c r="O853" s="127" t="s">
        <v>457</v>
      </c>
      <c r="P853" s="128">
        <v>-1364749.33</v>
      </c>
      <c r="Q853" s="128">
        <v>0</v>
      </c>
      <c r="R853" s="128">
        <v>0</v>
      </c>
      <c r="S853" s="128">
        <v>0</v>
      </c>
      <c r="T853" s="128">
        <v>-1364749.33</v>
      </c>
      <c r="U853" s="128">
        <v>0</v>
      </c>
      <c r="V853" s="128">
        <v>-1364749.33</v>
      </c>
      <c r="W853" s="128">
        <v>0</v>
      </c>
      <c r="X853" s="128">
        <v>0</v>
      </c>
      <c r="Y853" s="128">
        <v>0</v>
      </c>
      <c r="Z853" s="128">
        <v>-1364749.33</v>
      </c>
      <c r="AA853" s="128">
        <v>0</v>
      </c>
      <c r="AB853" s="126">
        <f t="shared" si="95"/>
        <v>0.13647493300000002</v>
      </c>
      <c r="AC853" s="122" t="s">
        <v>1838</v>
      </c>
      <c r="AD853" s="123">
        <f t="shared" ref="AD853:AD870" si="96">SUMIF(E:E,E853,AB:AB)</f>
        <v>5.1915238519999996</v>
      </c>
    </row>
    <row r="854" spans="1:30" ht="12.75" hidden="1" customHeight="1">
      <c r="A854" s="125" t="str">
        <f t="shared" si="92"/>
        <v>LIC33Other Expenses-DDP</v>
      </c>
      <c r="B854" s="125">
        <f>+IFERROR(VLOOKUP(L854,'TB mapping'!A:D,4,0),0)</f>
        <v>0</v>
      </c>
      <c r="C854" s="125">
        <f>+IFERROR(VLOOKUP(L854,'TB mapping'!A:C,3,0),0)</f>
        <v>6.3</v>
      </c>
      <c r="D854" s="125" t="str">
        <f t="shared" si="93"/>
        <v>LIC330</v>
      </c>
      <c r="E854" s="125" t="str">
        <f t="shared" si="94"/>
        <v>LIC336.3</v>
      </c>
      <c r="F854" s="158" t="str">
        <f>+VLOOKUP(H854,'code mapping'!A:C,3,0)</f>
        <v>LIC33</v>
      </c>
      <c r="G854" s="127" t="s">
        <v>453</v>
      </c>
      <c r="H854" s="127" t="s">
        <v>454</v>
      </c>
      <c r="I854" s="127" t="s">
        <v>57</v>
      </c>
      <c r="J854" s="128">
        <v>550000</v>
      </c>
      <c r="K854" s="127" t="s">
        <v>550</v>
      </c>
      <c r="L854" s="151">
        <v>553330</v>
      </c>
      <c r="M854" s="128">
        <v>0</v>
      </c>
      <c r="N854" s="127" t="s">
        <v>568</v>
      </c>
      <c r="O854" s="127" t="s">
        <v>457</v>
      </c>
      <c r="P854" s="128">
        <v>-200.24</v>
      </c>
      <c r="Q854" s="128">
        <v>0</v>
      </c>
      <c r="R854" s="128">
        <v>0</v>
      </c>
      <c r="S854" s="128">
        <v>0</v>
      </c>
      <c r="T854" s="128">
        <v>-200.24</v>
      </c>
      <c r="U854" s="128">
        <v>0</v>
      </c>
      <c r="V854" s="128">
        <v>-200.24</v>
      </c>
      <c r="W854" s="128">
        <v>0</v>
      </c>
      <c r="X854" s="128">
        <v>0</v>
      </c>
      <c r="Y854" s="128">
        <v>0</v>
      </c>
      <c r="Z854" s="128">
        <v>-200.24</v>
      </c>
      <c r="AA854" s="128">
        <v>0</v>
      </c>
      <c r="AB854" s="126">
        <f t="shared" si="95"/>
        <v>2.0024E-5</v>
      </c>
      <c r="AC854" s="122" t="s">
        <v>1838</v>
      </c>
      <c r="AD854" s="123">
        <f t="shared" si="96"/>
        <v>5.1915238519999996</v>
      </c>
    </row>
    <row r="855" spans="1:30" ht="12.75" hidden="1" customHeight="1">
      <c r="A855" s="125" t="str">
        <f t="shared" si="92"/>
        <v>LIC33Inv Educ Fund Expense - Amfi</v>
      </c>
      <c r="B855" s="125">
        <f>+IFERROR(VLOOKUP(L855,'TB mapping'!A:D,4,0),0)</f>
        <v>0</v>
      </c>
      <c r="C855" s="125">
        <f>+IFERROR(VLOOKUP(L855,'TB mapping'!A:C,3,0),0)</f>
        <v>6.3</v>
      </c>
      <c r="D855" s="125" t="str">
        <f t="shared" si="93"/>
        <v>LIC330</v>
      </c>
      <c r="E855" s="125" t="str">
        <f t="shared" si="94"/>
        <v>LIC336.3</v>
      </c>
      <c r="F855" s="158" t="str">
        <f>+VLOOKUP(H855,'code mapping'!A:C,3,0)</f>
        <v>LIC33</v>
      </c>
      <c r="G855" s="127" t="s">
        <v>453</v>
      </c>
      <c r="H855" s="127" t="s">
        <v>454</v>
      </c>
      <c r="I855" s="127" t="s">
        <v>57</v>
      </c>
      <c r="J855" s="128">
        <v>550000</v>
      </c>
      <c r="K855" s="127" t="s">
        <v>550</v>
      </c>
      <c r="L855" s="151">
        <v>554526</v>
      </c>
      <c r="M855" s="128">
        <v>0</v>
      </c>
      <c r="N855" s="127" t="s">
        <v>569</v>
      </c>
      <c r="O855" s="127" t="s">
        <v>457</v>
      </c>
      <c r="P855" s="128">
        <v>-477714.03</v>
      </c>
      <c r="Q855" s="128">
        <v>0</v>
      </c>
      <c r="R855" s="128">
        <v>0</v>
      </c>
      <c r="S855" s="128">
        <v>0</v>
      </c>
      <c r="T855" s="128">
        <v>-477714.03</v>
      </c>
      <c r="U855" s="128">
        <v>0</v>
      </c>
      <c r="V855" s="128">
        <v>-477714.03</v>
      </c>
      <c r="W855" s="128">
        <v>0</v>
      </c>
      <c r="X855" s="128">
        <v>0</v>
      </c>
      <c r="Y855" s="128">
        <v>0</v>
      </c>
      <c r="Z855" s="128">
        <v>-477714.03</v>
      </c>
      <c r="AA855" s="128">
        <v>0</v>
      </c>
      <c r="AB855" s="126">
        <f t="shared" si="95"/>
        <v>4.7771403000000004E-2</v>
      </c>
      <c r="AC855" s="122" t="s">
        <v>1838</v>
      </c>
      <c r="AD855" s="123">
        <f t="shared" si="96"/>
        <v>5.1915238519999996</v>
      </c>
    </row>
    <row r="856" spans="1:30" ht="12.75" hidden="1" customHeight="1">
      <c r="A856" s="125" t="str">
        <f t="shared" si="92"/>
        <v>LIC33Transaction Processing Charges</v>
      </c>
      <c r="B856" s="125">
        <f>+IFERROR(VLOOKUP(L856,'TB mapping'!A:D,4,0),0)</f>
        <v>0</v>
      </c>
      <c r="C856" s="125">
        <f>+IFERROR(VLOOKUP(L856,'TB mapping'!A:C,3,0),0)</f>
        <v>6.3</v>
      </c>
      <c r="D856" s="125" t="str">
        <f t="shared" si="93"/>
        <v>LIC330</v>
      </c>
      <c r="E856" s="125" t="str">
        <f t="shared" si="94"/>
        <v>LIC336.3</v>
      </c>
      <c r="F856" s="158" t="str">
        <f>+VLOOKUP(H856,'code mapping'!A:C,3,0)</f>
        <v>LIC33</v>
      </c>
      <c r="G856" s="127" t="s">
        <v>453</v>
      </c>
      <c r="H856" s="127" t="s">
        <v>454</v>
      </c>
      <c r="I856" s="127" t="s">
        <v>57</v>
      </c>
      <c r="J856" s="128">
        <v>550000</v>
      </c>
      <c r="K856" s="127" t="s">
        <v>550</v>
      </c>
      <c r="L856" s="151">
        <v>554527</v>
      </c>
      <c r="M856" s="128">
        <v>0</v>
      </c>
      <c r="N856" s="127" t="s">
        <v>570</v>
      </c>
      <c r="O856" s="127" t="s">
        <v>457</v>
      </c>
      <c r="P856" s="128">
        <v>-284</v>
      </c>
      <c r="Q856" s="128">
        <v>0</v>
      </c>
      <c r="R856" s="128">
        <v>0</v>
      </c>
      <c r="S856" s="128">
        <v>0</v>
      </c>
      <c r="T856" s="128">
        <v>-284</v>
      </c>
      <c r="U856" s="128">
        <v>0</v>
      </c>
      <c r="V856" s="128">
        <v>-284</v>
      </c>
      <c r="W856" s="128">
        <v>0</v>
      </c>
      <c r="X856" s="128">
        <v>0</v>
      </c>
      <c r="Y856" s="128">
        <v>0</v>
      </c>
      <c r="Z856" s="128">
        <v>-284</v>
      </c>
      <c r="AA856" s="128">
        <v>0</v>
      </c>
      <c r="AB856" s="126">
        <f t="shared" si="95"/>
        <v>2.8399999999999999E-5</v>
      </c>
      <c r="AC856" s="122" t="s">
        <v>1838</v>
      </c>
      <c r="AD856" s="123">
        <f t="shared" si="96"/>
        <v>5.1915238519999996</v>
      </c>
    </row>
    <row r="857" spans="1:30" ht="12.75" hidden="1" customHeight="1">
      <c r="A857" s="125" t="str">
        <f t="shared" si="92"/>
        <v>LIC33Client Servicing Expenes</v>
      </c>
      <c r="B857" s="125">
        <f>+IFERROR(VLOOKUP(L857,'TB mapping'!A:D,4,0),0)</f>
        <v>0</v>
      </c>
      <c r="C857" s="125">
        <f>+IFERROR(VLOOKUP(L857,'TB mapping'!A:C,3,0),0)</f>
        <v>6.3</v>
      </c>
      <c r="D857" s="125" t="str">
        <f t="shared" si="93"/>
        <v>LIC330</v>
      </c>
      <c r="E857" s="125" t="str">
        <f t="shared" si="94"/>
        <v>LIC336.3</v>
      </c>
      <c r="F857" s="158" t="str">
        <f>+VLOOKUP(H857,'code mapping'!A:C,3,0)</f>
        <v>LIC33</v>
      </c>
      <c r="G857" s="127" t="s">
        <v>453</v>
      </c>
      <c r="H857" s="127" t="s">
        <v>454</v>
      </c>
      <c r="I857" s="127" t="s">
        <v>57</v>
      </c>
      <c r="J857" s="128">
        <v>550000</v>
      </c>
      <c r="K857" s="127" t="s">
        <v>550</v>
      </c>
      <c r="L857" s="151">
        <v>555157</v>
      </c>
      <c r="M857" s="128">
        <v>0</v>
      </c>
      <c r="N857" s="127" t="s">
        <v>571</v>
      </c>
      <c r="O857" s="127" t="s">
        <v>457</v>
      </c>
      <c r="P857" s="128">
        <v>-9465379.4299999997</v>
      </c>
      <c r="Q857" s="128">
        <v>0</v>
      </c>
      <c r="R857" s="128">
        <v>0</v>
      </c>
      <c r="S857" s="128">
        <v>0</v>
      </c>
      <c r="T857" s="128">
        <v>-9465379.4299999997</v>
      </c>
      <c r="U857" s="128">
        <v>0</v>
      </c>
      <c r="V857" s="128">
        <v>-9465379.4299999997</v>
      </c>
      <c r="W857" s="128">
        <v>0</v>
      </c>
      <c r="X857" s="128">
        <v>0</v>
      </c>
      <c r="Y857" s="128">
        <v>0</v>
      </c>
      <c r="Z857" s="128">
        <v>-9465379.4299999997</v>
      </c>
      <c r="AA857" s="128">
        <v>0</v>
      </c>
      <c r="AB857" s="126">
        <f t="shared" si="95"/>
        <v>0.94653794299999994</v>
      </c>
      <c r="AC857" s="122" t="s">
        <v>1838</v>
      </c>
      <c r="AD857" s="123">
        <f t="shared" si="96"/>
        <v>5.1915238519999996</v>
      </c>
    </row>
    <row r="858" spans="1:30" ht="12.75" hidden="1" customHeight="1">
      <c r="A858" s="125" t="str">
        <f t="shared" si="92"/>
        <v>LIC33Management Fee-Reclassfication</v>
      </c>
      <c r="B858" s="125">
        <f>+IFERROR(VLOOKUP(L858,'TB mapping'!A:D,4,0),0)</f>
        <v>6.1</v>
      </c>
      <c r="C858" s="125">
        <f>+IFERROR(VLOOKUP(L858,'TB mapping'!A:C,3,0),0)</f>
        <v>6.3</v>
      </c>
      <c r="D858" s="125" t="str">
        <f t="shared" si="93"/>
        <v>LIC336.1</v>
      </c>
      <c r="E858" s="125" t="str">
        <f t="shared" si="94"/>
        <v>LIC336.3</v>
      </c>
      <c r="F858" s="158" t="str">
        <f>+VLOOKUP(H858,'code mapping'!A:C,3,0)</f>
        <v>LIC33</v>
      </c>
      <c r="G858" s="127" t="s">
        <v>453</v>
      </c>
      <c r="H858" s="127" t="s">
        <v>454</v>
      </c>
      <c r="I858" s="127" t="s">
        <v>57</v>
      </c>
      <c r="J858" s="128">
        <v>550000</v>
      </c>
      <c r="K858" s="127" t="s">
        <v>550</v>
      </c>
      <c r="L858" s="151">
        <v>555274</v>
      </c>
      <c r="M858" s="128">
        <v>0</v>
      </c>
      <c r="N858" s="127" t="s">
        <v>583</v>
      </c>
      <c r="O858" s="127" t="s">
        <v>457</v>
      </c>
      <c r="P858" s="128">
        <v>-1016949.52</v>
      </c>
      <c r="Q858" s="128">
        <v>0</v>
      </c>
      <c r="R858" s="128">
        <v>0</v>
      </c>
      <c r="S858" s="128">
        <v>0</v>
      </c>
      <c r="T858" s="128">
        <v>-1016949.52</v>
      </c>
      <c r="U858" s="128">
        <v>0</v>
      </c>
      <c r="V858" s="128">
        <v>-1016949.52</v>
      </c>
      <c r="W858" s="128">
        <v>0</v>
      </c>
      <c r="X858" s="128">
        <v>0</v>
      </c>
      <c r="Y858" s="128">
        <v>0</v>
      </c>
      <c r="Z858" s="128">
        <v>-1016949.52</v>
      </c>
      <c r="AA858" s="128">
        <v>0</v>
      </c>
      <c r="AB858" s="126">
        <f t="shared" si="95"/>
        <v>0.10169495200000001</v>
      </c>
      <c r="AC858" s="122" t="s">
        <v>1838</v>
      </c>
      <c r="AD858" s="123">
        <f t="shared" si="96"/>
        <v>5.1915238519999996</v>
      </c>
    </row>
    <row r="859" spans="1:30" ht="12.75" hidden="1" customHeight="1">
      <c r="A859" s="125" t="str">
        <f t="shared" si="92"/>
        <v>LIC33CGST on Reclassify of Exp</v>
      </c>
      <c r="B859" s="125">
        <f>+IFERROR(VLOOKUP(L859,'TB mapping'!A:D,4,0),0)</f>
        <v>0</v>
      </c>
      <c r="C859" s="125">
        <f>+IFERROR(VLOOKUP(L859,'TB mapping'!A:C,3,0),0)</f>
        <v>6.3</v>
      </c>
      <c r="D859" s="125" t="str">
        <f t="shared" si="93"/>
        <v>LIC330</v>
      </c>
      <c r="E859" s="125" t="str">
        <f t="shared" si="94"/>
        <v>LIC336.3</v>
      </c>
      <c r="F859" s="158" t="str">
        <f>+VLOOKUP(H859,'code mapping'!A:C,3,0)</f>
        <v>LIC33</v>
      </c>
      <c r="G859" s="127" t="s">
        <v>453</v>
      </c>
      <c r="H859" s="127" t="s">
        <v>454</v>
      </c>
      <c r="I859" s="127" t="s">
        <v>57</v>
      </c>
      <c r="J859" s="128">
        <v>550000</v>
      </c>
      <c r="K859" s="127" t="s">
        <v>550</v>
      </c>
      <c r="L859" s="151">
        <v>555276</v>
      </c>
      <c r="M859" s="128">
        <v>0</v>
      </c>
      <c r="N859" s="127" t="s">
        <v>572</v>
      </c>
      <c r="O859" s="127" t="s">
        <v>457</v>
      </c>
      <c r="P859" s="128">
        <v>-15254.24</v>
      </c>
      <c r="Q859" s="128">
        <v>0</v>
      </c>
      <c r="R859" s="128">
        <v>0</v>
      </c>
      <c r="S859" s="128">
        <v>0</v>
      </c>
      <c r="T859" s="128">
        <v>-15254.24</v>
      </c>
      <c r="U859" s="128">
        <v>0</v>
      </c>
      <c r="V859" s="128">
        <v>-15254.24</v>
      </c>
      <c r="W859" s="128">
        <v>0</v>
      </c>
      <c r="X859" s="128">
        <v>0</v>
      </c>
      <c r="Y859" s="128">
        <v>0</v>
      </c>
      <c r="Z859" s="128">
        <v>-15254.24</v>
      </c>
      <c r="AA859" s="128">
        <v>0</v>
      </c>
      <c r="AB859" s="126">
        <f t="shared" si="95"/>
        <v>1.5254240000000001E-3</v>
      </c>
      <c r="AC859" s="122" t="s">
        <v>1838</v>
      </c>
      <c r="AD859" s="123">
        <f t="shared" si="96"/>
        <v>5.1915238519999996</v>
      </c>
    </row>
    <row r="860" spans="1:30" ht="12.75" hidden="1" customHeight="1">
      <c r="A860" s="125" t="str">
        <f t="shared" si="92"/>
        <v>LIC33SGST on Reclassify of Exp</v>
      </c>
      <c r="B860" s="125">
        <f>+IFERROR(VLOOKUP(L860,'TB mapping'!A:D,4,0),0)</f>
        <v>0</v>
      </c>
      <c r="C860" s="125">
        <f>+IFERROR(VLOOKUP(L860,'TB mapping'!A:C,3,0),0)</f>
        <v>6.3</v>
      </c>
      <c r="D860" s="125" t="str">
        <f t="shared" si="93"/>
        <v>LIC330</v>
      </c>
      <c r="E860" s="125" t="str">
        <f t="shared" si="94"/>
        <v>LIC336.3</v>
      </c>
      <c r="F860" s="158" t="str">
        <f>+VLOOKUP(H860,'code mapping'!A:C,3,0)</f>
        <v>LIC33</v>
      </c>
      <c r="G860" s="127" t="s">
        <v>453</v>
      </c>
      <c r="H860" s="127" t="s">
        <v>454</v>
      </c>
      <c r="I860" s="127" t="s">
        <v>57</v>
      </c>
      <c r="J860" s="128">
        <v>550000</v>
      </c>
      <c r="K860" s="127" t="s">
        <v>550</v>
      </c>
      <c r="L860" s="151">
        <v>555277</v>
      </c>
      <c r="M860" s="128">
        <v>0</v>
      </c>
      <c r="N860" s="127" t="s">
        <v>573</v>
      </c>
      <c r="O860" s="127" t="s">
        <v>457</v>
      </c>
      <c r="P860" s="128">
        <v>-15254.24</v>
      </c>
      <c r="Q860" s="128">
        <v>0</v>
      </c>
      <c r="R860" s="128">
        <v>0</v>
      </c>
      <c r="S860" s="128">
        <v>0</v>
      </c>
      <c r="T860" s="128">
        <v>-15254.24</v>
      </c>
      <c r="U860" s="128">
        <v>0</v>
      </c>
      <c r="V860" s="128">
        <v>-15254.24</v>
      </c>
      <c r="W860" s="128">
        <v>0</v>
      </c>
      <c r="X860" s="128">
        <v>0</v>
      </c>
      <c r="Y860" s="128">
        <v>0</v>
      </c>
      <c r="Z860" s="128">
        <v>-15254.24</v>
      </c>
      <c r="AA860" s="128">
        <v>0</v>
      </c>
      <c r="AB860" s="126">
        <f t="shared" si="95"/>
        <v>1.5254240000000001E-3</v>
      </c>
      <c r="AC860" s="122" t="s">
        <v>1838</v>
      </c>
      <c r="AD860" s="123">
        <f t="shared" si="96"/>
        <v>5.1915238519999996</v>
      </c>
    </row>
    <row r="861" spans="1:30" ht="12.75" hidden="1" customHeight="1">
      <c r="A861" s="125" t="str">
        <f t="shared" si="92"/>
        <v>LIC33CGST on Mfees</v>
      </c>
      <c r="B861" s="125">
        <f>+IFERROR(VLOOKUP(L861,'TB mapping'!A:D,4,0),0)</f>
        <v>6.1</v>
      </c>
      <c r="C861" s="125">
        <f>+IFERROR(VLOOKUP(L861,'TB mapping'!A:C,3,0),0)</f>
        <v>6.3</v>
      </c>
      <c r="D861" s="125" t="str">
        <f t="shared" si="93"/>
        <v>LIC336.1</v>
      </c>
      <c r="E861" s="125" t="str">
        <f t="shared" si="94"/>
        <v>LIC336.3</v>
      </c>
      <c r="F861" s="158" t="str">
        <f>+VLOOKUP(H861,'code mapping'!A:C,3,0)</f>
        <v>LIC33</v>
      </c>
      <c r="G861" s="127" t="s">
        <v>453</v>
      </c>
      <c r="H861" s="127" t="s">
        <v>454</v>
      </c>
      <c r="I861" s="127" t="s">
        <v>57</v>
      </c>
      <c r="J861" s="128">
        <v>550000</v>
      </c>
      <c r="K861" s="127" t="s">
        <v>550</v>
      </c>
      <c r="L861" s="151">
        <v>555597</v>
      </c>
      <c r="M861" s="128">
        <v>0</v>
      </c>
      <c r="N861" s="127" t="s">
        <v>574</v>
      </c>
      <c r="O861" s="127" t="s">
        <v>457</v>
      </c>
      <c r="P861" s="128">
        <v>-1682676.15</v>
      </c>
      <c r="Q861" s="128">
        <v>0</v>
      </c>
      <c r="R861" s="128">
        <v>0</v>
      </c>
      <c r="S861" s="128">
        <v>0</v>
      </c>
      <c r="T861" s="128">
        <v>-1682676.15</v>
      </c>
      <c r="U861" s="128">
        <v>0</v>
      </c>
      <c r="V861" s="128">
        <v>-1682676.15</v>
      </c>
      <c r="W861" s="128">
        <v>0</v>
      </c>
      <c r="X861" s="128">
        <v>0</v>
      </c>
      <c r="Y861" s="128">
        <v>0</v>
      </c>
      <c r="Z861" s="128">
        <v>-1682676.15</v>
      </c>
      <c r="AA861" s="128">
        <v>0</v>
      </c>
      <c r="AB861" s="126">
        <f t="shared" si="95"/>
        <v>0.16826761499999998</v>
      </c>
      <c r="AC861" s="122" t="s">
        <v>1838</v>
      </c>
      <c r="AD861" s="123">
        <f t="shared" si="96"/>
        <v>5.1915238519999996</v>
      </c>
    </row>
    <row r="862" spans="1:30" ht="12.75" hidden="1" customHeight="1">
      <c r="A862" s="125" t="str">
        <f t="shared" si="92"/>
        <v>LIC33SGST on Mfees</v>
      </c>
      <c r="B862" s="125">
        <f>+IFERROR(VLOOKUP(L862,'TB mapping'!A:D,4,0),0)</f>
        <v>6.1</v>
      </c>
      <c r="C862" s="125">
        <f>+IFERROR(VLOOKUP(L862,'TB mapping'!A:C,3,0),0)</f>
        <v>6.3</v>
      </c>
      <c r="D862" s="125" t="str">
        <f t="shared" si="93"/>
        <v>LIC336.1</v>
      </c>
      <c r="E862" s="125" t="str">
        <f t="shared" si="94"/>
        <v>LIC336.3</v>
      </c>
      <c r="F862" s="158" t="str">
        <f>+VLOOKUP(H862,'code mapping'!A:C,3,0)</f>
        <v>LIC33</v>
      </c>
      <c r="G862" s="127" t="s">
        <v>453</v>
      </c>
      <c r="H862" s="127" t="s">
        <v>454</v>
      </c>
      <c r="I862" s="127" t="s">
        <v>57</v>
      </c>
      <c r="J862" s="128">
        <v>550000</v>
      </c>
      <c r="K862" s="127" t="s">
        <v>550</v>
      </c>
      <c r="L862" s="151">
        <v>555598</v>
      </c>
      <c r="M862" s="128">
        <v>0</v>
      </c>
      <c r="N862" s="127" t="s">
        <v>575</v>
      </c>
      <c r="O862" s="127" t="s">
        <v>457</v>
      </c>
      <c r="P862" s="128">
        <v>-1682676.05</v>
      </c>
      <c r="Q862" s="128">
        <v>0</v>
      </c>
      <c r="R862" s="128">
        <v>0</v>
      </c>
      <c r="S862" s="128">
        <v>0</v>
      </c>
      <c r="T862" s="128">
        <v>-1682676.05</v>
      </c>
      <c r="U862" s="128">
        <v>0</v>
      </c>
      <c r="V862" s="128">
        <v>-1682676.05</v>
      </c>
      <c r="W862" s="128">
        <v>0</v>
      </c>
      <c r="X862" s="128">
        <v>0</v>
      </c>
      <c r="Y862" s="128">
        <v>0</v>
      </c>
      <c r="Z862" s="128">
        <v>-1682676.05</v>
      </c>
      <c r="AA862" s="128">
        <v>0</v>
      </c>
      <c r="AB862" s="126">
        <f t="shared" si="95"/>
        <v>0.16826760500000001</v>
      </c>
      <c r="AC862" s="122" t="s">
        <v>1838</v>
      </c>
      <c r="AD862" s="123">
        <f t="shared" si="96"/>
        <v>5.1915238519999996</v>
      </c>
    </row>
    <row r="863" spans="1:30" ht="12.75" hidden="1" customHeight="1">
      <c r="A863" s="125" t="str">
        <f t="shared" si="92"/>
        <v>LIC33CGST on Mfees -GDP</v>
      </c>
      <c r="B863" s="125">
        <f>+IFERROR(VLOOKUP(L863,'TB mapping'!A:D,4,0),0)</f>
        <v>6.1</v>
      </c>
      <c r="C863" s="125">
        <f>+IFERROR(VLOOKUP(L863,'TB mapping'!A:C,3,0),0)</f>
        <v>6.3</v>
      </c>
      <c r="D863" s="125" t="str">
        <f t="shared" si="93"/>
        <v>LIC336.1</v>
      </c>
      <c r="E863" s="125" t="str">
        <f t="shared" si="94"/>
        <v>LIC336.3</v>
      </c>
      <c r="F863" s="158" t="str">
        <f>+VLOOKUP(H863,'code mapping'!A:C,3,0)</f>
        <v>LIC33</v>
      </c>
      <c r="G863" s="127" t="s">
        <v>453</v>
      </c>
      <c r="H863" s="127" t="s">
        <v>454</v>
      </c>
      <c r="I863" s="127" t="s">
        <v>57</v>
      </c>
      <c r="J863" s="128">
        <v>550000</v>
      </c>
      <c r="K863" s="127" t="s">
        <v>550</v>
      </c>
      <c r="L863" s="151">
        <v>555599</v>
      </c>
      <c r="M863" s="128">
        <v>0</v>
      </c>
      <c r="N863" s="127" t="s">
        <v>576</v>
      </c>
      <c r="O863" s="127" t="s">
        <v>457</v>
      </c>
      <c r="P863" s="128">
        <v>0</v>
      </c>
      <c r="Q863" s="128">
        <v>1074.76</v>
      </c>
      <c r="R863" s="128">
        <v>0</v>
      </c>
      <c r="S863" s="128">
        <v>0</v>
      </c>
      <c r="T863" s="128">
        <v>0</v>
      </c>
      <c r="U863" s="128">
        <v>1074.76</v>
      </c>
      <c r="V863" s="128">
        <v>0</v>
      </c>
      <c r="W863" s="128">
        <v>1074.76</v>
      </c>
      <c r="X863" s="128">
        <v>0</v>
      </c>
      <c r="Y863" s="128">
        <v>0</v>
      </c>
      <c r="Z863" s="128">
        <v>0</v>
      </c>
      <c r="AA863" s="128">
        <v>1074.76</v>
      </c>
      <c r="AB863" s="126">
        <f t="shared" si="95"/>
        <v>-1.07476E-4</v>
      </c>
      <c r="AC863" s="122" t="s">
        <v>1838</v>
      </c>
      <c r="AD863" s="123">
        <f t="shared" si="96"/>
        <v>5.1915238519999996</v>
      </c>
    </row>
    <row r="864" spans="1:30" ht="12.75" hidden="1" customHeight="1">
      <c r="A864" s="125" t="str">
        <f t="shared" si="92"/>
        <v>LIC33SGST on Mfees -GDP</v>
      </c>
      <c r="B864" s="125">
        <f>+IFERROR(VLOOKUP(L864,'TB mapping'!A:D,4,0),0)</f>
        <v>6.1</v>
      </c>
      <c r="C864" s="125">
        <f>+IFERROR(VLOOKUP(L864,'TB mapping'!A:C,3,0),0)</f>
        <v>6.3</v>
      </c>
      <c r="D864" s="125" t="str">
        <f t="shared" si="93"/>
        <v>LIC336.1</v>
      </c>
      <c r="E864" s="125" t="str">
        <f t="shared" si="94"/>
        <v>LIC336.3</v>
      </c>
      <c r="F864" s="158" t="str">
        <f>+VLOOKUP(H864,'code mapping'!A:C,3,0)</f>
        <v>LIC33</v>
      </c>
      <c r="G864" s="127" t="s">
        <v>453</v>
      </c>
      <c r="H864" s="127" t="s">
        <v>454</v>
      </c>
      <c r="I864" s="127" t="s">
        <v>57</v>
      </c>
      <c r="J864" s="128">
        <v>550000</v>
      </c>
      <c r="K864" s="127" t="s">
        <v>550</v>
      </c>
      <c r="L864" s="151">
        <v>555600</v>
      </c>
      <c r="M864" s="128">
        <v>0</v>
      </c>
      <c r="N864" s="127" t="s">
        <v>577</v>
      </c>
      <c r="O864" s="127" t="s">
        <v>457</v>
      </c>
      <c r="P864" s="128">
        <v>0</v>
      </c>
      <c r="Q864" s="128">
        <v>1074.6600000000001</v>
      </c>
      <c r="R864" s="128">
        <v>0</v>
      </c>
      <c r="S864" s="128">
        <v>0</v>
      </c>
      <c r="T864" s="128">
        <v>0</v>
      </c>
      <c r="U864" s="128">
        <v>1074.6600000000001</v>
      </c>
      <c r="V864" s="128">
        <v>0</v>
      </c>
      <c r="W864" s="128">
        <v>1074.6600000000001</v>
      </c>
      <c r="X864" s="128">
        <v>0</v>
      </c>
      <c r="Y864" s="128">
        <v>0</v>
      </c>
      <c r="Z864" s="128">
        <v>0</v>
      </c>
      <c r="AA864" s="128">
        <v>1074.6600000000001</v>
      </c>
      <c r="AB864" s="126">
        <f t="shared" si="95"/>
        <v>-1.07466E-4</v>
      </c>
      <c r="AC864" s="122" t="s">
        <v>1838</v>
      </c>
      <c r="AD864" s="123">
        <f t="shared" si="96"/>
        <v>5.1915238519999996</v>
      </c>
    </row>
    <row r="865" spans="1:30" ht="12.75" hidden="1" customHeight="1">
      <c r="A865" s="125" t="str">
        <f t="shared" si="92"/>
        <v>LIC33Operating Expenses</v>
      </c>
      <c r="B865" s="125">
        <f>+IFERROR(VLOOKUP(L865,'TB mapping'!A:D,4,0),0)</f>
        <v>0</v>
      </c>
      <c r="C865" s="125">
        <f>+IFERROR(VLOOKUP(L865,'TB mapping'!A:C,3,0),0)</f>
        <v>6.3</v>
      </c>
      <c r="D865" s="125" t="str">
        <f t="shared" si="93"/>
        <v>LIC330</v>
      </c>
      <c r="E865" s="125" t="str">
        <f t="shared" si="94"/>
        <v>LIC336.3</v>
      </c>
      <c r="F865" s="158" t="str">
        <f>+VLOOKUP(H865,'code mapping'!A:C,3,0)</f>
        <v>LIC33</v>
      </c>
      <c r="G865" s="127" t="s">
        <v>453</v>
      </c>
      <c r="H865" s="127" t="s">
        <v>454</v>
      </c>
      <c r="I865" s="127" t="s">
        <v>57</v>
      </c>
      <c r="J865" s="128">
        <v>550000</v>
      </c>
      <c r="K865" s="127" t="s">
        <v>550</v>
      </c>
      <c r="L865" s="151">
        <v>556421</v>
      </c>
      <c r="M865" s="128">
        <v>0</v>
      </c>
      <c r="N865" s="127" t="s">
        <v>578</v>
      </c>
      <c r="O865" s="127" t="s">
        <v>457</v>
      </c>
      <c r="P865" s="128">
        <v>-6273.23</v>
      </c>
      <c r="Q865" s="128">
        <v>0</v>
      </c>
      <c r="R865" s="128">
        <v>0</v>
      </c>
      <c r="S865" s="128">
        <v>0</v>
      </c>
      <c r="T865" s="128">
        <v>-6273.23</v>
      </c>
      <c r="U865" s="128">
        <v>0</v>
      </c>
      <c r="V865" s="128">
        <v>-6273.23</v>
      </c>
      <c r="W865" s="128">
        <v>0</v>
      </c>
      <c r="X865" s="128">
        <v>0</v>
      </c>
      <c r="Y865" s="128">
        <v>0</v>
      </c>
      <c r="Z865" s="128">
        <v>-6273.23</v>
      </c>
      <c r="AA865" s="128">
        <v>0</v>
      </c>
      <c r="AB865" s="126">
        <f t="shared" si="95"/>
        <v>6.2732299999999994E-4</v>
      </c>
      <c r="AC865" s="122" t="s">
        <v>1838</v>
      </c>
      <c r="AD865" s="123">
        <f t="shared" si="96"/>
        <v>5.1915238519999996</v>
      </c>
    </row>
    <row r="866" spans="1:30" ht="12.75" hidden="1" customHeight="1">
      <c r="A866" s="125" t="str">
        <f t="shared" si="92"/>
        <v>LIC33Management Fee</v>
      </c>
      <c r="B866" s="125">
        <f>+IFERROR(VLOOKUP(L866,'TB mapping'!A:D,4,0),0)</f>
        <v>6.1</v>
      </c>
      <c r="C866" s="125">
        <f>+IFERROR(VLOOKUP(L866,'TB mapping'!A:C,3,0),0)</f>
        <v>6.3</v>
      </c>
      <c r="D866" s="125" t="str">
        <f t="shared" si="93"/>
        <v>LIC336.1</v>
      </c>
      <c r="E866" s="125" t="str">
        <f t="shared" si="94"/>
        <v>LIC336.3</v>
      </c>
      <c r="F866" s="158" t="str">
        <f>+VLOOKUP(H866,'code mapping'!A:C,3,0)</f>
        <v>LIC33</v>
      </c>
      <c r="G866" s="127" t="s">
        <v>453</v>
      </c>
      <c r="H866" s="127" t="s">
        <v>454</v>
      </c>
      <c r="I866" s="127" t="s">
        <v>57</v>
      </c>
      <c r="J866" s="128">
        <v>555100</v>
      </c>
      <c r="K866" s="127" t="s">
        <v>579</v>
      </c>
      <c r="L866" s="151">
        <v>555100</v>
      </c>
      <c r="M866" s="128">
        <v>0</v>
      </c>
      <c r="N866" s="127" t="s">
        <v>580</v>
      </c>
      <c r="O866" s="127" t="s">
        <v>457</v>
      </c>
      <c r="P866" s="128">
        <v>-7910459.1600000001</v>
      </c>
      <c r="Q866" s="128">
        <v>0</v>
      </c>
      <c r="R866" s="128">
        <v>0</v>
      </c>
      <c r="S866" s="128">
        <v>0</v>
      </c>
      <c r="T866" s="128">
        <v>-7910459.1600000001</v>
      </c>
      <c r="U866" s="128">
        <v>0</v>
      </c>
      <c r="V866" s="128">
        <v>-7910459.1600000001</v>
      </c>
      <c r="W866" s="128">
        <v>0</v>
      </c>
      <c r="X866" s="128">
        <v>0</v>
      </c>
      <c r="Y866" s="128">
        <v>0</v>
      </c>
      <c r="Z866" s="128">
        <v>-7910459.1600000001</v>
      </c>
      <c r="AA866" s="128">
        <v>0</v>
      </c>
      <c r="AB866" s="126">
        <f t="shared" si="95"/>
        <v>0.79104591599999996</v>
      </c>
      <c r="AC866" s="122" t="s">
        <v>1838</v>
      </c>
      <c r="AD866" s="123">
        <f t="shared" si="96"/>
        <v>5.1915238519999996</v>
      </c>
    </row>
    <row r="867" spans="1:30" ht="12.75" hidden="1" customHeight="1">
      <c r="A867" s="125" t="str">
        <f t="shared" si="92"/>
        <v>LIC33Management Fees-RG</v>
      </c>
      <c r="B867" s="125">
        <f>+IFERROR(VLOOKUP(L867,'TB mapping'!A:D,4,0),0)</f>
        <v>6.1</v>
      </c>
      <c r="C867" s="125">
        <f>+IFERROR(VLOOKUP(L867,'TB mapping'!A:C,3,0),0)</f>
        <v>6.3</v>
      </c>
      <c r="D867" s="125" t="str">
        <f t="shared" si="93"/>
        <v>LIC336.1</v>
      </c>
      <c r="E867" s="125" t="str">
        <f t="shared" si="94"/>
        <v>LIC336.3</v>
      </c>
      <c r="F867" s="158" t="str">
        <f>+VLOOKUP(H867,'code mapping'!A:C,3,0)</f>
        <v>LIC33</v>
      </c>
      <c r="G867" s="127" t="s">
        <v>453</v>
      </c>
      <c r="H867" s="127" t="s">
        <v>454</v>
      </c>
      <c r="I867" s="127" t="s">
        <v>57</v>
      </c>
      <c r="J867" s="128">
        <v>555100</v>
      </c>
      <c r="K867" s="127" t="s">
        <v>579</v>
      </c>
      <c r="L867" s="151">
        <v>555191</v>
      </c>
      <c r="M867" s="128">
        <v>0</v>
      </c>
      <c r="N867" s="127" t="s">
        <v>581</v>
      </c>
      <c r="O867" s="127" t="s">
        <v>457</v>
      </c>
      <c r="P867" s="128">
        <v>-11495445.369999999</v>
      </c>
      <c r="Q867" s="128">
        <v>0</v>
      </c>
      <c r="R867" s="128">
        <v>0</v>
      </c>
      <c r="S867" s="128">
        <v>0</v>
      </c>
      <c r="T867" s="128">
        <v>-11495445.369999999</v>
      </c>
      <c r="U867" s="128">
        <v>0</v>
      </c>
      <c r="V867" s="128">
        <v>-11495445.369999999</v>
      </c>
      <c r="W867" s="128">
        <v>0</v>
      </c>
      <c r="X867" s="128">
        <v>0</v>
      </c>
      <c r="Y867" s="128">
        <v>0</v>
      </c>
      <c r="Z867" s="128">
        <v>-11495445.369999999</v>
      </c>
      <c r="AA867" s="128">
        <v>0</v>
      </c>
      <c r="AB867" s="126">
        <f t="shared" si="95"/>
        <v>1.1495445369999999</v>
      </c>
      <c r="AC867" s="122" t="s">
        <v>1838</v>
      </c>
      <c r="AD867" s="123">
        <f t="shared" si="96"/>
        <v>5.1915238519999996</v>
      </c>
    </row>
    <row r="868" spans="1:30" ht="12.75" hidden="1" customHeight="1">
      <c r="A868" s="125" t="str">
        <f t="shared" si="92"/>
        <v>LIC33Management Fees-RD</v>
      </c>
      <c r="B868" s="125">
        <f>+IFERROR(VLOOKUP(L868,'TB mapping'!A:D,4,0),0)</f>
        <v>6.1</v>
      </c>
      <c r="C868" s="125">
        <f>+IFERROR(VLOOKUP(L868,'TB mapping'!A:C,3,0),0)</f>
        <v>6.3</v>
      </c>
      <c r="D868" s="125" t="str">
        <f t="shared" si="93"/>
        <v>LIC336.1</v>
      </c>
      <c r="E868" s="125" t="str">
        <f t="shared" si="94"/>
        <v>LIC336.3</v>
      </c>
      <c r="F868" s="158" t="str">
        <f>+VLOOKUP(H868,'code mapping'!A:C,3,0)</f>
        <v>LIC33</v>
      </c>
      <c r="G868" s="127" t="s">
        <v>453</v>
      </c>
      <c r="H868" s="127" t="s">
        <v>454</v>
      </c>
      <c r="I868" s="127" t="s">
        <v>57</v>
      </c>
      <c r="J868" s="128">
        <v>555100</v>
      </c>
      <c r="K868" s="127" t="s">
        <v>579</v>
      </c>
      <c r="L868" s="151">
        <v>555192</v>
      </c>
      <c r="M868" s="128">
        <v>0</v>
      </c>
      <c r="N868" s="127" t="s">
        <v>582</v>
      </c>
      <c r="O868" s="127" t="s">
        <v>457</v>
      </c>
      <c r="P868" s="128">
        <v>-651146.02</v>
      </c>
      <c r="Q868" s="128">
        <v>0</v>
      </c>
      <c r="R868" s="128">
        <v>0</v>
      </c>
      <c r="S868" s="128">
        <v>0</v>
      </c>
      <c r="T868" s="128">
        <v>-651146.02</v>
      </c>
      <c r="U868" s="128">
        <v>0</v>
      </c>
      <c r="V868" s="128">
        <v>-651146.02</v>
      </c>
      <c r="W868" s="128">
        <v>0</v>
      </c>
      <c r="X868" s="128">
        <v>0</v>
      </c>
      <c r="Y868" s="128">
        <v>0</v>
      </c>
      <c r="Z868" s="128">
        <v>-651146.02</v>
      </c>
      <c r="AA868" s="128">
        <v>0</v>
      </c>
      <c r="AB868" s="126">
        <f t="shared" si="95"/>
        <v>6.5114602000000008E-2</v>
      </c>
      <c r="AC868" s="122" t="s">
        <v>1838</v>
      </c>
      <c r="AD868" s="123">
        <f t="shared" si="96"/>
        <v>5.1915238519999996</v>
      </c>
    </row>
    <row r="869" spans="1:30" ht="12.75" hidden="1" customHeight="1">
      <c r="A869" s="125" t="str">
        <f t="shared" si="92"/>
        <v>LIC33Management Fees-GDP</v>
      </c>
      <c r="B869" s="125">
        <f>+IFERROR(VLOOKUP(L869,'TB mapping'!A:D,4,0),0)</f>
        <v>6.1</v>
      </c>
      <c r="C869" s="125">
        <f>+IFERROR(VLOOKUP(L869,'TB mapping'!A:C,3,0),0)</f>
        <v>6.3</v>
      </c>
      <c r="D869" s="125" t="str">
        <f t="shared" si="93"/>
        <v>LIC336.1</v>
      </c>
      <c r="E869" s="125" t="str">
        <f t="shared" si="94"/>
        <v>LIC336.3</v>
      </c>
      <c r="F869" s="158" t="str">
        <f>+VLOOKUP(H869,'code mapping'!A:C,3,0)</f>
        <v>LIC33</v>
      </c>
      <c r="G869" s="127" t="s">
        <v>453</v>
      </c>
      <c r="H869" s="127" t="s">
        <v>454</v>
      </c>
      <c r="I869" s="127" t="s">
        <v>57</v>
      </c>
      <c r="J869" s="128">
        <v>555100</v>
      </c>
      <c r="K869" s="127" t="s">
        <v>579</v>
      </c>
      <c r="L869" s="151">
        <v>555329</v>
      </c>
      <c r="M869" s="128">
        <v>0</v>
      </c>
      <c r="N869" s="127" t="s">
        <v>584</v>
      </c>
      <c r="O869" s="127" t="s">
        <v>457</v>
      </c>
      <c r="P869" s="128">
        <v>-8679247.3900000006</v>
      </c>
      <c r="Q869" s="128">
        <v>0</v>
      </c>
      <c r="R869" s="128">
        <v>0</v>
      </c>
      <c r="S869" s="128">
        <v>0</v>
      </c>
      <c r="T869" s="128">
        <v>-8679247.3900000006</v>
      </c>
      <c r="U869" s="128">
        <v>0</v>
      </c>
      <c r="V869" s="128">
        <v>-8679247.3900000006</v>
      </c>
      <c r="W869" s="128">
        <v>0</v>
      </c>
      <c r="X869" s="128">
        <v>0</v>
      </c>
      <c r="Y869" s="128">
        <v>0</v>
      </c>
      <c r="Z869" s="128">
        <v>-8679247.3900000006</v>
      </c>
      <c r="AA869" s="128">
        <v>0</v>
      </c>
      <c r="AB869" s="126">
        <f t="shared" si="95"/>
        <v>0.86792473900000011</v>
      </c>
      <c r="AC869" s="122" t="s">
        <v>1838</v>
      </c>
      <c r="AD869" s="123">
        <f t="shared" si="96"/>
        <v>5.1915238519999996</v>
      </c>
    </row>
    <row r="870" spans="1:30" ht="12.75" hidden="1" customHeight="1">
      <c r="A870" s="125" t="str">
        <f t="shared" si="92"/>
        <v>LIC33Management Fees-DDP</v>
      </c>
      <c r="B870" s="125">
        <f>+IFERROR(VLOOKUP(L870,'TB mapping'!A:D,4,0),0)</f>
        <v>6.1</v>
      </c>
      <c r="C870" s="125">
        <f>+IFERROR(VLOOKUP(L870,'TB mapping'!A:C,3,0),0)</f>
        <v>6.3</v>
      </c>
      <c r="D870" s="125" t="str">
        <f t="shared" si="93"/>
        <v>LIC336.1</v>
      </c>
      <c r="E870" s="125" t="str">
        <f t="shared" si="94"/>
        <v>LIC336.3</v>
      </c>
      <c r="F870" s="158" t="str">
        <f>+VLOOKUP(H870,'code mapping'!A:C,3,0)</f>
        <v>LIC33</v>
      </c>
      <c r="G870" s="127" t="s">
        <v>453</v>
      </c>
      <c r="H870" s="127" t="s">
        <v>454</v>
      </c>
      <c r="I870" s="127" t="s">
        <v>57</v>
      </c>
      <c r="J870" s="128">
        <v>555100</v>
      </c>
      <c r="K870" s="127" t="s">
        <v>579</v>
      </c>
      <c r="L870" s="151">
        <v>555330</v>
      </c>
      <c r="M870" s="128">
        <v>0</v>
      </c>
      <c r="N870" s="127" t="s">
        <v>585</v>
      </c>
      <c r="O870" s="127" t="s">
        <v>457</v>
      </c>
      <c r="P870" s="128">
        <v>-1277.79</v>
      </c>
      <c r="Q870" s="128">
        <v>0</v>
      </c>
      <c r="R870" s="128">
        <v>0</v>
      </c>
      <c r="S870" s="128">
        <v>0</v>
      </c>
      <c r="T870" s="128">
        <v>-1277.79</v>
      </c>
      <c r="U870" s="128">
        <v>0</v>
      </c>
      <c r="V870" s="128">
        <v>-1277.79</v>
      </c>
      <c r="W870" s="128">
        <v>0</v>
      </c>
      <c r="X870" s="128">
        <v>0</v>
      </c>
      <c r="Y870" s="128">
        <v>0</v>
      </c>
      <c r="Z870" s="128">
        <v>-1277.79</v>
      </c>
      <c r="AA870" s="128">
        <v>0</v>
      </c>
      <c r="AB870" s="126">
        <f t="shared" si="95"/>
        <v>1.2777899999999998E-4</v>
      </c>
      <c r="AC870" s="122" t="s">
        <v>1838</v>
      </c>
      <c r="AD870" s="123">
        <f t="shared" si="96"/>
        <v>5.1915238519999996</v>
      </c>
    </row>
    <row r="871" spans="1:30" ht="12.75" hidden="1" customHeight="1">
      <c r="A871" s="125" t="str">
        <f t="shared" si="92"/>
        <v>LIC33Dividend Distribution - RD</v>
      </c>
      <c r="B871" s="125">
        <f>+IFERROR(VLOOKUP(L871,'TB mapping'!A:D,4,0),0)</f>
        <v>0</v>
      </c>
      <c r="C871" s="125" t="str">
        <f>+IFERROR(VLOOKUP(L871,'TB mapping'!A:C,3,0),0)</f>
        <v>ignore</v>
      </c>
      <c r="D871" s="125" t="str">
        <f t="shared" si="93"/>
        <v>LIC330</v>
      </c>
      <c r="E871" s="125" t="str">
        <f t="shared" si="94"/>
        <v>LIC33ignore</v>
      </c>
      <c r="F871" s="158" t="str">
        <f>+VLOOKUP(H871,'code mapping'!A:C,3,0)</f>
        <v>LIC33</v>
      </c>
      <c r="G871" s="127" t="s">
        <v>453</v>
      </c>
      <c r="H871" s="127" t="s">
        <v>454</v>
      </c>
      <c r="I871" s="127" t="s">
        <v>57</v>
      </c>
      <c r="J871" s="128">
        <v>555300</v>
      </c>
      <c r="K871" s="127" t="s">
        <v>586</v>
      </c>
      <c r="L871" s="151">
        <v>553143</v>
      </c>
      <c r="M871" s="128">
        <v>0</v>
      </c>
      <c r="N871" s="127" t="s">
        <v>587</v>
      </c>
      <c r="O871" s="127" t="s">
        <v>457</v>
      </c>
      <c r="P871" s="128">
        <v>-6797348.7800000003</v>
      </c>
      <c r="Q871" s="128">
        <v>0</v>
      </c>
      <c r="R871" s="128">
        <v>0</v>
      </c>
      <c r="S871" s="128">
        <v>0</v>
      </c>
      <c r="T871" s="128">
        <v>-6797348.7800000003</v>
      </c>
      <c r="U871" s="128">
        <v>0</v>
      </c>
      <c r="V871" s="128">
        <v>-6797348.7800000003</v>
      </c>
      <c r="W871" s="128">
        <v>0</v>
      </c>
      <c r="X871" s="128">
        <v>0</v>
      </c>
      <c r="Y871" s="128">
        <v>0</v>
      </c>
      <c r="Z871" s="128">
        <v>-6797348.7800000003</v>
      </c>
      <c r="AA871" s="128">
        <v>0</v>
      </c>
      <c r="AB871" s="126">
        <f t="shared" si="95"/>
        <v>0.67973487799999999</v>
      </c>
      <c r="AC871" s="122" t="s">
        <v>1838</v>
      </c>
      <c r="AD871" s="123">
        <f t="shared" ref="AD871:AD898" si="97">SUMIF(C:C,C871,AB:AB)</f>
        <v>-291.7660984179999</v>
      </c>
    </row>
    <row r="872" spans="1:30" ht="12.75" hidden="1" customHeight="1">
      <c r="A872" s="125" t="str">
        <f t="shared" si="92"/>
        <v>LIC33DDT Expense-RD</v>
      </c>
      <c r="B872" s="125">
        <f>+IFERROR(VLOOKUP(L872,'TB mapping'!A:D,4,0),0)</f>
        <v>0</v>
      </c>
      <c r="C872" s="125" t="str">
        <f>+IFERROR(VLOOKUP(L872,'TB mapping'!A:C,3,0),0)</f>
        <v>ignore</v>
      </c>
      <c r="D872" s="125" t="str">
        <f t="shared" si="93"/>
        <v>LIC330</v>
      </c>
      <c r="E872" s="125" t="str">
        <f t="shared" si="94"/>
        <v>LIC33ignore</v>
      </c>
      <c r="F872" s="158" t="str">
        <f>+VLOOKUP(H872,'code mapping'!A:C,3,0)</f>
        <v>LIC33</v>
      </c>
      <c r="G872" s="127" t="s">
        <v>453</v>
      </c>
      <c r="H872" s="127" t="s">
        <v>454</v>
      </c>
      <c r="I872" s="127" t="s">
        <v>57</v>
      </c>
      <c r="J872" s="128">
        <v>555300</v>
      </c>
      <c r="K872" s="127" t="s">
        <v>586</v>
      </c>
      <c r="L872" s="151">
        <v>556143</v>
      </c>
      <c r="M872" s="128">
        <v>0</v>
      </c>
      <c r="N872" s="127" t="s">
        <v>588</v>
      </c>
      <c r="O872" s="127" t="s">
        <v>457</v>
      </c>
      <c r="P872" s="128">
        <v>-3135114</v>
      </c>
      <c r="Q872" s="128">
        <v>0</v>
      </c>
      <c r="R872" s="128">
        <v>0</v>
      </c>
      <c r="S872" s="128">
        <v>0</v>
      </c>
      <c r="T872" s="128">
        <v>-3135114</v>
      </c>
      <c r="U872" s="128">
        <v>0</v>
      </c>
      <c r="V872" s="128">
        <v>-3135114</v>
      </c>
      <c r="W872" s="128">
        <v>0</v>
      </c>
      <c r="X872" s="128">
        <v>0</v>
      </c>
      <c r="Y872" s="128">
        <v>0</v>
      </c>
      <c r="Z872" s="128">
        <v>-3135114</v>
      </c>
      <c r="AA872" s="128">
        <v>0</v>
      </c>
      <c r="AB872" s="126">
        <f t="shared" si="95"/>
        <v>0.3135114</v>
      </c>
      <c r="AC872" s="122" t="s">
        <v>1838</v>
      </c>
      <c r="AD872" s="123">
        <f t="shared" si="97"/>
        <v>-291.7660984179999</v>
      </c>
    </row>
    <row r="873" spans="1:30" ht="12.75" hidden="1" customHeight="1">
      <c r="A873" s="125" t="str">
        <f t="shared" si="92"/>
        <v>LIC142Investment - Equities</v>
      </c>
      <c r="B873" s="125">
        <f>+IFERROR(VLOOKUP(L873,'TB mapping'!A:D,4,0),0)</f>
        <v>0</v>
      </c>
      <c r="C873" s="125">
        <f>+IFERROR(VLOOKUP(L873,'TB mapping'!A:C,3,0),0)</f>
        <v>0</v>
      </c>
      <c r="D873" s="125" t="str">
        <f t="shared" si="93"/>
        <v>LIC1420</v>
      </c>
      <c r="E873" s="125" t="str">
        <f t="shared" si="94"/>
        <v>LIC1420</v>
      </c>
      <c r="F873" s="158" t="str">
        <f>+VLOOKUP(H873,'code mapping'!A:C,3,0)</f>
        <v>LIC142</v>
      </c>
      <c r="G873" s="127" t="s">
        <v>453</v>
      </c>
      <c r="H873" s="127" t="s">
        <v>589</v>
      </c>
      <c r="I873" s="127" t="s">
        <v>590</v>
      </c>
      <c r="J873" s="128">
        <v>101000</v>
      </c>
      <c r="K873" s="127" t="s">
        <v>591</v>
      </c>
      <c r="L873" s="151">
        <v>101100</v>
      </c>
      <c r="M873" s="128">
        <v>0</v>
      </c>
      <c r="N873" s="127" t="s">
        <v>592</v>
      </c>
      <c r="O873" s="127" t="s">
        <v>457</v>
      </c>
      <c r="P873" s="128">
        <v>-9613222.4900000002</v>
      </c>
      <c r="Q873" s="128">
        <v>0</v>
      </c>
      <c r="R873" s="128">
        <v>0</v>
      </c>
      <c r="S873" s="128">
        <v>0</v>
      </c>
      <c r="T873" s="128">
        <v>-9613222.4900000002</v>
      </c>
      <c r="U873" s="128">
        <v>0</v>
      </c>
      <c r="V873" s="128">
        <v>-9613222.4900000002</v>
      </c>
      <c r="W873" s="128">
        <v>0</v>
      </c>
      <c r="X873" s="128">
        <v>0</v>
      </c>
      <c r="Y873" s="128">
        <v>0</v>
      </c>
      <c r="Z873" s="128">
        <v>-9613222.4900000002</v>
      </c>
      <c r="AA873" s="128">
        <v>0</v>
      </c>
      <c r="AB873" s="126">
        <f t="shared" si="95"/>
        <v>0.96132224900000007</v>
      </c>
      <c r="AC873" s="122" t="s">
        <v>1838</v>
      </c>
      <c r="AD873" s="123">
        <f t="shared" si="97"/>
        <v>1983.9723217250009</v>
      </c>
    </row>
    <row r="874" spans="1:30" ht="12.75" hidden="1" customHeight="1">
      <c r="A874" s="125" t="str">
        <f t="shared" si="92"/>
        <v>LIC142Investment Mutual Fund</v>
      </c>
      <c r="B874" s="125">
        <f>+IFERROR(VLOOKUP(L874,'TB mapping'!A:D,4,0),0)</f>
        <v>0</v>
      </c>
      <c r="C874" s="125">
        <f>+IFERROR(VLOOKUP(L874,'TB mapping'!A:C,3,0),0)</f>
        <v>0</v>
      </c>
      <c r="D874" s="125" t="str">
        <f t="shared" si="93"/>
        <v>LIC1420</v>
      </c>
      <c r="E874" s="125" t="str">
        <f t="shared" si="94"/>
        <v>LIC1420</v>
      </c>
      <c r="F874" s="158" t="str">
        <f>+VLOOKUP(H874,'code mapping'!A:C,3,0)</f>
        <v>LIC142</v>
      </c>
      <c r="G874" s="127" t="s">
        <v>453</v>
      </c>
      <c r="H874" s="127" t="s">
        <v>589</v>
      </c>
      <c r="I874" s="127" t="s">
        <v>590</v>
      </c>
      <c r="J874" s="128">
        <v>105000</v>
      </c>
      <c r="K874" s="127" t="s">
        <v>460</v>
      </c>
      <c r="L874" s="151">
        <v>105100</v>
      </c>
      <c r="M874" s="128">
        <v>0</v>
      </c>
      <c r="N874" s="127" t="s">
        <v>461</v>
      </c>
      <c r="O874" s="127" t="s">
        <v>457</v>
      </c>
      <c r="P874" s="128">
        <v>-0.04</v>
      </c>
      <c r="Q874" s="128">
        <v>0</v>
      </c>
      <c r="R874" s="128">
        <v>0</v>
      </c>
      <c r="S874" s="128">
        <v>0</v>
      </c>
      <c r="T874" s="128">
        <v>-0.04</v>
      </c>
      <c r="U874" s="128">
        <v>0</v>
      </c>
      <c r="V874" s="128">
        <v>-0.04</v>
      </c>
      <c r="W874" s="128">
        <v>0</v>
      </c>
      <c r="X874" s="128">
        <v>0</v>
      </c>
      <c r="Y874" s="128">
        <v>0</v>
      </c>
      <c r="Z874" s="128">
        <v>-0.04</v>
      </c>
      <c r="AA874" s="128">
        <v>0</v>
      </c>
      <c r="AB874" s="126">
        <f t="shared" si="95"/>
        <v>4.0000000000000002E-9</v>
      </c>
      <c r="AC874" s="122" t="s">
        <v>1838</v>
      </c>
      <c r="AD874" s="123">
        <f t="shared" si="97"/>
        <v>1983.9723217250009</v>
      </c>
    </row>
    <row r="875" spans="1:30" ht="12.75" hidden="1" customHeight="1">
      <c r="A875" s="125" t="str">
        <f t="shared" si="92"/>
        <v>LIC142Investment - CBLO</v>
      </c>
      <c r="B875" s="125">
        <f>+IFERROR(VLOOKUP(L875,'TB mapping'!A:D,4,0),0)</f>
        <v>0</v>
      </c>
      <c r="C875" s="125">
        <f>+IFERROR(VLOOKUP(L875,'TB mapping'!A:C,3,0),0)</f>
        <v>0</v>
      </c>
      <c r="D875" s="125" t="str">
        <f t="shared" si="93"/>
        <v>LIC1420</v>
      </c>
      <c r="E875" s="125" t="str">
        <f t="shared" si="94"/>
        <v>LIC1420</v>
      </c>
      <c r="F875" s="158" t="str">
        <f>+VLOOKUP(H875,'code mapping'!A:C,3,0)</f>
        <v>LIC142</v>
      </c>
      <c r="G875" s="127" t="s">
        <v>453</v>
      </c>
      <c r="H875" s="127" t="s">
        <v>589</v>
      </c>
      <c r="I875" s="127" t="s">
        <v>590</v>
      </c>
      <c r="J875" s="128">
        <v>110000</v>
      </c>
      <c r="K875" s="127" t="s">
        <v>462</v>
      </c>
      <c r="L875" s="151">
        <v>110100</v>
      </c>
      <c r="M875" s="128">
        <v>0</v>
      </c>
      <c r="N875" s="127" t="s">
        <v>463</v>
      </c>
      <c r="O875" s="127" t="s">
        <v>457</v>
      </c>
      <c r="P875" s="128">
        <v>-181304991.91</v>
      </c>
      <c r="Q875" s="128">
        <v>0</v>
      </c>
      <c r="R875" s="128">
        <v>0</v>
      </c>
      <c r="S875" s="128">
        <v>0</v>
      </c>
      <c r="T875" s="128">
        <v>-181304991.91</v>
      </c>
      <c r="U875" s="128">
        <v>0</v>
      </c>
      <c r="V875" s="128">
        <v>-181304991.91</v>
      </c>
      <c r="W875" s="128">
        <v>0</v>
      </c>
      <c r="X875" s="128">
        <v>0</v>
      </c>
      <c r="Y875" s="128">
        <v>0</v>
      </c>
      <c r="Z875" s="128">
        <v>-181304991.91</v>
      </c>
      <c r="AA875" s="128">
        <v>0</v>
      </c>
      <c r="AB875" s="126">
        <f t="shared" si="95"/>
        <v>18.130499190999998</v>
      </c>
      <c r="AC875" s="122" t="s">
        <v>1838</v>
      </c>
      <c r="AD875" s="123">
        <f t="shared" si="97"/>
        <v>1983.9723217250009</v>
      </c>
    </row>
    <row r="876" spans="1:30" ht="12.75" hidden="1" customHeight="1">
      <c r="A876" s="125" t="str">
        <f t="shared" si="92"/>
        <v>LIC142Dividend Receivable</v>
      </c>
      <c r="B876" s="125">
        <f>+IFERROR(VLOOKUP(L876,'TB mapping'!A:D,4,0),0)</f>
        <v>0</v>
      </c>
      <c r="C876" s="125">
        <f>+IFERROR(VLOOKUP(L876,'TB mapping'!A:C,3,0),0)</f>
        <v>0</v>
      </c>
      <c r="D876" s="125" t="str">
        <f t="shared" si="93"/>
        <v>LIC1420</v>
      </c>
      <c r="E876" s="125" t="str">
        <f t="shared" si="94"/>
        <v>LIC1420</v>
      </c>
      <c r="F876" s="158" t="str">
        <f>+VLOOKUP(H876,'code mapping'!A:C,3,0)</f>
        <v>LIC142</v>
      </c>
      <c r="G876" s="127" t="s">
        <v>453</v>
      </c>
      <c r="H876" s="127" t="s">
        <v>589</v>
      </c>
      <c r="I876" s="127" t="s">
        <v>590</v>
      </c>
      <c r="J876" s="128">
        <v>132000</v>
      </c>
      <c r="K876" s="127" t="s">
        <v>466</v>
      </c>
      <c r="L876" s="151">
        <v>132100</v>
      </c>
      <c r="M876" s="128">
        <v>0</v>
      </c>
      <c r="N876" s="127" t="s">
        <v>593</v>
      </c>
      <c r="O876" s="127" t="s">
        <v>457</v>
      </c>
      <c r="P876" s="128">
        <v>-10401.700000000001</v>
      </c>
      <c r="Q876" s="128">
        <v>0</v>
      </c>
      <c r="R876" s="128">
        <v>0</v>
      </c>
      <c r="S876" s="128">
        <v>0</v>
      </c>
      <c r="T876" s="128">
        <v>-10401.700000000001</v>
      </c>
      <c r="U876" s="128">
        <v>0</v>
      </c>
      <c r="V876" s="128">
        <v>-10401.700000000001</v>
      </c>
      <c r="W876" s="128">
        <v>0</v>
      </c>
      <c r="X876" s="128">
        <v>0</v>
      </c>
      <c r="Y876" s="128">
        <v>0</v>
      </c>
      <c r="Z876" s="128">
        <v>-10401.700000000001</v>
      </c>
      <c r="AA876" s="128">
        <v>0</v>
      </c>
      <c r="AB876" s="126">
        <f t="shared" si="95"/>
        <v>1.04017E-3</v>
      </c>
      <c r="AC876" s="122" t="s">
        <v>1838</v>
      </c>
      <c r="AD876" s="123">
        <f t="shared" si="97"/>
        <v>1983.9723217250009</v>
      </c>
    </row>
    <row r="877" spans="1:30" ht="12.75" hidden="1" customHeight="1">
      <c r="A877" s="125" t="str">
        <f t="shared" si="92"/>
        <v>LIC142Due From Broker - Equities</v>
      </c>
      <c r="B877" s="125">
        <f>+IFERROR(VLOOKUP(L877,'TB mapping'!A:D,4,0),0)</f>
        <v>0</v>
      </c>
      <c r="C877" s="125">
        <f>+IFERROR(VLOOKUP(L877,'TB mapping'!A:C,3,0),0)</f>
        <v>0</v>
      </c>
      <c r="D877" s="125" t="str">
        <f t="shared" si="93"/>
        <v>LIC1420</v>
      </c>
      <c r="E877" s="125" t="str">
        <f t="shared" si="94"/>
        <v>LIC1420</v>
      </c>
      <c r="F877" s="158" t="str">
        <f>+VLOOKUP(H877,'code mapping'!A:C,3,0)</f>
        <v>LIC142</v>
      </c>
      <c r="G877" s="127" t="s">
        <v>453</v>
      </c>
      <c r="H877" s="127" t="s">
        <v>589</v>
      </c>
      <c r="I877" s="127" t="s">
        <v>590</v>
      </c>
      <c r="J877" s="128">
        <v>132000</v>
      </c>
      <c r="K877" s="127" t="s">
        <v>466</v>
      </c>
      <c r="L877" s="151">
        <v>132150</v>
      </c>
      <c r="M877" s="128">
        <v>0</v>
      </c>
      <c r="N877" s="127" t="s">
        <v>594</v>
      </c>
      <c r="O877" s="127" t="s">
        <v>457</v>
      </c>
      <c r="P877" s="128">
        <v>-1775183.63</v>
      </c>
      <c r="Q877" s="128">
        <v>0</v>
      </c>
      <c r="R877" s="128">
        <v>0</v>
      </c>
      <c r="S877" s="128">
        <v>0</v>
      </c>
      <c r="T877" s="128">
        <v>-1775183.63</v>
      </c>
      <c r="U877" s="128">
        <v>0</v>
      </c>
      <c r="V877" s="128">
        <v>-1775183.63</v>
      </c>
      <c r="W877" s="128">
        <v>0</v>
      </c>
      <c r="X877" s="128">
        <v>0</v>
      </c>
      <c r="Y877" s="128">
        <v>0</v>
      </c>
      <c r="Z877" s="128">
        <v>-1775183.63</v>
      </c>
      <c r="AA877" s="128">
        <v>0</v>
      </c>
      <c r="AB877" s="126">
        <f t="shared" si="95"/>
        <v>0.17751836299999998</v>
      </c>
      <c r="AC877" s="122" t="s">
        <v>1838</v>
      </c>
      <c r="AD877" s="123">
        <f t="shared" si="97"/>
        <v>1983.9723217250009</v>
      </c>
    </row>
    <row r="878" spans="1:30" ht="12.75" hidden="1" customHeight="1">
      <c r="A878" s="125" t="str">
        <f t="shared" si="92"/>
        <v>LIC142Receivable from AMC</v>
      </c>
      <c r="B878" s="125">
        <f>+IFERROR(VLOOKUP(L878,'TB mapping'!A:D,4,0),0)</f>
        <v>0</v>
      </c>
      <c r="C878" s="125">
        <f>+IFERROR(VLOOKUP(L878,'TB mapping'!A:C,3,0),0)</f>
        <v>0</v>
      </c>
      <c r="D878" s="125" t="str">
        <f t="shared" si="93"/>
        <v>LIC1420</v>
      </c>
      <c r="E878" s="125" t="str">
        <f t="shared" si="94"/>
        <v>LIC1420</v>
      </c>
      <c r="F878" s="158" t="str">
        <f>+VLOOKUP(H878,'code mapping'!A:C,3,0)</f>
        <v>LIC142</v>
      </c>
      <c r="G878" s="127" t="s">
        <v>453</v>
      </c>
      <c r="H878" s="127" t="s">
        <v>589</v>
      </c>
      <c r="I878" s="127" t="s">
        <v>590</v>
      </c>
      <c r="J878" s="128">
        <v>132000</v>
      </c>
      <c r="K878" s="127" t="s">
        <v>466</v>
      </c>
      <c r="L878" s="151">
        <v>152400</v>
      </c>
      <c r="M878" s="128">
        <v>0</v>
      </c>
      <c r="N878" s="127" t="s">
        <v>471</v>
      </c>
      <c r="O878" s="127" t="s">
        <v>457</v>
      </c>
      <c r="P878" s="128">
        <v>-0.05</v>
      </c>
      <c r="Q878" s="128">
        <v>0</v>
      </c>
      <c r="R878" s="128">
        <v>0</v>
      </c>
      <c r="S878" s="128">
        <v>0</v>
      </c>
      <c r="T878" s="128">
        <v>-0.05</v>
      </c>
      <c r="U878" s="128">
        <v>0</v>
      </c>
      <c r="V878" s="128">
        <v>-0.05</v>
      </c>
      <c r="W878" s="128">
        <v>0</v>
      </c>
      <c r="X878" s="128">
        <v>0</v>
      </c>
      <c r="Y878" s="128">
        <v>0</v>
      </c>
      <c r="Z878" s="128">
        <v>-0.05</v>
      </c>
      <c r="AA878" s="128">
        <v>0</v>
      </c>
      <c r="AB878" s="126">
        <f t="shared" si="95"/>
        <v>5.0000000000000001E-9</v>
      </c>
      <c r="AC878" s="122" t="s">
        <v>1838</v>
      </c>
      <c r="AD878" s="123">
        <f t="shared" si="97"/>
        <v>1983.9723217250009</v>
      </c>
    </row>
    <row r="879" spans="1:30" ht="12.75" hidden="1" customHeight="1">
      <c r="A879" s="125" t="str">
        <f t="shared" si="92"/>
        <v>LIC142CCIL Settlement A/C</v>
      </c>
      <c r="B879" s="125">
        <f>+IFERROR(VLOOKUP(L879,'TB mapping'!A:D,4,0),0)</f>
        <v>0</v>
      </c>
      <c r="C879" s="125">
        <f>+IFERROR(VLOOKUP(L879,'TB mapping'!A:C,3,0),0)</f>
        <v>0</v>
      </c>
      <c r="D879" s="125" t="str">
        <f t="shared" si="93"/>
        <v>LIC1420</v>
      </c>
      <c r="E879" s="125" t="str">
        <f t="shared" si="94"/>
        <v>LIC1420</v>
      </c>
      <c r="F879" s="158" t="str">
        <f>+VLOOKUP(H879,'code mapping'!A:C,3,0)</f>
        <v>LIC142</v>
      </c>
      <c r="G879" s="127" t="s">
        <v>453</v>
      </c>
      <c r="H879" s="127" t="s">
        <v>589</v>
      </c>
      <c r="I879" s="127" t="s">
        <v>590</v>
      </c>
      <c r="J879" s="128">
        <v>140000</v>
      </c>
      <c r="K879" s="127" t="s">
        <v>472</v>
      </c>
      <c r="L879" s="151">
        <v>132237</v>
      </c>
      <c r="M879" s="128">
        <v>0</v>
      </c>
      <c r="N879" s="127" t="s">
        <v>473</v>
      </c>
      <c r="O879" s="127" t="s">
        <v>457</v>
      </c>
      <c r="P879" s="128">
        <v>0</v>
      </c>
      <c r="Q879" s="128">
        <v>0.03</v>
      </c>
      <c r="R879" s="128">
        <v>0</v>
      </c>
      <c r="S879" s="128">
        <v>0</v>
      </c>
      <c r="T879" s="128">
        <v>0</v>
      </c>
      <c r="U879" s="128">
        <v>0.03</v>
      </c>
      <c r="V879" s="128">
        <v>0</v>
      </c>
      <c r="W879" s="128">
        <v>0.03</v>
      </c>
      <c r="X879" s="128">
        <v>0</v>
      </c>
      <c r="Y879" s="128">
        <v>0</v>
      </c>
      <c r="Z879" s="128">
        <v>0</v>
      </c>
      <c r="AA879" s="128">
        <v>0.03</v>
      </c>
      <c r="AB879" s="126">
        <f t="shared" si="95"/>
        <v>-3E-9</v>
      </c>
      <c r="AC879" s="122" t="s">
        <v>1838</v>
      </c>
      <c r="AD879" s="123">
        <f t="shared" si="97"/>
        <v>1983.9723217250009</v>
      </c>
    </row>
    <row r="880" spans="1:30" ht="12.75" hidden="1" customHeight="1">
      <c r="A880" s="125" t="str">
        <f t="shared" si="92"/>
        <v>LIC142HDFC Current Account</v>
      </c>
      <c r="B880" s="125">
        <f>+IFERROR(VLOOKUP(L880,'TB mapping'!A:D,4,0),0)</f>
        <v>0</v>
      </c>
      <c r="C880" s="125">
        <f>+IFERROR(VLOOKUP(L880,'TB mapping'!A:C,3,0),0)</f>
        <v>0</v>
      </c>
      <c r="D880" s="125" t="str">
        <f t="shared" si="93"/>
        <v>LIC1420</v>
      </c>
      <c r="E880" s="125" t="str">
        <f t="shared" si="94"/>
        <v>LIC1420</v>
      </c>
      <c r="F880" s="158" t="str">
        <f>+VLOOKUP(H880,'code mapping'!A:C,3,0)</f>
        <v>LIC142</v>
      </c>
      <c r="G880" s="127" t="s">
        <v>453</v>
      </c>
      <c r="H880" s="127" t="s">
        <v>589</v>
      </c>
      <c r="I880" s="127" t="s">
        <v>590</v>
      </c>
      <c r="J880" s="128">
        <v>140000</v>
      </c>
      <c r="K880" s="127" t="s">
        <v>472</v>
      </c>
      <c r="L880" s="151">
        <v>140330</v>
      </c>
      <c r="M880" s="128">
        <v>0</v>
      </c>
      <c r="N880" s="127" t="s">
        <v>475</v>
      </c>
      <c r="O880" s="127" t="s">
        <v>457</v>
      </c>
      <c r="P880" s="128">
        <v>-0.03</v>
      </c>
      <c r="Q880" s="128">
        <v>0</v>
      </c>
      <c r="R880" s="128">
        <v>0</v>
      </c>
      <c r="S880" s="128">
        <v>0</v>
      </c>
      <c r="T880" s="128">
        <v>-0.03</v>
      </c>
      <c r="U880" s="128">
        <v>0</v>
      </c>
      <c r="V880" s="128">
        <v>-0.03</v>
      </c>
      <c r="W880" s="128">
        <v>0</v>
      </c>
      <c r="X880" s="128">
        <v>0</v>
      </c>
      <c r="Y880" s="128">
        <v>0</v>
      </c>
      <c r="Z880" s="128">
        <v>-0.03</v>
      </c>
      <c r="AA880" s="128">
        <v>0</v>
      </c>
      <c r="AB880" s="126">
        <f t="shared" si="95"/>
        <v>3E-9</v>
      </c>
      <c r="AC880" s="122" t="s">
        <v>1838</v>
      </c>
      <c r="AD880" s="123">
        <f t="shared" si="97"/>
        <v>1983.9723217250009</v>
      </c>
    </row>
    <row r="881" spans="1:30" ht="12.75" hidden="1" customHeight="1">
      <c r="A881" s="125" t="str">
        <f t="shared" si="92"/>
        <v>LIC142HDFC Bank Ltd</v>
      </c>
      <c r="B881" s="125">
        <f>+IFERROR(VLOOKUP(L881,'TB mapping'!A:D,4,0),0)</f>
        <v>0</v>
      </c>
      <c r="C881" s="125">
        <f>+IFERROR(VLOOKUP(L881,'TB mapping'!A:C,3,0),0)</f>
        <v>0</v>
      </c>
      <c r="D881" s="125" t="str">
        <f t="shared" si="93"/>
        <v>LIC1420</v>
      </c>
      <c r="E881" s="125" t="str">
        <f t="shared" si="94"/>
        <v>LIC1420</v>
      </c>
      <c r="F881" s="158" t="str">
        <f>+VLOOKUP(H881,'code mapping'!A:C,3,0)</f>
        <v>LIC142</v>
      </c>
      <c r="G881" s="127" t="s">
        <v>453</v>
      </c>
      <c r="H881" s="127" t="s">
        <v>589</v>
      </c>
      <c r="I881" s="127" t="s">
        <v>590</v>
      </c>
      <c r="J881" s="128">
        <v>140000</v>
      </c>
      <c r="K881" s="127" t="s">
        <v>472</v>
      </c>
      <c r="L881" s="151">
        <v>140372</v>
      </c>
      <c r="M881" s="128">
        <v>0</v>
      </c>
      <c r="N881" s="127" t="s">
        <v>476</v>
      </c>
      <c r="O881" s="127" t="s">
        <v>457</v>
      </c>
      <c r="P881" s="128">
        <v>0</v>
      </c>
      <c r="Q881" s="128">
        <v>19.440000000000001</v>
      </c>
      <c r="R881" s="128">
        <v>0</v>
      </c>
      <c r="S881" s="128">
        <v>0</v>
      </c>
      <c r="T881" s="128">
        <v>0</v>
      </c>
      <c r="U881" s="128">
        <v>19.440000000000001</v>
      </c>
      <c r="V881" s="128">
        <v>0</v>
      </c>
      <c r="W881" s="128">
        <v>19.440000000000001</v>
      </c>
      <c r="X881" s="128">
        <v>0</v>
      </c>
      <c r="Y881" s="128">
        <v>0</v>
      </c>
      <c r="Z881" s="128">
        <v>0</v>
      </c>
      <c r="AA881" s="128">
        <v>19.440000000000001</v>
      </c>
      <c r="AB881" s="126">
        <f t="shared" si="95"/>
        <v>-1.9439999999999999E-6</v>
      </c>
      <c r="AC881" s="122" t="s">
        <v>1838</v>
      </c>
      <c r="AD881" s="123">
        <f t="shared" si="97"/>
        <v>1983.9723217250009</v>
      </c>
    </row>
    <row r="882" spans="1:30" ht="12.75" hidden="1" customHeight="1">
      <c r="A882" s="125" t="str">
        <f t="shared" si="92"/>
        <v>LIC142Standard Chartered Bank- India</v>
      </c>
      <c r="B882" s="125">
        <f>+IFERROR(VLOOKUP(L882,'TB mapping'!A:D,4,0),0)</f>
        <v>0</v>
      </c>
      <c r="C882" s="125">
        <f>+IFERROR(VLOOKUP(L882,'TB mapping'!A:C,3,0),0)</f>
        <v>0</v>
      </c>
      <c r="D882" s="125" t="str">
        <f t="shared" si="93"/>
        <v>LIC1420</v>
      </c>
      <c r="E882" s="125" t="str">
        <f t="shared" si="94"/>
        <v>LIC1420</v>
      </c>
      <c r="F882" s="158" t="str">
        <f>+VLOOKUP(H882,'code mapping'!A:C,3,0)</f>
        <v>LIC142</v>
      </c>
      <c r="G882" s="127" t="s">
        <v>453</v>
      </c>
      <c r="H882" s="127" t="s">
        <v>589</v>
      </c>
      <c r="I882" s="127" t="s">
        <v>590</v>
      </c>
      <c r="J882" s="128">
        <v>140000</v>
      </c>
      <c r="K882" s="127" t="s">
        <v>472</v>
      </c>
      <c r="L882" s="151">
        <v>140500</v>
      </c>
      <c r="M882" s="128">
        <v>0</v>
      </c>
      <c r="N882" s="127" t="s">
        <v>477</v>
      </c>
      <c r="O882" s="127" t="s">
        <v>457</v>
      </c>
      <c r="P882" s="128">
        <v>-121666.48</v>
      </c>
      <c r="Q882" s="128">
        <v>0</v>
      </c>
      <c r="R882" s="128">
        <v>0</v>
      </c>
      <c r="S882" s="128">
        <v>0</v>
      </c>
      <c r="T882" s="128">
        <v>-121666.48</v>
      </c>
      <c r="U882" s="128">
        <v>0</v>
      </c>
      <c r="V882" s="128">
        <v>-121666.48</v>
      </c>
      <c r="W882" s="128">
        <v>0</v>
      </c>
      <c r="X882" s="128">
        <v>0</v>
      </c>
      <c r="Y882" s="128">
        <v>0</v>
      </c>
      <c r="Z882" s="128">
        <v>-121666.48</v>
      </c>
      <c r="AA882" s="128">
        <v>0</v>
      </c>
      <c r="AB882" s="126">
        <f t="shared" si="95"/>
        <v>1.2166648E-2</v>
      </c>
      <c r="AC882" s="122" t="s">
        <v>1838</v>
      </c>
      <c r="AD882" s="123">
        <f t="shared" si="97"/>
        <v>1983.9723217250009</v>
      </c>
    </row>
    <row r="883" spans="1:30" ht="12.75" hidden="1" customHeight="1">
      <c r="A883" s="125" t="str">
        <f t="shared" si="92"/>
        <v>LIC142Amort Receivable - CBLO</v>
      </c>
      <c r="B883" s="125">
        <f>+IFERROR(VLOOKUP(L883,'TB mapping'!A:D,4,0),0)</f>
        <v>0</v>
      </c>
      <c r="C883" s="125">
        <f>+IFERROR(VLOOKUP(L883,'TB mapping'!A:C,3,0),0)</f>
        <v>0</v>
      </c>
      <c r="D883" s="125" t="str">
        <f t="shared" si="93"/>
        <v>LIC1420</v>
      </c>
      <c r="E883" s="125" t="str">
        <f t="shared" si="94"/>
        <v>LIC1420</v>
      </c>
      <c r="F883" s="158" t="str">
        <f>+VLOOKUP(H883,'code mapping'!A:C,3,0)</f>
        <v>LIC142</v>
      </c>
      <c r="G883" s="127" t="s">
        <v>453</v>
      </c>
      <c r="H883" s="127" t="s">
        <v>589</v>
      </c>
      <c r="I883" s="127" t="s">
        <v>590</v>
      </c>
      <c r="J883" s="128">
        <v>152000</v>
      </c>
      <c r="K883" s="127" t="s">
        <v>478</v>
      </c>
      <c r="L883" s="151">
        <v>152232</v>
      </c>
      <c r="M883" s="128">
        <v>0</v>
      </c>
      <c r="N883" s="127" t="s">
        <v>482</v>
      </c>
      <c r="O883" s="127" t="s">
        <v>457</v>
      </c>
      <c r="P883" s="128">
        <v>-81109.650000000009</v>
      </c>
      <c r="Q883" s="128">
        <v>0</v>
      </c>
      <c r="R883" s="128">
        <v>0</v>
      </c>
      <c r="S883" s="128">
        <v>0</v>
      </c>
      <c r="T883" s="128">
        <v>-81109.650000000009</v>
      </c>
      <c r="U883" s="128">
        <v>0</v>
      </c>
      <c r="V883" s="128">
        <v>-81109.650000000009</v>
      </c>
      <c r="W883" s="128">
        <v>0</v>
      </c>
      <c r="X883" s="128">
        <v>0</v>
      </c>
      <c r="Y883" s="128">
        <v>0</v>
      </c>
      <c r="Z883" s="128">
        <v>-81109.650000000009</v>
      </c>
      <c r="AA883" s="128">
        <v>0</v>
      </c>
      <c r="AB883" s="126">
        <f t="shared" si="95"/>
        <v>8.1109650000000012E-3</v>
      </c>
      <c r="AC883" s="122" t="s">
        <v>1838</v>
      </c>
      <c r="AD883" s="123">
        <f t="shared" si="97"/>
        <v>1983.9723217250009</v>
      </c>
    </row>
    <row r="884" spans="1:30" ht="12.75" hidden="1" customHeight="1">
      <c r="A884" s="125" t="str">
        <f t="shared" si="92"/>
        <v>LIC142Prov Unr P/L - Equities</v>
      </c>
      <c r="B884" s="125">
        <f>+IFERROR(VLOOKUP(L884,'TB mapping'!A:D,4,0),0)</f>
        <v>0</v>
      </c>
      <c r="C884" s="125">
        <f>+IFERROR(VLOOKUP(L884,'TB mapping'!A:C,3,0),0)</f>
        <v>0</v>
      </c>
      <c r="D884" s="125" t="str">
        <f t="shared" si="93"/>
        <v>LIC1420</v>
      </c>
      <c r="E884" s="125" t="str">
        <f t="shared" si="94"/>
        <v>LIC1420</v>
      </c>
      <c r="F884" s="158" t="str">
        <f>+VLOOKUP(H884,'code mapping'!A:C,3,0)</f>
        <v>LIC142</v>
      </c>
      <c r="G884" s="127" t="s">
        <v>453</v>
      </c>
      <c r="H884" s="127" t="s">
        <v>589</v>
      </c>
      <c r="I884" s="127" t="s">
        <v>590</v>
      </c>
      <c r="J884" s="128">
        <v>160000</v>
      </c>
      <c r="K884" s="127" t="s">
        <v>483</v>
      </c>
      <c r="L884" s="151">
        <v>161100</v>
      </c>
      <c r="M884" s="128">
        <v>0</v>
      </c>
      <c r="N884" s="127" t="s">
        <v>595</v>
      </c>
      <c r="O884" s="127" t="s">
        <v>457</v>
      </c>
      <c r="P884" s="128">
        <v>-813398.11</v>
      </c>
      <c r="Q884" s="128">
        <v>0</v>
      </c>
      <c r="R884" s="128">
        <v>0</v>
      </c>
      <c r="S884" s="128">
        <v>0</v>
      </c>
      <c r="T884" s="128">
        <v>-813398.11</v>
      </c>
      <c r="U884" s="128">
        <v>0</v>
      </c>
      <c r="V884" s="128">
        <v>-813398.11</v>
      </c>
      <c r="W884" s="128">
        <v>0</v>
      </c>
      <c r="X884" s="128">
        <v>0</v>
      </c>
      <c r="Y884" s="128">
        <v>0</v>
      </c>
      <c r="Z884" s="128">
        <v>-813398.11</v>
      </c>
      <c r="AA884" s="128">
        <v>0</v>
      </c>
      <c r="AB884" s="126">
        <f t="shared" si="95"/>
        <v>8.1339810999999998E-2</v>
      </c>
      <c r="AC884" s="122" t="s">
        <v>1838</v>
      </c>
      <c r="AD884" s="123">
        <f t="shared" si="97"/>
        <v>1983.9723217250009</v>
      </c>
    </row>
    <row r="885" spans="1:30" ht="12.75" hidden="1" customHeight="1">
      <c r="A885" s="125" t="str">
        <f t="shared" si="92"/>
        <v>LIC142Audit Fee-Payable</v>
      </c>
      <c r="B885" s="125">
        <f>+IFERROR(VLOOKUP(L885,'TB mapping'!A:D,4,0),0)</f>
        <v>0</v>
      </c>
      <c r="C885" s="125">
        <f>+IFERROR(VLOOKUP(L885,'TB mapping'!A:C,3,0),0)</f>
        <v>0</v>
      </c>
      <c r="D885" s="125" t="str">
        <f t="shared" si="93"/>
        <v>LIC1420</v>
      </c>
      <c r="E885" s="125" t="str">
        <f t="shared" si="94"/>
        <v>LIC1420</v>
      </c>
      <c r="F885" s="158" t="str">
        <f>+VLOOKUP(H885,'code mapping'!A:C,3,0)</f>
        <v>LIC142</v>
      </c>
      <c r="G885" s="127" t="s">
        <v>453</v>
      </c>
      <c r="H885" s="127" t="s">
        <v>589</v>
      </c>
      <c r="I885" s="127" t="s">
        <v>590</v>
      </c>
      <c r="J885" s="128">
        <v>212000</v>
      </c>
      <c r="K885" s="127" t="s">
        <v>487</v>
      </c>
      <c r="L885" s="151">
        <v>212194</v>
      </c>
      <c r="M885" s="128">
        <v>0</v>
      </c>
      <c r="N885" s="127" t="s">
        <v>496</v>
      </c>
      <c r="O885" s="127" t="s">
        <v>457</v>
      </c>
      <c r="P885" s="128">
        <v>-1374.3</v>
      </c>
      <c r="Q885" s="128">
        <v>0</v>
      </c>
      <c r="R885" s="128">
        <v>0</v>
      </c>
      <c r="S885" s="128">
        <v>0</v>
      </c>
      <c r="T885" s="128">
        <v>-1374.3</v>
      </c>
      <c r="U885" s="128">
        <v>0</v>
      </c>
      <c r="V885" s="128">
        <v>-1374.3</v>
      </c>
      <c r="W885" s="128">
        <v>0</v>
      </c>
      <c r="X885" s="128">
        <v>0</v>
      </c>
      <c r="Y885" s="128">
        <v>0</v>
      </c>
      <c r="Z885" s="128">
        <v>-1374.3</v>
      </c>
      <c r="AA885" s="128">
        <v>0</v>
      </c>
      <c r="AB885" s="126">
        <f t="shared" si="95"/>
        <v>1.3742999999999999E-4</v>
      </c>
      <c r="AC885" s="122" t="s">
        <v>1838</v>
      </c>
      <c r="AD885" s="123">
        <f t="shared" si="97"/>
        <v>1983.9723217250009</v>
      </c>
    </row>
    <row r="886" spans="1:30" ht="12.75" hidden="1" customHeight="1">
      <c r="A886" s="125" t="str">
        <f t="shared" si="92"/>
        <v>LIC142Other Exp- Payable</v>
      </c>
      <c r="B886" s="125">
        <f>+IFERROR(VLOOKUP(L886,'TB mapping'!A:D,4,0),0)</f>
        <v>0</v>
      </c>
      <c r="C886" s="125">
        <f>+IFERROR(VLOOKUP(L886,'TB mapping'!A:C,3,0),0)</f>
        <v>0</v>
      </c>
      <c r="D886" s="125" t="str">
        <f t="shared" si="93"/>
        <v>LIC1420</v>
      </c>
      <c r="E886" s="125" t="str">
        <f t="shared" si="94"/>
        <v>LIC1420</v>
      </c>
      <c r="F886" s="158" t="str">
        <f>+VLOOKUP(H886,'code mapping'!A:C,3,0)</f>
        <v>LIC142</v>
      </c>
      <c r="G886" s="127" t="s">
        <v>453</v>
      </c>
      <c r="H886" s="127" t="s">
        <v>589</v>
      </c>
      <c r="I886" s="127" t="s">
        <v>590</v>
      </c>
      <c r="J886" s="128">
        <v>212000</v>
      </c>
      <c r="K886" s="127" t="s">
        <v>487</v>
      </c>
      <c r="L886" s="151">
        <v>212220</v>
      </c>
      <c r="M886" s="128">
        <v>0</v>
      </c>
      <c r="N886" s="127" t="s">
        <v>497</v>
      </c>
      <c r="O886" s="127" t="s">
        <v>457</v>
      </c>
      <c r="P886" s="128">
        <v>0</v>
      </c>
      <c r="Q886" s="128">
        <v>148308.98000000001</v>
      </c>
      <c r="R886" s="128">
        <v>0</v>
      </c>
      <c r="S886" s="128">
        <v>0</v>
      </c>
      <c r="T886" s="128">
        <v>0</v>
      </c>
      <c r="U886" s="128">
        <v>148308.98000000001</v>
      </c>
      <c r="V886" s="128">
        <v>0</v>
      </c>
      <c r="W886" s="128">
        <v>148308.98000000001</v>
      </c>
      <c r="X886" s="128">
        <v>0</v>
      </c>
      <c r="Y886" s="128">
        <v>0</v>
      </c>
      <c r="Z886" s="128">
        <v>0</v>
      </c>
      <c r="AA886" s="128">
        <v>148308.98000000001</v>
      </c>
      <c r="AB886" s="126">
        <f t="shared" si="95"/>
        <v>-1.4830898E-2</v>
      </c>
      <c r="AC886" s="122" t="s">
        <v>1838</v>
      </c>
      <c r="AD886" s="123">
        <f t="shared" si="97"/>
        <v>1983.9723217250009</v>
      </c>
    </row>
    <row r="887" spans="1:30" ht="12.75" hidden="1" customHeight="1">
      <c r="A887" s="125" t="str">
        <f t="shared" si="92"/>
        <v>LIC142Expense Allocation-Liab'ity Ac</v>
      </c>
      <c r="B887" s="125">
        <f>+IFERROR(VLOOKUP(L887,'TB mapping'!A:D,4,0),0)</f>
        <v>0</v>
      </c>
      <c r="C887" s="125">
        <f>+IFERROR(VLOOKUP(L887,'TB mapping'!A:C,3,0),0)</f>
        <v>0</v>
      </c>
      <c r="D887" s="125" t="str">
        <f t="shared" si="93"/>
        <v>LIC1420</v>
      </c>
      <c r="E887" s="125" t="str">
        <f t="shared" si="94"/>
        <v>LIC1420</v>
      </c>
      <c r="F887" s="158" t="str">
        <f>+VLOOKUP(H887,'code mapping'!A:C,3,0)</f>
        <v>LIC142</v>
      </c>
      <c r="G887" s="127" t="s">
        <v>453</v>
      </c>
      <c r="H887" s="127" t="s">
        <v>589</v>
      </c>
      <c r="I887" s="127" t="s">
        <v>590</v>
      </c>
      <c r="J887" s="128">
        <v>212000</v>
      </c>
      <c r="K887" s="127" t="s">
        <v>487</v>
      </c>
      <c r="L887" s="151">
        <v>212223</v>
      </c>
      <c r="M887" s="128">
        <v>0</v>
      </c>
      <c r="N887" s="127" t="s">
        <v>498</v>
      </c>
      <c r="O887" s="127" t="s">
        <v>457</v>
      </c>
      <c r="P887" s="128">
        <v>-73098.25</v>
      </c>
      <c r="Q887" s="128">
        <v>0</v>
      </c>
      <c r="R887" s="128">
        <v>0</v>
      </c>
      <c r="S887" s="128">
        <v>0</v>
      </c>
      <c r="T887" s="128">
        <v>-73098.25</v>
      </c>
      <c r="U887" s="128">
        <v>0</v>
      </c>
      <c r="V887" s="128">
        <v>-73098.25</v>
      </c>
      <c r="W887" s="128">
        <v>0</v>
      </c>
      <c r="X887" s="128">
        <v>0</v>
      </c>
      <c r="Y887" s="128">
        <v>0</v>
      </c>
      <c r="Z887" s="128">
        <v>-73098.25</v>
      </c>
      <c r="AA887" s="128">
        <v>0</v>
      </c>
      <c r="AB887" s="126">
        <f t="shared" si="95"/>
        <v>7.3098249999999998E-3</v>
      </c>
      <c r="AC887" s="122" t="s">
        <v>1838</v>
      </c>
      <c r="AD887" s="123">
        <f t="shared" si="97"/>
        <v>1983.9723217250009</v>
      </c>
    </row>
    <row r="888" spans="1:30" ht="12.75" hidden="1" customHeight="1">
      <c r="A888" s="125" t="str">
        <f t="shared" si="92"/>
        <v>LIC142Investor Education Payable</v>
      </c>
      <c r="B888" s="125">
        <f>+IFERROR(VLOOKUP(L888,'TB mapping'!A:D,4,0),0)</f>
        <v>0</v>
      </c>
      <c r="C888" s="125">
        <f>+IFERROR(VLOOKUP(L888,'TB mapping'!A:C,3,0),0)</f>
        <v>0</v>
      </c>
      <c r="D888" s="125" t="str">
        <f t="shared" si="93"/>
        <v>LIC1420</v>
      </c>
      <c r="E888" s="125" t="str">
        <f t="shared" si="94"/>
        <v>LIC1420</v>
      </c>
      <c r="F888" s="158" t="str">
        <f>+VLOOKUP(H888,'code mapping'!A:C,3,0)</f>
        <v>LIC142</v>
      </c>
      <c r="G888" s="127" t="s">
        <v>453</v>
      </c>
      <c r="H888" s="127" t="s">
        <v>589</v>
      </c>
      <c r="I888" s="127" t="s">
        <v>590</v>
      </c>
      <c r="J888" s="128">
        <v>212000</v>
      </c>
      <c r="K888" s="127" t="s">
        <v>487</v>
      </c>
      <c r="L888" s="151">
        <v>212240</v>
      </c>
      <c r="M888" s="128">
        <v>0</v>
      </c>
      <c r="N888" s="127" t="s">
        <v>500</v>
      </c>
      <c r="O888" s="127" t="s">
        <v>457</v>
      </c>
      <c r="P888" s="128">
        <v>0</v>
      </c>
      <c r="Q888" s="128">
        <v>1643.83</v>
      </c>
      <c r="R888" s="128">
        <v>0</v>
      </c>
      <c r="S888" s="128">
        <v>0</v>
      </c>
      <c r="T888" s="128">
        <v>0</v>
      </c>
      <c r="U888" s="128">
        <v>1643.83</v>
      </c>
      <c r="V888" s="128">
        <v>0</v>
      </c>
      <c r="W888" s="128">
        <v>1643.83</v>
      </c>
      <c r="X888" s="128">
        <v>0</v>
      </c>
      <c r="Y888" s="128">
        <v>0</v>
      </c>
      <c r="Z888" s="128">
        <v>0</v>
      </c>
      <c r="AA888" s="128">
        <v>1643.83</v>
      </c>
      <c r="AB888" s="126">
        <f t="shared" si="95"/>
        <v>-1.6438299999999999E-4</v>
      </c>
      <c r="AC888" s="122" t="s">
        <v>1838</v>
      </c>
      <c r="AD888" s="123">
        <f t="shared" si="97"/>
        <v>1983.9723217250009</v>
      </c>
    </row>
    <row r="889" spans="1:30" ht="12.75" hidden="1" customHeight="1">
      <c r="A889" s="125" t="str">
        <f t="shared" ref="A889:A952" si="98">+F889&amp;N889</f>
        <v>LIC142Transaction Charges Payable</v>
      </c>
      <c r="B889" s="125">
        <f>+IFERROR(VLOOKUP(L889,'TB mapping'!A:D,4,0),0)</f>
        <v>0</v>
      </c>
      <c r="C889" s="125">
        <f>+IFERROR(VLOOKUP(L889,'TB mapping'!A:C,3,0),0)</f>
        <v>0</v>
      </c>
      <c r="D889" s="125" t="str">
        <f t="shared" ref="D889:D952" si="99">+F889&amp;B889</f>
        <v>LIC1420</v>
      </c>
      <c r="E889" s="125" t="str">
        <f t="shared" ref="E889:E952" si="100">+F889&amp;C889</f>
        <v>LIC1420</v>
      </c>
      <c r="F889" s="158" t="str">
        <f>+VLOOKUP(H889,'code mapping'!A:C,3,0)</f>
        <v>LIC142</v>
      </c>
      <c r="G889" s="127" t="s">
        <v>453</v>
      </c>
      <c r="H889" s="127" t="s">
        <v>589</v>
      </c>
      <c r="I889" s="127" t="s">
        <v>590</v>
      </c>
      <c r="J889" s="128">
        <v>212000</v>
      </c>
      <c r="K889" s="127" t="s">
        <v>487</v>
      </c>
      <c r="L889" s="151">
        <v>212247</v>
      </c>
      <c r="M889" s="128">
        <v>0</v>
      </c>
      <c r="N889" s="127" t="s">
        <v>501</v>
      </c>
      <c r="O889" s="127" t="s">
        <v>457</v>
      </c>
      <c r="P889" s="128">
        <v>0</v>
      </c>
      <c r="Q889" s="128">
        <v>600</v>
      </c>
      <c r="R889" s="128">
        <v>0</v>
      </c>
      <c r="S889" s="128">
        <v>0</v>
      </c>
      <c r="T889" s="128">
        <v>0</v>
      </c>
      <c r="U889" s="128">
        <v>600</v>
      </c>
      <c r="V889" s="128">
        <v>0</v>
      </c>
      <c r="W889" s="128">
        <v>600</v>
      </c>
      <c r="X889" s="128">
        <v>0</v>
      </c>
      <c r="Y889" s="128">
        <v>0</v>
      </c>
      <c r="Z889" s="128">
        <v>0</v>
      </c>
      <c r="AA889" s="128">
        <v>600</v>
      </c>
      <c r="AB889" s="126">
        <f t="shared" ref="AB889:AB952" si="101">SUM(-Z889-AA889)/10^7</f>
        <v>-6.0000000000000002E-5</v>
      </c>
      <c r="AC889" s="122" t="s">
        <v>1838</v>
      </c>
      <c r="AD889" s="123">
        <f t="shared" si="97"/>
        <v>1983.9723217250009</v>
      </c>
    </row>
    <row r="890" spans="1:30" ht="12.75" hidden="1" customHeight="1">
      <c r="A890" s="125" t="str">
        <f t="shared" si="98"/>
        <v>LIC142Brokerage &amp; Dist Exp Payable</v>
      </c>
      <c r="B890" s="125">
        <f>+IFERROR(VLOOKUP(L890,'TB mapping'!A:D,4,0),0)</f>
        <v>0</v>
      </c>
      <c r="C890" s="125">
        <f>+IFERROR(VLOOKUP(L890,'TB mapping'!A:C,3,0),0)</f>
        <v>0</v>
      </c>
      <c r="D890" s="125" t="str">
        <f t="shared" si="99"/>
        <v>LIC1420</v>
      </c>
      <c r="E890" s="125" t="str">
        <f t="shared" si="100"/>
        <v>LIC1420</v>
      </c>
      <c r="F890" s="158" t="str">
        <f>+VLOOKUP(H890,'code mapping'!A:C,3,0)</f>
        <v>LIC142</v>
      </c>
      <c r="G890" s="127" t="s">
        <v>453</v>
      </c>
      <c r="H890" s="127" t="s">
        <v>589</v>
      </c>
      <c r="I890" s="127" t="s">
        <v>590</v>
      </c>
      <c r="J890" s="128">
        <v>212000</v>
      </c>
      <c r="K890" s="127" t="s">
        <v>487</v>
      </c>
      <c r="L890" s="151">
        <v>212255</v>
      </c>
      <c r="M890" s="128">
        <v>0</v>
      </c>
      <c r="N890" s="127" t="s">
        <v>503</v>
      </c>
      <c r="O890" s="127" t="s">
        <v>457</v>
      </c>
      <c r="P890" s="128">
        <v>0</v>
      </c>
      <c r="Q890" s="128">
        <v>238670.73</v>
      </c>
      <c r="R890" s="128">
        <v>0</v>
      </c>
      <c r="S890" s="128">
        <v>0</v>
      </c>
      <c r="T890" s="128">
        <v>0</v>
      </c>
      <c r="U890" s="128">
        <v>238670.73</v>
      </c>
      <c r="V890" s="128">
        <v>0</v>
      </c>
      <c r="W890" s="128">
        <v>238670.73</v>
      </c>
      <c r="X890" s="128">
        <v>0</v>
      </c>
      <c r="Y890" s="128">
        <v>0</v>
      </c>
      <c r="Z890" s="128">
        <v>0</v>
      </c>
      <c r="AA890" s="128">
        <v>238670.73</v>
      </c>
      <c r="AB890" s="126">
        <f t="shared" si="101"/>
        <v>-2.3867073000000003E-2</v>
      </c>
      <c r="AC890" s="122" t="s">
        <v>1838</v>
      </c>
      <c r="AD890" s="123">
        <f t="shared" si="97"/>
        <v>1983.9723217250009</v>
      </c>
    </row>
    <row r="891" spans="1:30" ht="12.75" hidden="1" customHeight="1">
      <c r="A891" s="125" t="str">
        <f t="shared" si="98"/>
        <v>LIC142Payable CGST on Mfees</v>
      </c>
      <c r="B891" s="125">
        <f>+IFERROR(VLOOKUP(L891,'TB mapping'!A:D,4,0),0)</f>
        <v>0</v>
      </c>
      <c r="C891" s="125">
        <f>+IFERROR(VLOOKUP(L891,'TB mapping'!A:C,3,0),0)</f>
        <v>0</v>
      </c>
      <c r="D891" s="125" t="str">
        <f t="shared" si="99"/>
        <v>LIC1420</v>
      </c>
      <c r="E891" s="125" t="str">
        <f t="shared" si="100"/>
        <v>LIC1420</v>
      </c>
      <c r="F891" s="158" t="str">
        <f>+VLOOKUP(H891,'code mapping'!A:C,3,0)</f>
        <v>LIC142</v>
      </c>
      <c r="G891" s="127" t="s">
        <v>453</v>
      </c>
      <c r="H891" s="127" t="s">
        <v>589</v>
      </c>
      <c r="I891" s="127" t="s">
        <v>590</v>
      </c>
      <c r="J891" s="128">
        <v>212000</v>
      </c>
      <c r="K891" s="127" t="s">
        <v>487</v>
      </c>
      <c r="L891" s="151">
        <v>212271</v>
      </c>
      <c r="M891" s="128">
        <v>0</v>
      </c>
      <c r="N891" s="127" t="s">
        <v>505</v>
      </c>
      <c r="O891" s="127" t="s">
        <v>457</v>
      </c>
      <c r="P891" s="128">
        <v>0</v>
      </c>
      <c r="Q891" s="128">
        <v>3815.19</v>
      </c>
      <c r="R891" s="128">
        <v>0</v>
      </c>
      <c r="S891" s="128">
        <v>0</v>
      </c>
      <c r="T891" s="128">
        <v>0</v>
      </c>
      <c r="U891" s="128">
        <v>3815.19</v>
      </c>
      <c r="V891" s="128">
        <v>0</v>
      </c>
      <c r="W891" s="128">
        <v>3815.19</v>
      </c>
      <c r="X891" s="128">
        <v>0</v>
      </c>
      <c r="Y891" s="128">
        <v>0</v>
      </c>
      <c r="Z891" s="128">
        <v>0</v>
      </c>
      <c r="AA891" s="128">
        <v>3815.19</v>
      </c>
      <c r="AB891" s="126">
        <f t="shared" si="101"/>
        <v>-3.8151900000000003E-4</v>
      </c>
      <c r="AC891" s="122" t="s">
        <v>1838</v>
      </c>
      <c r="AD891" s="123">
        <f t="shared" si="97"/>
        <v>1983.9723217250009</v>
      </c>
    </row>
    <row r="892" spans="1:30" ht="12.75" hidden="1" customHeight="1">
      <c r="A892" s="125" t="str">
        <f t="shared" si="98"/>
        <v>LIC142Payable SGST on Mfees</v>
      </c>
      <c r="B892" s="125">
        <f>+IFERROR(VLOOKUP(L892,'TB mapping'!A:D,4,0),0)</f>
        <v>0</v>
      </c>
      <c r="C892" s="125">
        <f>+IFERROR(VLOOKUP(L892,'TB mapping'!A:C,3,0),0)</f>
        <v>0</v>
      </c>
      <c r="D892" s="125" t="str">
        <f t="shared" si="99"/>
        <v>LIC1420</v>
      </c>
      <c r="E892" s="125" t="str">
        <f t="shared" si="100"/>
        <v>LIC1420</v>
      </c>
      <c r="F892" s="158" t="str">
        <f>+VLOOKUP(H892,'code mapping'!A:C,3,0)</f>
        <v>LIC142</v>
      </c>
      <c r="G892" s="127" t="s">
        <v>453</v>
      </c>
      <c r="H892" s="127" t="s">
        <v>589</v>
      </c>
      <c r="I892" s="127" t="s">
        <v>590</v>
      </c>
      <c r="J892" s="128">
        <v>212000</v>
      </c>
      <c r="K892" s="127" t="s">
        <v>487</v>
      </c>
      <c r="L892" s="151">
        <v>212272</v>
      </c>
      <c r="M892" s="128">
        <v>0</v>
      </c>
      <c r="N892" s="127" t="s">
        <v>506</v>
      </c>
      <c r="O892" s="127" t="s">
        <v>457</v>
      </c>
      <c r="P892" s="128">
        <v>0</v>
      </c>
      <c r="Q892" s="128">
        <v>3815.19</v>
      </c>
      <c r="R892" s="128">
        <v>0</v>
      </c>
      <c r="S892" s="128">
        <v>0</v>
      </c>
      <c r="T892" s="128">
        <v>0</v>
      </c>
      <c r="U892" s="128">
        <v>3815.19</v>
      </c>
      <c r="V892" s="128">
        <v>0</v>
      </c>
      <c r="W892" s="128">
        <v>3815.19</v>
      </c>
      <c r="X892" s="128">
        <v>0</v>
      </c>
      <c r="Y892" s="128">
        <v>0</v>
      </c>
      <c r="Z892" s="128">
        <v>0</v>
      </c>
      <c r="AA892" s="128">
        <v>3815.19</v>
      </c>
      <c r="AB892" s="126">
        <f t="shared" si="101"/>
        <v>-3.8151900000000003E-4</v>
      </c>
      <c r="AC892" s="122" t="s">
        <v>1838</v>
      </c>
      <c r="AD892" s="123">
        <f t="shared" si="97"/>
        <v>1983.9723217250009</v>
      </c>
    </row>
    <row r="893" spans="1:30" ht="12.75" hidden="1" customHeight="1">
      <c r="A893" s="125" t="str">
        <f t="shared" si="98"/>
        <v>LIC142Payable -Inv Educ Fund-AMFI</v>
      </c>
      <c r="B893" s="125">
        <f>+IFERROR(VLOOKUP(L893,'TB mapping'!A:D,4,0),0)</f>
        <v>0</v>
      </c>
      <c r="C893" s="125">
        <f>+IFERROR(VLOOKUP(L893,'TB mapping'!A:C,3,0),0)</f>
        <v>0</v>
      </c>
      <c r="D893" s="125" t="str">
        <f t="shared" si="99"/>
        <v>LIC1420</v>
      </c>
      <c r="E893" s="125" t="str">
        <f t="shared" si="100"/>
        <v>LIC1420</v>
      </c>
      <c r="F893" s="158" t="str">
        <f>+VLOOKUP(H893,'code mapping'!A:C,3,0)</f>
        <v>LIC142</v>
      </c>
      <c r="G893" s="127" t="s">
        <v>453</v>
      </c>
      <c r="H893" s="127" t="s">
        <v>589</v>
      </c>
      <c r="I893" s="127" t="s">
        <v>590</v>
      </c>
      <c r="J893" s="128">
        <v>212000</v>
      </c>
      <c r="K893" s="127" t="s">
        <v>487</v>
      </c>
      <c r="L893" s="151">
        <v>213166</v>
      </c>
      <c r="M893" s="128">
        <v>0</v>
      </c>
      <c r="N893" s="127" t="s">
        <v>507</v>
      </c>
      <c r="O893" s="127" t="s">
        <v>457</v>
      </c>
      <c r="P893" s="128">
        <v>0</v>
      </c>
      <c r="Q893" s="128">
        <v>1643.83</v>
      </c>
      <c r="R893" s="128">
        <v>0</v>
      </c>
      <c r="S893" s="128">
        <v>0</v>
      </c>
      <c r="T893" s="128">
        <v>0</v>
      </c>
      <c r="U893" s="128">
        <v>1643.83</v>
      </c>
      <c r="V893" s="128">
        <v>0</v>
      </c>
      <c r="W893" s="128">
        <v>1643.83</v>
      </c>
      <c r="X893" s="128">
        <v>0</v>
      </c>
      <c r="Y893" s="128">
        <v>0</v>
      </c>
      <c r="Z893" s="128">
        <v>0</v>
      </c>
      <c r="AA893" s="128">
        <v>1643.83</v>
      </c>
      <c r="AB893" s="126">
        <f t="shared" si="101"/>
        <v>-1.6438299999999999E-4</v>
      </c>
      <c r="AC893" s="122" t="s">
        <v>1838</v>
      </c>
      <c r="AD893" s="123">
        <f t="shared" si="97"/>
        <v>1983.9723217250009</v>
      </c>
    </row>
    <row r="894" spans="1:30" ht="12.75" hidden="1" customHeight="1">
      <c r="A894" s="125" t="str">
        <f t="shared" si="98"/>
        <v>LIC142Management Fee Payable</v>
      </c>
      <c r="B894" s="125">
        <f>+IFERROR(VLOOKUP(L894,'TB mapping'!A:D,4,0),0)</f>
        <v>0</v>
      </c>
      <c r="C894" s="125">
        <f>+IFERROR(VLOOKUP(L894,'TB mapping'!A:C,3,0),0)</f>
        <v>0</v>
      </c>
      <c r="D894" s="125" t="str">
        <f t="shared" si="99"/>
        <v>LIC1420</v>
      </c>
      <c r="E894" s="125" t="str">
        <f t="shared" si="100"/>
        <v>LIC1420</v>
      </c>
      <c r="F894" s="158" t="str">
        <f>+VLOOKUP(H894,'code mapping'!A:C,3,0)</f>
        <v>LIC142</v>
      </c>
      <c r="G894" s="127" t="s">
        <v>453</v>
      </c>
      <c r="H894" s="127" t="s">
        <v>589</v>
      </c>
      <c r="I894" s="127" t="s">
        <v>590</v>
      </c>
      <c r="J894" s="128">
        <v>213000</v>
      </c>
      <c r="K894" s="127" t="s">
        <v>508</v>
      </c>
      <c r="L894" s="151">
        <v>213500</v>
      </c>
      <c r="M894" s="128">
        <v>0</v>
      </c>
      <c r="N894" s="127" t="s">
        <v>509</v>
      </c>
      <c r="O894" s="127" t="s">
        <v>457</v>
      </c>
      <c r="P894" s="128">
        <v>0</v>
      </c>
      <c r="Q894" s="128">
        <v>42386.74</v>
      </c>
      <c r="R894" s="128">
        <v>0</v>
      </c>
      <c r="S894" s="128">
        <v>0</v>
      </c>
      <c r="T894" s="128">
        <v>0</v>
      </c>
      <c r="U894" s="128">
        <v>42386.74</v>
      </c>
      <c r="V894" s="128">
        <v>0</v>
      </c>
      <c r="W894" s="128">
        <v>42386.74</v>
      </c>
      <c r="X894" s="128">
        <v>0</v>
      </c>
      <c r="Y894" s="128">
        <v>0</v>
      </c>
      <c r="Z894" s="128">
        <v>0</v>
      </c>
      <c r="AA894" s="128">
        <v>42386.74</v>
      </c>
      <c r="AB894" s="126">
        <f t="shared" si="101"/>
        <v>-4.2386739999999996E-3</v>
      </c>
      <c r="AC894" s="122" t="s">
        <v>1838</v>
      </c>
      <c r="AD894" s="123">
        <f t="shared" si="97"/>
        <v>1983.9723217250009</v>
      </c>
    </row>
    <row r="895" spans="1:30" ht="12.75" hidden="1" customHeight="1">
      <c r="A895" s="125" t="str">
        <f t="shared" si="98"/>
        <v>LIC142Other Adjustment A/c.</v>
      </c>
      <c r="B895" s="125">
        <f>+IFERROR(VLOOKUP(L895,'TB mapping'!A:D,4,0),0)</f>
        <v>0</v>
      </c>
      <c r="C895" s="125">
        <f>+IFERROR(VLOOKUP(L895,'TB mapping'!A:C,3,0),0)</f>
        <v>0</v>
      </c>
      <c r="D895" s="125" t="str">
        <f t="shared" si="99"/>
        <v>LIC1420</v>
      </c>
      <c r="E895" s="125" t="str">
        <f t="shared" si="100"/>
        <v>LIC1420</v>
      </c>
      <c r="F895" s="158" t="str">
        <f>+VLOOKUP(H895,'code mapping'!A:C,3,0)</f>
        <v>LIC142</v>
      </c>
      <c r="G895" s="127" t="s">
        <v>453</v>
      </c>
      <c r="H895" s="127" t="s">
        <v>589</v>
      </c>
      <c r="I895" s="127" t="s">
        <v>590</v>
      </c>
      <c r="J895" s="128">
        <v>220000</v>
      </c>
      <c r="K895" s="127" t="s">
        <v>510</v>
      </c>
      <c r="L895" s="151">
        <v>190000</v>
      </c>
      <c r="M895" s="128">
        <v>0</v>
      </c>
      <c r="N895" s="127" t="s">
        <v>511</v>
      </c>
      <c r="O895" s="127" t="s">
        <v>457</v>
      </c>
      <c r="P895" s="128">
        <v>-0.4</v>
      </c>
      <c r="Q895" s="128">
        <v>0</v>
      </c>
      <c r="R895" s="128">
        <v>0</v>
      </c>
      <c r="S895" s="128">
        <v>0</v>
      </c>
      <c r="T895" s="128">
        <v>-0.4</v>
      </c>
      <c r="U895" s="128">
        <v>0</v>
      </c>
      <c r="V895" s="128">
        <v>-0.4</v>
      </c>
      <c r="W895" s="128">
        <v>0</v>
      </c>
      <c r="X895" s="128">
        <v>0</v>
      </c>
      <c r="Y895" s="128">
        <v>0</v>
      </c>
      <c r="Z895" s="128">
        <v>-0.4</v>
      </c>
      <c r="AA895" s="128">
        <v>0</v>
      </c>
      <c r="AB895" s="126">
        <f t="shared" si="101"/>
        <v>4.0000000000000001E-8</v>
      </c>
      <c r="AC895" s="122" t="s">
        <v>1838</v>
      </c>
      <c r="AD895" s="123">
        <f t="shared" si="97"/>
        <v>1983.9723217250009</v>
      </c>
    </row>
    <row r="896" spans="1:30" ht="12.75" hidden="1" customHeight="1">
      <c r="A896" s="125" t="str">
        <f t="shared" si="98"/>
        <v>LIC142Prov  Withholding Brok 2016-17</v>
      </c>
      <c r="B896" s="125">
        <f>+IFERROR(VLOOKUP(L896,'TB mapping'!A:D,4,0),0)</f>
        <v>0</v>
      </c>
      <c r="C896" s="125">
        <f>+IFERROR(VLOOKUP(L896,'TB mapping'!A:C,3,0),0)</f>
        <v>0</v>
      </c>
      <c r="D896" s="125" t="str">
        <f t="shared" si="99"/>
        <v>LIC1420</v>
      </c>
      <c r="E896" s="125" t="str">
        <f t="shared" si="100"/>
        <v>LIC1420</v>
      </c>
      <c r="F896" s="158" t="str">
        <f>+VLOOKUP(H896,'code mapping'!A:C,3,0)</f>
        <v>LIC142</v>
      </c>
      <c r="G896" s="127" t="s">
        <v>453</v>
      </c>
      <c r="H896" s="127" t="s">
        <v>589</v>
      </c>
      <c r="I896" s="127" t="s">
        <v>590</v>
      </c>
      <c r="J896" s="128">
        <v>220000</v>
      </c>
      <c r="K896" s="127" t="s">
        <v>510</v>
      </c>
      <c r="L896" s="151">
        <v>210163</v>
      </c>
      <c r="M896" s="128">
        <v>0</v>
      </c>
      <c r="N896" s="127" t="s">
        <v>513</v>
      </c>
      <c r="O896" s="127" t="s">
        <v>457</v>
      </c>
      <c r="P896" s="128">
        <v>0</v>
      </c>
      <c r="Q896" s="128">
        <v>1351.45</v>
      </c>
      <c r="R896" s="128">
        <v>0</v>
      </c>
      <c r="S896" s="128">
        <v>0</v>
      </c>
      <c r="T896" s="128">
        <v>0</v>
      </c>
      <c r="U896" s="128">
        <v>1351.45</v>
      </c>
      <c r="V896" s="128">
        <v>0</v>
      </c>
      <c r="W896" s="128">
        <v>1351.45</v>
      </c>
      <c r="X896" s="128">
        <v>0</v>
      </c>
      <c r="Y896" s="128">
        <v>0</v>
      </c>
      <c r="Z896" s="128">
        <v>0</v>
      </c>
      <c r="AA896" s="128">
        <v>1351.45</v>
      </c>
      <c r="AB896" s="126">
        <f t="shared" si="101"/>
        <v>-1.3514500000000001E-4</v>
      </c>
      <c r="AC896" s="122" t="s">
        <v>1838</v>
      </c>
      <c r="AD896" s="123">
        <f t="shared" si="97"/>
        <v>1983.9723217250009</v>
      </c>
    </row>
    <row r="897" spans="1:30" ht="12.75" hidden="1" customHeight="1">
      <c r="A897" s="125" t="str">
        <f t="shared" si="98"/>
        <v>LIC142Unit Capital</v>
      </c>
      <c r="B897" s="125">
        <f>+IFERROR(VLOOKUP(L897,'TB mapping'!A:D,4,0),0)</f>
        <v>0</v>
      </c>
      <c r="C897" s="125">
        <f>+IFERROR(VLOOKUP(L897,'TB mapping'!A:C,3,0),0)</f>
        <v>0</v>
      </c>
      <c r="D897" s="125" t="str">
        <f t="shared" si="99"/>
        <v>LIC1420</v>
      </c>
      <c r="E897" s="125" t="str">
        <f t="shared" si="100"/>
        <v>LIC1420</v>
      </c>
      <c r="F897" s="158" t="str">
        <f>+VLOOKUP(H897,'code mapping'!A:C,3,0)</f>
        <v>LIC142</v>
      </c>
      <c r="G897" s="127" t="s">
        <v>453</v>
      </c>
      <c r="H897" s="127" t="s">
        <v>589</v>
      </c>
      <c r="I897" s="127" t="s">
        <v>590</v>
      </c>
      <c r="J897" s="128">
        <v>301000</v>
      </c>
      <c r="K897" s="127" t="s">
        <v>514</v>
      </c>
      <c r="L897" s="151">
        <v>310000</v>
      </c>
      <c r="M897" s="128">
        <v>0</v>
      </c>
      <c r="N897" s="127" t="s">
        <v>515</v>
      </c>
      <c r="O897" s="127" t="s">
        <v>457</v>
      </c>
      <c r="P897" s="128">
        <v>0</v>
      </c>
      <c r="Q897" s="128">
        <v>152422146.12</v>
      </c>
      <c r="R897" s="128">
        <v>0</v>
      </c>
      <c r="S897" s="128">
        <v>0</v>
      </c>
      <c r="T897" s="128">
        <v>0</v>
      </c>
      <c r="U897" s="128">
        <v>152422146.12</v>
      </c>
      <c r="V897" s="128">
        <v>0</v>
      </c>
      <c r="W897" s="128">
        <v>152422146.12</v>
      </c>
      <c r="X897" s="128">
        <v>0</v>
      </c>
      <c r="Y897" s="128">
        <v>0</v>
      </c>
      <c r="Z897" s="128">
        <v>0</v>
      </c>
      <c r="AA897" s="128">
        <v>152422146.12</v>
      </c>
      <c r="AB897" s="126">
        <f t="shared" si="101"/>
        <v>-15.242214612</v>
      </c>
      <c r="AC897" s="122" t="s">
        <v>1838</v>
      </c>
      <c r="AD897" s="123">
        <f t="shared" si="97"/>
        <v>1983.9723217250009</v>
      </c>
    </row>
    <row r="898" spans="1:30" ht="12.75" hidden="1" customHeight="1">
      <c r="A898" s="125" t="str">
        <f t="shared" si="98"/>
        <v>LIC142Net Earnings</v>
      </c>
      <c r="B898" s="125">
        <f>+IFERROR(VLOOKUP(L898,'TB mapping'!A:D,4,0),0)</f>
        <v>0</v>
      </c>
      <c r="C898" s="125">
        <f>+IFERROR(VLOOKUP(L898,'TB mapping'!A:C,3,0),0)</f>
        <v>0</v>
      </c>
      <c r="D898" s="125" t="str">
        <f t="shared" si="99"/>
        <v>LIC1420</v>
      </c>
      <c r="E898" s="125" t="str">
        <f t="shared" si="100"/>
        <v>LIC1420</v>
      </c>
      <c r="F898" s="158" t="str">
        <f>+VLOOKUP(H898,'code mapping'!A:C,3,0)</f>
        <v>LIC142</v>
      </c>
      <c r="G898" s="127" t="s">
        <v>453</v>
      </c>
      <c r="H898" s="127" t="s">
        <v>589</v>
      </c>
      <c r="I898" s="127" t="s">
        <v>590</v>
      </c>
      <c r="J898" s="128">
        <v>303000</v>
      </c>
      <c r="K898" s="127" t="s">
        <v>516</v>
      </c>
      <c r="L898" s="151">
        <v>390000</v>
      </c>
      <c r="M898" s="128">
        <v>0</v>
      </c>
      <c r="N898" s="127" t="s">
        <v>521</v>
      </c>
      <c r="O898" s="127" t="s">
        <v>457</v>
      </c>
      <c r="P898" s="128">
        <v>0</v>
      </c>
      <c r="Q898" s="128">
        <v>33823538.359999999</v>
      </c>
      <c r="R898" s="128">
        <v>0</v>
      </c>
      <c r="S898" s="128">
        <v>0</v>
      </c>
      <c r="T898" s="128">
        <v>0</v>
      </c>
      <c r="U898" s="128">
        <v>33823538.359999999</v>
      </c>
      <c r="V898" s="128">
        <v>0</v>
      </c>
      <c r="W898" s="128">
        <v>33823538.359999999</v>
      </c>
      <c r="X898" s="128">
        <v>0</v>
      </c>
      <c r="Y898" s="128">
        <v>0</v>
      </c>
      <c r="Z898" s="128">
        <v>0</v>
      </c>
      <c r="AA898" s="128">
        <v>33823538.359999999</v>
      </c>
      <c r="AB898" s="126">
        <f t="shared" si="101"/>
        <v>-3.3823538360000001</v>
      </c>
      <c r="AC898" s="122" t="s">
        <v>1838</v>
      </c>
      <c r="AD898" s="123">
        <f t="shared" si="97"/>
        <v>1983.9723217250009</v>
      </c>
    </row>
    <row r="899" spans="1:30" ht="12.75" hidden="1" customHeight="1">
      <c r="A899" s="125" t="str">
        <f t="shared" si="98"/>
        <v>LIC142R/L G/P - Equities</v>
      </c>
      <c r="B899" s="125">
        <f>+IFERROR(VLOOKUP(L899,'TB mapping'!A:D,4,0),0)</f>
        <v>0</v>
      </c>
      <c r="C899" s="125">
        <f>+IFERROR(VLOOKUP(L899,'TB mapping'!A:C,3,0),0)</f>
        <v>5.3</v>
      </c>
      <c r="D899" s="125" t="str">
        <f t="shared" si="99"/>
        <v>LIC1420</v>
      </c>
      <c r="E899" s="125" t="str">
        <f t="shared" si="100"/>
        <v>LIC1425.3</v>
      </c>
      <c r="F899" s="158" t="str">
        <f>+VLOOKUP(H899,'code mapping'!A:C,3,0)</f>
        <v>LIC142</v>
      </c>
      <c r="G899" s="127" t="s">
        <v>453</v>
      </c>
      <c r="H899" s="127" t="s">
        <v>589</v>
      </c>
      <c r="I899" s="127" t="s">
        <v>590</v>
      </c>
      <c r="J899" s="128">
        <v>410000</v>
      </c>
      <c r="K899" s="127" t="s">
        <v>522</v>
      </c>
      <c r="L899" s="151">
        <v>411100</v>
      </c>
      <c r="M899" s="128">
        <v>0</v>
      </c>
      <c r="N899" s="127" t="s">
        <v>596</v>
      </c>
      <c r="O899" s="127" t="s">
        <v>457</v>
      </c>
      <c r="P899" s="128">
        <v>0</v>
      </c>
      <c r="Q899" s="128">
        <v>786765.79</v>
      </c>
      <c r="R899" s="128">
        <v>0</v>
      </c>
      <c r="S899" s="128">
        <v>0</v>
      </c>
      <c r="T899" s="128">
        <v>0</v>
      </c>
      <c r="U899" s="128">
        <v>786765.79</v>
      </c>
      <c r="V899" s="128">
        <v>0</v>
      </c>
      <c r="W899" s="128">
        <v>786765.79</v>
      </c>
      <c r="X899" s="128">
        <v>0</v>
      </c>
      <c r="Y899" s="128">
        <v>0</v>
      </c>
      <c r="Z899" s="128">
        <v>0</v>
      </c>
      <c r="AA899" s="128">
        <v>786765.79</v>
      </c>
      <c r="AB899" s="126">
        <f t="shared" si="101"/>
        <v>-7.867657900000001E-2</v>
      </c>
      <c r="AC899" s="122" t="s">
        <v>1838</v>
      </c>
      <c r="AD899" s="123">
        <f>SUMIF(E:E,E899,AB:AB)</f>
        <v>-5.5429853000000001E-2</v>
      </c>
    </row>
    <row r="900" spans="1:30" ht="12.75" hidden="1" customHeight="1">
      <c r="A900" s="125" t="str">
        <f t="shared" si="98"/>
        <v>LIC142Profit on Sale-Mutual Fd Units</v>
      </c>
      <c r="B900" s="125">
        <f>+IFERROR(VLOOKUP(L900,'TB mapping'!A:D,4,0),0)</f>
        <v>0</v>
      </c>
      <c r="C900" s="125">
        <f>+IFERROR(VLOOKUP(L900,'TB mapping'!A:C,3,0),0)</f>
        <v>5.3</v>
      </c>
      <c r="D900" s="125" t="str">
        <f t="shared" si="99"/>
        <v>LIC1420</v>
      </c>
      <c r="E900" s="125" t="str">
        <f t="shared" si="100"/>
        <v>LIC1425.3</v>
      </c>
      <c r="F900" s="158" t="str">
        <f>+VLOOKUP(H900,'code mapping'!A:C,3,0)</f>
        <v>LIC142</v>
      </c>
      <c r="G900" s="127" t="s">
        <v>453</v>
      </c>
      <c r="H900" s="127" t="s">
        <v>589</v>
      </c>
      <c r="I900" s="127" t="s">
        <v>590</v>
      </c>
      <c r="J900" s="128">
        <v>410000</v>
      </c>
      <c r="K900" s="127" t="s">
        <v>522</v>
      </c>
      <c r="L900" s="151">
        <v>415102</v>
      </c>
      <c r="M900" s="128">
        <v>0</v>
      </c>
      <c r="N900" s="127" t="s">
        <v>526</v>
      </c>
      <c r="O900" s="127" t="s">
        <v>457</v>
      </c>
      <c r="P900" s="128">
        <v>0</v>
      </c>
      <c r="Q900" s="128">
        <v>194803.51</v>
      </c>
      <c r="R900" s="128">
        <v>0</v>
      </c>
      <c r="S900" s="128">
        <v>0</v>
      </c>
      <c r="T900" s="128">
        <v>0</v>
      </c>
      <c r="U900" s="128">
        <v>194803.51</v>
      </c>
      <c r="V900" s="128">
        <v>0</v>
      </c>
      <c r="W900" s="128">
        <v>194803.51</v>
      </c>
      <c r="X900" s="128">
        <v>0</v>
      </c>
      <c r="Y900" s="128">
        <v>0</v>
      </c>
      <c r="Z900" s="128">
        <v>0</v>
      </c>
      <c r="AA900" s="128">
        <v>194803.51</v>
      </c>
      <c r="AB900" s="126">
        <f t="shared" si="101"/>
        <v>-1.9480351E-2</v>
      </c>
      <c r="AC900" s="122" t="s">
        <v>1838</v>
      </c>
      <c r="AD900" s="123">
        <f>SUMIF(E:E,E900,AB:AB)</f>
        <v>-5.5429853000000001E-2</v>
      </c>
    </row>
    <row r="901" spans="1:30" ht="12.75" hidden="1" customHeight="1">
      <c r="A901" s="125" t="str">
        <f t="shared" si="98"/>
        <v>LIC142UR/L G/P - Equities</v>
      </c>
      <c r="B901" s="125">
        <f>+IFERROR(VLOOKUP(L901,'TB mapping'!A:D,4,0),0)</f>
        <v>0</v>
      </c>
      <c r="C901" s="125" t="str">
        <f>+IFERROR(VLOOKUP(L901,'TB mapping'!A:C,3,0),0)</f>
        <v>Ignore</v>
      </c>
      <c r="D901" s="125" t="str">
        <f t="shared" si="99"/>
        <v>LIC1420</v>
      </c>
      <c r="E901" s="125" t="str">
        <f t="shared" si="100"/>
        <v>LIC142Ignore</v>
      </c>
      <c r="F901" s="158" t="str">
        <f>+VLOOKUP(H901,'code mapping'!A:C,3,0)</f>
        <v>LIC142</v>
      </c>
      <c r="G901" s="127" t="s">
        <v>453</v>
      </c>
      <c r="H901" s="127" t="s">
        <v>589</v>
      </c>
      <c r="I901" s="127" t="s">
        <v>590</v>
      </c>
      <c r="J901" s="128">
        <v>430000</v>
      </c>
      <c r="K901" s="127" t="s">
        <v>528</v>
      </c>
      <c r="L901" s="151">
        <v>431100</v>
      </c>
      <c r="M901" s="128">
        <v>0</v>
      </c>
      <c r="N901" s="127" t="s">
        <v>597</v>
      </c>
      <c r="O901" s="127" t="s">
        <v>457</v>
      </c>
      <c r="P901" s="128">
        <v>0</v>
      </c>
      <c r="Q901" s="128">
        <v>813398.11</v>
      </c>
      <c r="R901" s="128">
        <v>0</v>
      </c>
      <c r="S901" s="128">
        <v>0</v>
      </c>
      <c r="T901" s="128">
        <v>0</v>
      </c>
      <c r="U901" s="128">
        <v>813398.11</v>
      </c>
      <c r="V901" s="128">
        <v>0</v>
      </c>
      <c r="W901" s="128">
        <v>813398.11</v>
      </c>
      <c r="X901" s="128">
        <v>0</v>
      </c>
      <c r="Y901" s="128">
        <v>0</v>
      </c>
      <c r="Z901" s="128">
        <v>0</v>
      </c>
      <c r="AA901" s="128">
        <v>813398.11</v>
      </c>
      <c r="AB901" s="126">
        <f t="shared" si="101"/>
        <v>-8.1339810999999998E-2</v>
      </c>
      <c r="AC901" s="122" t="s">
        <v>1838</v>
      </c>
      <c r="AD901" s="123">
        <f>SUMIF(C:C,C901,AB:AB)</f>
        <v>-291.7660984179999</v>
      </c>
    </row>
    <row r="902" spans="1:30" ht="12.75" hidden="1" customHeight="1">
      <c r="A902" s="125" t="str">
        <f t="shared" si="98"/>
        <v>LIC142Dividend Income - Equities</v>
      </c>
      <c r="B902" s="125">
        <f>+IFERROR(VLOOKUP(L902,'TB mapping'!A:D,4,0),0)</f>
        <v>0</v>
      </c>
      <c r="C902" s="125">
        <f>+IFERROR(VLOOKUP(L902,'TB mapping'!A:C,3,0),0)</f>
        <v>5.0999999999999996</v>
      </c>
      <c r="D902" s="125" t="str">
        <f t="shared" si="99"/>
        <v>LIC1420</v>
      </c>
      <c r="E902" s="125" t="str">
        <f t="shared" si="100"/>
        <v>LIC1425.1</v>
      </c>
      <c r="F902" s="158" t="str">
        <f>+VLOOKUP(H902,'code mapping'!A:C,3,0)</f>
        <v>LIC142</v>
      </c>
      <c r="G902" s="127" t="s">
        <v>453</v>
      </c>
      <c r="H902" s="127" t="s">
        <v>589</v>
      </c>
      <c r="I902" s="127" t="s">
        <v>590</v>
      </c>
      <c r="J902" s="128">
        <v>450000</v>
      </c>
      <c r="K902" s="127" t="s">
        <v>532</v>
      </c>
      <c r="L902" s="151">
        <v>451100</v>
      </c>
      <c r="M902" s="128">
        <v>0</v>
      </c>
      <c r="N902" s="127" t="s">
        <v>598</v>
      </c>
      <c r="O902" s="127" t="s">
        <v>457</v>
      </c>
      <c r="P902" s="128">
        <v>0</v>
      </c>
      <c r="Q902" s="128">
        <v>171141.19</v>
      </c>
      <c r="R902" s="128">
        <v>0</v>
      </c>
      <c r="S902" s="128">
        <v>0</v>
      </c>
      <c r="T902" s="128">
        <v>0</v>
      </c>
      <c r="U902" s="128">
        <v>171141.19</v>
      </c>
      <c r="V902" s="128">
        <v>0</v>
      </c>
      <c r="W902" s="128">
        <v>171141.19</v>
      </c>
      <c r="X902" s="128">
        <v>0</v>
      </c>
      <c r="Y902" s="128">
        <v>0</v>
      </c>
      <c r="Z902" s="128">
        <v>0</v>
      </c>
      <c r="AA902" s="128">
        <v>171141.19</v>
      </c>
      <c r="AB902" s="126">
        <f t="shared" si="101"/>
        <v>-1.7114119000000001E-2</v>
      </c>
      <c r="AC902" s="122" t="s">
        <v>1838</v>
      </c>
      <c r="AD902" s="123">
        <f t="shared" ref="AD902:AD932" si="102">SUMIF(E:E,E902,AB:AB)</f>
        <v>-1.7114119000000001E-2</v>
      </c>
    </row>
    <row r="903" spans="1:30" ht="12.75" hidden="1" customHeight="1">
      <c r="A903" s="125" t="str">
        <f t="shared" si="98"/>
        <v>LIC142Int Income - Government Bonds</v>
      </c>
      <c r="B903" s="125">
        <f>+IFERROR(VLOOKUP(L903,'TB mapping'!A:D,4,0),0)</f>
        <v>0</v>
      </c>
      <c r="C903" s="125">
        <f>+IFERROR(VLOOKUP(L903,'TB mapping'!A:C,3,0),0)</f>
        <v>5.2</v>
      </c>
      <c r="D903" s="125" t="str">
        <f t="shared" si="99"/>
        <v>LIC1420</v>
      </c>
      <c r="E903" s="125" t="str">
        <f t="shared" si="100"/>
        <v>LIC1425.2</v>
      </c>
      <c r="F903" s="158" t="str">
        <f>+VLOOKUP(H903,'code mapping'!A:C,3,0)</f>
        <v>LIC142</v>
      </c>
      <c r="G903" s="127" t="s">
        <v>453</v>
      </c>
      <c r="H903" s="127" t="s">
        <v>589</v>
      </c>
      <c r="I903" s="127" t="s">
        <v>590</v>
      </c>
      <c r="J903" s="128">
        <v>450000</v>
      </c>
      <c r="K903" s="127" t="s">
        <v>532</v>
      </c>
      <c r="L903" s="151">
        <v>452130</v>
      </c>
      <c r="M903" s="128">
        <v>0</v>
      </c>
      <c r="N903" s="127" t="s">
        <v>535</v>
      </c>
      <c r="O903" s="127" t="s">
        <v>457</v>
      </c>
      <c r="P903" s="128">
        <v>0</v>
      </c>
      <c r="Q903" s="128">
        <v>7057291.6699999999</v>
      </c>
      <c r="R903" s="128">
        <v>0</v>
      </c>
      <c r="S903" s="128">
        <v>0</v>
      </c>
      <c r="T903" s="128">
        <v>0</v>
      </c>
      <c r="U903" s="128">
        <v>7057291.6699999999</v>
      </c>
      <c r="V903" s="128">
        <v>0</v>
      </c>
      <c r="W903" s="128">
        <v>7057291.6699999999</v>
      </c>
      <c r="X903" s="128">
        <v>0</v>
      </c>
      <c r="Y903" s="128">
        <v>0</v>
      </c>
      <c r="Z903" s="128">
        <v>0</v>
      </c>
      <c r="AA903" s="128">
        <v>7057291.6699999999</v>
      </c>
      <c r="AB903" s="126">
        <f t="shared" si="101"/>
        <v>-0.70572916699999999</v>
      </c>
      <c r="AC903" s="122" t="s">
        <v>1838</v>
      </c>
      <c r="AD903" s="123">
        <f t="shared" si="102"/>
        <v>-1.0334367320000002</v>
      </c>
    </row>
    <row r="904" spans="1:30" ht="12.75" hidden="1" customHeight="1">
      <c r="A904" s="125" t="str">
        <f t="shared" si="98"/>
        <v>LIC142Amort. Income - CBLO</v>
      </c>
      <c r="B904" s="125">
        <f>+IFERROR(VLOOKUP(L904,'TB mapping'!A:D,4,0),0)</f>
        <v>0</v>
      </c>
      <c r="C904" s="125">
        <f>+IFERROR(VLOOKUP(L904,'TB mapping'!A:C,3,0),0)</f>
        <v>5.2</v>
      </c>
      <c r="D904" s="125" t="str">
        <f t="shared" si="99"/>
        <v>LIC1420</v>
      </c>
      <c r="E904" s="125" t="str">
        <f t="shared" si="100"/>
        <v>LIC1425.2</v>
      </c>
      <c r="F904" s="158" t="str">
        <f>+VLOOKUP(H904,'code mapping'!A:C,3,0)</f>
        <v>LIC142</v>
      </c>
      <c r="G904" s="127" t="s">
        <v>453</v>
      </c>
      <c r="H904" s="127" t="s">
        <v>589</v>
      </c>
      <c r="I904" s="127" t="s">
        <v>590</v>
      </c>
      <c r="J904" s="128">
        <v>450000</v>
      </c>
      <c r="K904" s="127" t="s">
        <v>532</v>
      </c>
      <c r="L904" s="151">
        <v>452228</v>
      </c>
      <c r="M904" s="128">
        <v>0</v>
      </c>
      <c r="N904" s="127" t="s">
        <v>537</v>
      </c>
      <c r="O904" s="127" t="s">
        <v>457</v>
      </c>
      <c r="P904" s="128">
        <v>0</v>
      </c>
      <c r="Q904" s="128">
        <v>3127847.84</v>
      </c>
      <c r="R904" s="128">
        <v>0</v>
      </c>
      <c r="S904" s="128">
        <v>0</v>
      </c>
      <c r="T904" s="128">
        <v>0</v>
      </c>
      <c r="U904" s="128">
        <v>3127847.84</v>
      </c>
      <c r="V904" s="128">
        <v>0</v>
      </c>
      <c r="W904" s="128">
        <v>3127847.84</v>
      </c>
      <c r="X904" s="128">
        <v>0</v>
      </c>
      <c r="Y904" s="128">
        <v>0</v>
      </c>
      <c r="Z904" s="128">
        <v>0</v>
      </c>
      <c r="AA904" s="128">
        <v>3127847.84</v>
      </c>
      <c r="AB904" s="126">
        <f t="shared" si="101"/>
        <v>-0.31278478399999998</v>
      </c>
      <c r="AC904" s="122" t="s">
        <v>1838</v>
      </c>
      <c r="AD904" s="123">
        <f t="shared" si="102"/>
        <v>-1.0334367320000002</v>
      </c>
    </row>
    <row r="905" spans="1:30" ht="12.75" hidden="1" customHeight="1">
      <c r="A905" s="125" t="str">
        <f t="shared" si="98"/>
        <v>LIC142Int Income - Repo Deposits</v>
      </c>
      <c r="B905" s="125">
        <f>+IFERROR(VLOOKUP(L905,'TB mapping'!A:D,4,0),0)</f>
        <v>0</v>
      </c>
      <c r="C905" s="125">
        <f>+IFERROR(VLOOKUP(L905,'TB mapping'!A:C,3,0),0)</f>
        <v>5.2</v>
      </c>
      <c r="D905" s="125" t="str">
        <f t="shared" si="99"/>
        <v>LIC1420</v>
      </c>
      <c r="E905" s="125" t="str">
        <f t="shared" si="100"/>
        <v>LIC1425.2</v>
      </c>
      <c r="F905" s="158" t="str">
        <f>+VLOOKUP(H905,'code mapping'!A:C,3,0)</f>
        <v>LIC142</v>
      </c>
      <c r="G905" s="127" t="s">
        <v>453</v>
      </c>
      <c r="H905" s="127" t="s">
        <v>589</v>
      </c>
      <c r="I905" s="127" t="s">
        <v>590</v>
      </c>
      <c r="J905" s="128">
        <v>450000</v>
      </c>
      <c r="K905" s="127" t="s">
        <v>532</v>
      </c>
      <c r="L905" s="151">
        <v>452230</v>
      </c>
      <c r="M905" s="128">
        <v>0</v>
      </c>
      <c r="N905" s="127" t="s">
        <v>538</v>
      </c>
      <c r="O905" s="127" t="s">
        <v>457</v>
      </c>
      <c r="P905" s="128">
        <v>0</v>
      </c>
      <c r="Q905" s="128">
        <v>149227.81</v>
      </c>
      <c r="R905" s="128">
        <v>0</v>
      </c>
      <c r="S905" s="128">
        <v>0</v>
      </c>
      <c r="T905" s="128">
        <v>0</v>
      </c>
      <c r="U905" s="128">
        <v>149227.81</v>
      </c>
      <c r="V905" s="128">
        <v>0</v>
      </c>
      <c r="W905" s="128">
        <v>149227.81</v>
      </c>
      <c r="X905" s="128">
        <v>0</v>
      </c>
      <c r="Y905" s="128">
        <v>0</v>
      </c>
      <c r="Z905" s="128">
        <v>0</v>
      </c>
      <c r="AA905" s="128">
        <v>149227.81</v>
      </c>
      <c r="AB905" s="126">
        <f t="shared" si="101"/>
        <v>-1.4922781E-2</v>
      </c>
      <c r="AC905" s="122" t="s">
        <v>1838</v>
      </c>
      <c r="AD905" s="123">
        <f t="shared" si="102"/>
        <v>-1.0334367320000002</v>
      </c>
    </row>
    <row r="906" spans="1:30" ht="12.75" hidden="1" customHeight="1">
      <c r="A906" s="125" t="str">
        <f t="shared" si="98"/>
        <v>LIC142Other Income</v>
      </c>
      <c r="B906" s="125">
        <f>+IFERROR(VLOOKUP(L906,'TB mapping'!A:D,4,0),0)</f>
        <v>0</v>
      </c>
      <c r="C906" s="125">
        <f>+IFERROR(VLOOKUP(L906,'TB mapping'!A:C,3,0),0)</f>
        <v>5.5</v>
      </c>
      <c r="D906" s="125" t="str">
        <f t="shared" si="99"/>
        <v>LIC1420</v>
      </c>
      <c r="E906" s="125" t="str">
        <f t="shared" si="100"/>
        <v>LIC1425.5</v>
      </c>
      <c r="F906" s="158" t="str">
        <f>+VLOOKUP(H906,'code mapping'!A:C,3,0)</f>
        <v>LIC142</v>
      </c>
      <c r="G906" s="127" t="s">
        <v>453</v>
      </c>
      <c r="H906" s="127" t="s">
        <v>589</v>
      </c>
      <c r="I906" s="127" t="s">
        <v>590</v>
      </c>
      <c r="J906" s="128">
        <v>460000</v>
      </c>
      <c r="K906" s="127" t="s">
        <v>539</v>
      </c>
      <c r="L906" s="151">
        <v>460000</v>
      </c>
      <c r="M906" s="128">
        <v>0</v>
      </c>
      <c r="N906" s="127" t="s">
        <v>541</v>
      </c>
      <c r="O906" s="127" t="s">
        <v>457</v>
      </c>
      <c r="P906" s="128">
        <v>0</v>
      </c>
      <c r="Q906" s="128">
        <v>481.21</v>
      </c>
      <c r="R906" s="128">
        <v>0</v>
      </c>
      <c r="S906" s="128">
        <v>0</v>
      </c>
      <c r="T906" s="128">
        <v>0</v>
      </c>
      <c r="U906" s="128">
        <v>481.21</v>
      </c>
      <c r="V906" s="128">
        <v>0</v>
      </c>
      <c r="W906" s="128">
        <v>481.21</v>
      </c>
      <c r="X906" s="128">
        <v>0</v>
      </c>
      <c r="Y906" s="128">
        <v>0</v>
      </c>
      <c r="Z906" s="128">
        <v>0</v>
      </c>
      <c r="AA906" s="128">
        <v>481.21</v>
      </c>
      <c r="AB906" s="126">
        <f t="shared" si="101"/>
        <v>-4.8120999999999995E-5</v>
      </c>
      <c r="AC906" s="122" t="s">
        <v>1838</v>
      </c>
      <c r="AD906" s="123">
        <f t="shared" si="102"/>
        <v>-4.8120999999999995E-5</v>
      </c>
    </row>
    <row r="907" spans="1:30" ht="12.75" hidden="1" customHeight="1">
      <c r="A907" s="125" t="str">
        <f t="shared" si="98"/>
        <v>LIC142Interplan Adjustment- RG</v>
      </c>
      <c r="B907" s="125">
        <f>+IFERROR(VLOOKUP(L907,'TB mapping'!A:D,4,0),0)</f>
        <v>0</v>
      </c>
      <c r="C907" s="125">
        <f>+IFERROR(VLOOKUP(L907,'TB mapping'!A:C,3,0),0)</f>
        <v>5.5</v>
      </c>
      <c r="D907" s="125" t="str">
        <f t="shared" si="99"/>
        <v>LIC1420</v>
      </c>
      <c r="E907" s="125" t="str">
        <f t="shared" si="100"/>
        <v>LIC1425.5</v>
      </c>
      <c r="F907" s="158" t="str">
        <f>+VLOOKUP(H907,'code mapping'!A:C,3,0)</f>
        <v>LIC142</v>
      </c>
      <c r="G907" s="127" t="s">
        <v>453</v>
      </c>
      <c r="H907" s="127" t="s">
        <v>589</v>
      </c>
      <c r="I907" s="127" t="s">
        <v>590</v>
      </c>
      <c r="J907" s="128">
        <v>460000</v>
      </c>
      <c r="K907" s="127" t="s">
        <v>539</v>
      </c>
      <c r="L907" s="151">
        <v>460101</v>
      </c>
      <c r="M907" s="128">
        <v>0</v>
      </c>
      <c r="N907" s="127" t="s">
        <v>542</v>
      </c>
      <c r="O907" s="127" t="s">
        <v>457</v>
      </c>
      <c r="P907" s="128">
        <v>-0.18</v>
      </c>
      <c r="Q907" s="128">
        <v>0</v>
      </c>
      <c r="R907" s="128">
        <v>0</v>
      </c>
      <c r="S907" s="128">
        <v>0</v>
      </c>
      <c r="T907" s="128">
        <v>-0.18</v>
      </c>
      <c r="U907" s="128">
        <v>0</v>
      </c>
      <c r="V907" s="128">
        <v>-0.18</v>
      </c>
      <c r="W907" s="128">
        <v>0</v>
      </c>
      <c r="X907" s="128">
        <v>0</v>
      </c>
      <c r="Y907" s="128">
        <v>0</v>
      </c>
      <c r="Z907" s="128">
        <v>-0.18</v>
      </c>
      <c r="AA907" s="128">
        <v>0</v>
      </c>
      <c r="AB907" s="126">
        <f t="shared" si="101"/>
        <v>1.7999999999999999E-8</v>
      </c>
      <c r="AC907" s="122" t="s">
        <v>1838</v>
      </c>
      <c r="AD907" s="123">
        <f t="shared" si="102"/>
        <v>-4.8120999999999995E-5</v>
      </c>
    </row>
    <row r="908" spans="1:30" ht="12.75" hidden="1" customHeight="1">
      <c r="A908" s="125" t="str">
        <f t="shared" si="98"/>
        <v>LIC142Interplan Adjustment- GDP</v>
      </c>
      <c r="B908" s="125">
        <f>+IFERROR(VLOOKUP(L908,'TB mapping'!A:D,4,0),0)</f>
        <v>0</v>
      </c>
      <c r="C908" s="125">
        <f>+IFERROR(VLOOKUP(L908,'TB mapping'!A:C,3,0),0)</f>
        <v>5.5</v>
      </c>
      <c r="D908" s="125" t="str">
        <f t="shared" si="99"/>
        <v>LIC1420</v>
      </c>
      <c r="E908" s="125" t="str">
        <f t="shared" si="100"/>
        <v>LIC1425.5</v>
      </c>
      <c r="F908" s="158" t="str">
        <f>+VLOOKUP(H908,'code mapping'!A:C,3,0)</f>
        <v>LIC142</v>
      </c>
      <c r="G908" s="127" t="s">
        <v>453</v>
      </c>
      <c r="H908" s="127" t="s">
        <v>589</v>
      </c>
      <c r="I908" s="127" t="s">
        <v>590</v>
      </c>
      <c r="J908" s="128">
        <v>460000</v>
      </c>
      <c r="K908" s="127" t="s">
        <v>539</v>
      </c>
      <c r="L908" s="151">
        <v>460143</v>
      </c>
      <c r="M908" s="128">
        <v>0</v>
      </c>
      <c r="N908" s="127" t="s">
        <v>544</v>
      </c>
      <c r="O908" s="127" t="s">
        <v>457</v>
      </c>
      <c r="P908" s="128">
        <v>0</v>
      </c>
      <c r="Q908" s="128">
        <v>0.18</v>
      </c>
      <c r="R908" s="128">
        <v>0</v>
      </c>
      <c r="S908" s="128">
        <v>0</v>
      </c>
      <c r="T908" s="128">
        <v>0</v>
      </c>
      <c r="U908" s="128">
        <v>0.18</v>
      </c>
      <c r="V908" s="128">
        <v>0</v>
      </c>
      <c r="W908" s="128">
        <v>0.18</v>
      </c>
      <c r="X908" s="128">
        <v>0</v>
      </c>
      <c r="Y908" s="128">
        <v>0</v>
      </c>
      <c r="Z908" s="128">
        <v>0</v>
      </c>
      <c r="AA908" s="128">
        <v>0.18</v>
      </c>
      <c r="AB908" s="126">
        <f t="shared" si="101"/>
        <v>-1.7999999999999999E-8</v>
      </c>
      <c r="AC908" s="122" t="s">
        <v>1838</v>
      </c>
      <c r="AD908" s="123">
        <f t="shared" si="102"/>
        <v>-4.8120999999999995E-5</v>
      </c>
    </row>
    <row r="909" spans="1:30" ht="12.75" hidden="1" customHeight="1">
      <c r="A909" s="125" t="str">
        <f t="shared" si="98"/>
        <v>LIC142R/L L/P - Equities</v>
      </c>
      <c r="B909" s="125">
        <f>+IFERROR(VLOOKUP(L909,'TB mapping'!A:D,4,0),0)</f>
        <v>0</v>
      </c>
      <c r="C909" s="125">
        <f>+IFERROR(VLOOKUP(L909,'TB mapping'!A:C,3,0),0)</f>
        <v>5.3</v>
      </c>
      <c r="D909" s="125" t="str">
        <f t="shared" si="99"/>
        <v>LIC1420</v>
      </c>
      <c r="E909" s="125" t="str">
        <f t="shared" si="100"/>
        <v>LIC1425.3</v>
      </c>
      <c r="F909" s="158" t="str">
        <f>+VLOOKUP(H909,'code mapping'!A:C,3,0)</f>
        <v>LIC142</v>
      </c>
      <c r="G909" s="127" t="s">
        <v>453</v>
      </c>
      <c r="H909" s="127" t="s">
        <v>589</v>
      </c>
      <c r="I909" s="127" t="s">
        <v>590</v>
      </c>
      <c r="J909" s="128">
        <v>510000</v>
      </c>
      <c r="K909" s="127" t="s">
        <v>546</v>
      </c>
      <c r="L909" s="151">
        <v>511100</v>
      </c>
      <c r="M909" s="128">
        <v>0</v>
      </c>
      <c r="N909" s="127" t="s">
        <v>599</v>
      </c>
      <c r="O909" s="127" t="s">
        <v>457</v>
      </c>
      <c r="P909" s="128">
        <v>-277270.77</v>
      </c>
      <c r="Q909" s="128">
        <v>0</v>
      </c>
      <c r="R909" s="128">
        <v>0</v>
      </c>
      <c r="S909" s="128">
        <v>0</v>
      </c>
      <c r="T909" s="128">
        <v>-277270.77</v>
      </c>
      <c r="U909" s="128">
        <v>0</v>
      </c>
      <c r="V909" s="128">
        <v>-277270.77</v>
      </c>
      <c r="W909" s="128">
        <v>0</v>
      </c>
      <c r="X909" s="128">
        <v>0</v>
      </c>
      <c r="Y909" s="128">
        <v>0</v>
      </c>
      <c r="Z909" s="128">
        <v>-277270.77</v>
      </c>
      <c r="AA909" s="128">
        <v>0</v>
      </c>
      <c r="AB909" s="126">
        <f t="shared" si="101"/>
        <v>2.7727077000000003E-2</v>
      </c>
      <c r="AC909" s="122" t="s">
        <v>1838</v>
      </c>
      <c r="AD909" s="123">
        <f t="shared" si="102"/>
        <v>-5.5429853000000001E-2</v>
      </c>
    </row>
    <row r="910" spans="1:30" ht="12.75" hidden="1" customHeight="1">
      <c r="A910" s="125" t="str">
        <f t="shared" si="98"/>
        <v>LIC142R/L L/P - Government Bonds</v>
      </c>
      <c r="B910" s="125">
        <f>+IFERROR(VLOOKUP(L910,'TB mapping'!A:D,4,0),0)</f>
        <v>0</v>
      </c>
      <c r="C910" s="125">
        <f>+IFERROR(VLOOKUP(L910,'TB mapping'!A:C,3,0),0)</f>
        <v>5.3</v>
      </c>
      <c r="D910" s="125" t="str">
        <f t="shared" si="99"/>
        <v>LIC1420</v>
      </c>
      <c r="E910" s="125" t="str">
        <f t="shared" si="100"/>
        <v>LIC1425.3</v>
      </c>
      <c r="F910" s="158" t="str">
        <f>+VLOOKUP(H910,'code mapping'!A:C,3,0)</f>
        <v>LIC142</v>
      </c>
      <c r="G910" s="127" t="s">
        <v>453</v>
      </c>
      <c r="H910" s="127" t="s">
        <v>589</v>
      </c>
      <c r="I910" s="127" t="s">
        <v>590</v>
      </c>
      <c r="J910" s="128">
        <v>510000</v>
      </c>
      <c r="K910" s="127" t="s">
        <v>546</v>
      </c>
      <c r="L910" s="151">
        <v>512130</v>
      </c>
      <c r="M910" s="128">
        <v>0</v>
      </c>
      <c r="N910" s="127" t="s">
        <v>548</v>
      </c>
      <c r="O910" s="127" t="s">
        <v>457</v>
      </c>
      <c r="P910" s="128">
        <v>-150000</v>
      </c>
      <c r="Q910" s="128">
        <v>0</v>
      </c>
      <c r="R910" s="128">
        <v>0</v>
      </c>
      <c r="S910" s="128">
        <v>0</v>
      </c>
      <c r="T910" s="128">
        <v>-150000</v>
      </c>
      <c r="U910" s="128">
        <v>0</v>
      </c>
      <c r="V910" s="128">
        <v>-150000</v>
      </c>
      <c r="W910" s="128">
        <v>0</v>
      </c>
      <c r="X910" s="128">
        <v>0</v>
      </c>
      <c r="Y910" s="128">
        <v>0</v>
      </c>
      <c r="Z910" s="128">
        <v>-150000</v>
      </c>
      <c r="AA910" s="128">
        <v>0</v>
      </c>
      <c r="AB910" s="126">
        <f t="shared" si="101"/>
        <v>1.4999999999999999E-2</v>
      </c>
      <c r="AC910" s="122" t="s">
        <v>1838</v>
      </c>
      <c r="AD910" s="123">
        <f t="shared" si="102"/>
        <v>-5.5429853000000001E-2</v>
      </c>
    </row>
    <row r="911" spans="1:30" ht="12.75" hidden="1" customHeight="1">
      <c r="A911" s="125" t="str">
        <f t="shared" si="98"/>
        <v>LIC142SEBI Fees</v>
      </c>
      <c r="B911" s="125">
        <f>+IFERROR(VLOOKUP(L911,'TB mapping'!A:D,4,0),0)</f>
        <v>0</v>
      </c>
      <c r="C911" s="125">
        <f>+IFERROR(VLOOKUP(L911,'TB mapping'!A:C,3,0),0)</f>
        <v>6.3</v>
      </c>
      <c r="D911" s="125" t="str">
        <f t="shared" si="99"/>
        <v>LIC1420</v>
      </c>
      <c r="E911" s="125" t="str">
        <f t="shared" si="100"/>
        <v>LIC1426.3</v>
      </c>
      <c r="F911" s="158" t="str">
        <f>+VLOOKUP(H911,'code mapping'!A:C,3,0)</f>
        <v>LIC142</v>
      </c>
      <c r="G911" s="127" t="s">
        <v>453</v>
      </c>
      <c r="H911" s="127" t="s">
        <v>589</v>
      </c>
      <c r="I911" s="127" t="s">
        <v>590</v>
      </c>
      <c r="J911" s="128">
        <v>550000</v>
      </c>
      <c r="K911" s="127" t="s">
        <v>550</v>
      </c>
      <c r="L911" s="151">
        <v>553007</v>
      </c>
      <c r="M911" s="128">
        <v>0</v>
      </c>
      <c r="N911" s="127" t="s">
        <v>551</v>
      </c>
      <c r="O911" s="127" t="s">
        <v>457</v>
      </c>
      <c r="P911" s="128">
        <v>-5171.7700000000004</v>
      </c>
      <c r="Q911" s="128">
        <v>0</v>
      </c>
      <c r="R911" s="128">
        <v>0</v>
      </c>
      <c r="S911" s="128">
        <v>0</v>
      </c>
      <c r="T911" s="128">
        <v>-5171.7700000000004</v>
      </c>
      <c r="U911" s="128">
        <v>0</v>
      </c>
      <c r="V911" s="128">
        <v>-5171.7700000000004</v>
      </c>
      <c r="W911" s="128">
        <v>0</v>
      </c>
      <c r="X911" s="128">
        <v>0</v>
      </c>
      <c r="Y911" s="128">
        <v>0</v>
      </c>
      <c r="Z911" s="128">
        <v>-5171.7700000000004</v>
      </c>
      <c r="AA911" s="128">
        <v>0</v>
      </c>
      <c r="AB911" s="126">
        <f t="shared" si="101"/>
        <v>5.1717700000000007E-4</v>
      </c>
      <c r="AC911" s="122" t="s">
        <v>1838</v>
      </c>
      <c r="AD911" s="123">
        <f t="shared" si="102"/>
        <v>0.47971792200000002</v>
      </c>
    </row>
    <row r="912" spans="1:30" ht="12.75" hidden="1" customHeight="1">
      <c r="A912" s="125" t="str">
        <f t="shared" si="98"/>
        <v>LIC142Audit Fee</v>
      </c>
      <c r="B912" s="125">
        <f>+IFERROR(VLOOKUP(L912,'TB mapping'!A:D,4,0),0)</f>
        <v>0</v>
      </c>
      <c r="C912" s="125">
        <f>+IFERROR(VLOOKUP(L912,'TB mapping'!A:C,3,0),0)</f>
        <v>6.3</v>
      </c>
      <c r="D912" s="125" t="str">
        <f t="shared" si="99"/>
        <v>LIC1420</v>
      </c>
      <c r="E912" s="125" t="str">
        <f t="shared" si="100"/>
        <v>LIC1426.3</v>
      </c>
      <c r="F912" s="158" t="str">
        <f>+VLOOKUP(H912,'code mapping'!A:C,3,0)</f>
        <v>LIC142</v>
      </c>
      <c r="G912" s="127" t="s">
        <v>453</v>
      </c>
      <c r="H912" s="127" t="s">
        <v>589</v>
      </c>
      <c r="I912" s="127" t="s">
        <v>590</v>
      </c>
      <c r="J912" s="128">
        <v>550000</v>
      </c>
      <c r="K912" s="127" t="s">
        <v>550</v>
      </c>
      <c r="L912" s="151">
        <v>553105</v>
      </c>
      <c r="M912" s="128">
        <v>0</v>
      </c>
      <c r="N912" s="127" t="s">
        <v>552</v>
      </c>
      <c r="O912" s="127" t="s">
        <v>457</v>
      </c>
      <c r="P912" s="128">
        <v>-15628.13</v>
      </c>
      <c r="Q912" s="128">
        <v>0</v>
      </c>
      <c r="R912" s="128">
        <v>0</v>
      </c>
      <c r="S912" s="128">
        <v>0</v>
      </c>
      <c r="T912" s="128">
        <v>-15628.13</v>
      </c>
      <c r="U912" s="128">
        <v>0</v>
      </c>
      <c r="V912" s="128">
        <v>-15628.13</v>
      </c>
      <c r="W912" s="128">
        <v>0</v>
      </c>
      <c r="X912" s="128">
        <v>0</v>
      </c>
      <c r="Y912" s="128">
        <v>0</v>
      </c>
      <c r="Z912" s="128">
        <v>-15628.13</v>
      </c>
      <c r="AA912" s="128">
        <v>0</v>
      </c>
      <c r="AB912" s="126">
        <f t="shared" si="101"/>
        <v>1.5628129999999999E-3</v>
      </c>
      <c r="AC912" s="122" t="s">
        <v>1838</v>
      </c>
      <c r="AD912" s="123">
        <f t="shared" si="102"/>
        <v>0.47971792200000002</v>
      </c>
    </row>
    <row r="913" spans="1:30" ht="12.75" hidden="1" customHeight="1">
      <c r="A913" s="125" t="str">
        <f t="shared" si="98"/>
        <v>LIC142Custody Fee</v>
      </c>
      <c r="B913" s="125">
        <f>+IFERROR(VLOOKUP(L913,'TB mapping'!A:D,4,0),0)</f>
        <v>0</v>
      </c>
      <c r="C913" s="125">
        <f>+IFERROR(VLOOKUP(L913,'TB mapping'!A:C,3,0),0)</f>
        <v>6.3</v>
      </c>
      <c r="D913" s="125" t="str">
        <f t="shared" si="99"/>
        <v>LIC1420</v>
      </c>
      <c r="E913" s="125" t="str">
        <f t="shared" si="100"/>
        <v>LIC1426.3</v>
      </c>
      <c r="F913" s="158" t="str">
        <f>+VLOOKUP(H913,'code mapping'!A:C,3,0)</f>
        <v>LIC142</v>
      </c>
      <c r="G913" s="127" t="s">
        <v>453</v>
      </c>
      <c r="H913" s="127" t="s">
        <v>589</v>
      </c>
      <c r="I913" s="127" t="s">
        <v>590</v>
      </c>
      <c r="J913" s="128">
        <v>550000</v>
      </c>
      <c r="K913" s="127" t="s">
        <v>550</v>
      </c>
      <c r="L913" s="151">
        <v>553107</v>
      </c>
      <c r="M913" s="128">
        <v>0</v>
      </c>
      <c r="N913" s="127" t="s">
        <v>553</v>
      </c>
      <c r="O913" s="127" t="s">
        <v>457</v>
      </c>
      <c r="P913" s="128">
        <v>-1906.84</v>
      </c>
      <c r="Q913" s="128">
        <v>0</v>
      </c>
      <c r="R913" s="128">
        <v>0</v>
      </c>
      <c r="S913" s="128">
        <v>0</v>
      </c>
      <c r="T913" s="128">
        <v>-1906.84</v>
      </c>
      <c r="U913" s="128">
        <v>0</v>
      </c>
      <c r="V913" s="128">
        <v>-1906.84</v>
      </c>
      <c r="W913" s="128">
        <v>0</v>
      </c>
      <c r="X913" s="128">
        <v>0</v>
      </c>
      <c r="Y913" s="128">
        <v>0</v>
      </c>
      <c r="Z913" s="128">
        <v>-1906.84</v>
      </c>
      <c r="AA913" s="128">
        <v>0</v>
      </c>
      <c r="AB913" s="126">
        <f t="shared" si="101"/>
        <v>1.9068399999999999E-4</v>
      </c>
      <c r="AC913" s="122" t="s">
        <v>1838</v>
      </c>
      <c r="AD913" s="123">
        <f t="shared" si="102"/>
        <v>0.47971792200000002</v>
      </c>
    </row>
    <row r="914" spans="1:30" ht="12.75" hidden="1" customHeight="1">
      <c r="A914" s="125" t="str">
        <f t="shared" si="98"/>
        <v>LIC142Expense Allocation Account</v>
      </c>
      <c r="B914" s="125">
        <f>+IFERROR(VLOOKUP(L914,'TB mapping'!A:D,4,0),0)</f>
        <v>0</v>
      </c>
      <c r="C914" s="125">
        <f>+IFERROR(VLOOKUP(L914,'TB mapping'!A:C,3,0),0)</f>
        <v>6.3</v>
      </c>
      <c r="D914" s="125" t="str">
        <f t="shared" si="99"/>
        <v>LIC1420</v>
      </c>
      <c r="E914" s="125" t="str">
        <f t="shared" si="100"/>
        <v>LIC1426.3</v>
      </c>
      <c r="F914" s="158" t="str">
        <f>+VLOOKUP(H914,'code mapping'!A:C,3,0)</f>
        <v>LIC142</v>
      </c>
      <c r="G914" s="127" t="s">
        <v>453</v>
      </c>
      <c r="H914" s="127" t="s">
        <v>589</v>
      </c>
      <c r="I914" s="127" t="s">
        <v>590</v>
      </c>
      <c r="J914" s="128">
        <v>550000</v>
      </c>
      <c r="K914" s="127" t="s">
        <v>550</v>
      </c>
      <c r="L914" s="151">
        <v>553111</v>
      </c>
      <c r="M914" s="128">
        <v>0</v>
      </c>
      <c r="N914" s="127" t="s">
        <v>554</v>
      </c>
      <c r="O914" s="127" t="s">
        <v>457</v>
      </c>
      <c r="P914" s="128">
        <v>0</v>
      </c>
      <c r="Q914" s="128">
        <v>73098.05</v>
      </c>
      <c r="R914" s="128">
        <v>0</v>
      </c>
      <c r="S914" s="128">
        <v>0</v>
      </c>
      <c r="T914" s="128">
        <v>0</v>
      </c>
      <c r="U914" s="128">
        <v>73098.05</v>
      </c>
      <c r="V914" s="128">
        <v>0</v>
      </c>
      <c r="W914" s="128">
        <v>73098.05</v>
      </c>
      <c r="X914" s="128">
        <v>0</v>
      </c>
      <c r="Y914" s="128">
        <v>0</v>
      </c>
      <c r="Z914" s="128">
        <v>0</v>
      </c>
      <c r="AA914" s="128">
        <v>73098.05</v>
      </c>
      <c r="AB914" s="126">
        <f t="shared" si="101"/>
        <v>-7.3098049999999999E-3</v>
      </c>
      <c r="AC914" s="122" t="s">
        <v>1838</v>
      </c>
      <c r="AD914" s="123">
        <f t="shared" si="102"/>
        <v>0.47971792200000002</v>
      </c>
    </row>
    <row r="915" spans="1:30" ht="12.75" hidden="1" customHeight="1">
      <c r="A915" s="125" t="str">
        <f t="shared" si="98"/>
        <v>LIC142Trustee Fee</v>
      </c>
      <c r="B915" s="125">
        <f>+IFERROR(VLOOKUP(L915,'TB mapping'!A:D,4,0),0)</f>
        <v>6.2</v>
      </c>
      <c r="C915" s="125">
        <f>+IFERROR(VLOOKUP(L915,'TB mapping'!A:C,3,0),0)</f>
        <v>6.3</v>
      </c>
      <c r="D915" s="125" t="str">
        <f t="shared" si="99"/>
        <v>LIC1426.2</v>
      </c>
      <c r="E915" s="125" t="str">
        <f t="shared" si="100"/>
        <v>LIC1426.3</v>
      </c>
      <c r="F915" s="158" t="str">
        <f>+VLOOKUP(H915,'code mapping'!A:C,3,0)</f>
        <v>LIC142</v>
      </c>
      <c r="G915" s="127" t="s">
        <v>453</v>
      </c>
      <c r="H915" s="127" t="s">
        <v>589</v>
      </c>
      <c r="I915" s="127" t="s">
        <v>590</v>
      </c>
      <c r="J915" s="128">
        <v>550000</v>
      </c>
      <c r="K915" s="127" t="s">
        <v>550</v>
      </c>
      <c r="L915" s="151">
        <v>553131</v>
      </c>
      <c r="M915" s="128">
        <v>0</v>
      </c>
      <c r="N915" s="127" t="s">
        <v>555</v>
      </c>
      <c r="O915" s="127" t="s">
        <v>457</v>
      </c>
      <c r="P915" s="128">
        <v>-1846.43</v>
      </c>
      <c r="Q915" s="128">
        <v>0</v>
      </c>
      <c r="R915" s="128">
        <v>0</v>
      </c>
      <c r="S915" s="128">
        <v>0</v>
      </c>
      <c r="T915" s="128">
        <v>-1846.43</v>
      </c>
      <c r="U915" s="128">
        <v>0</v>
      </c>
      <c r="V915" s="128">
        <v>-1846.43</v>
      </c>
      <c r="W915" s="128">
        <v>0</v>
      </c>
      <c r="X915" s="128">
        <v>0</v>
      </c>
      <c r="Y915" s="128">
        <v>0</v>
      </c>
      <c r="Z915" s="128">
        <v>-1846.43</v>
      </c>
      <c r="AA915" s="128">
        <v>0</v>
      </c>
      <c r="AB915" s="126">
        <f t="shared" si="101"/>
        <v>1.8464300000000001E-4</v>
      </c>
      <c r="AC915" s="122" t="s">
        <v>1838</v>
      </c>
      <c r="AD915" s="123">
        <f t="shared" si="102"/>
        <v>0.47971792200000002</v>
      </c>
    </row>
    <row r="916" spans="1:30" ht="12.75" hidden="1" customHeight="1">
      <c r="A916" s="125" t="str">
        <f t="shared" si="98"/>
        <v>LIC142Investor Education Fund Exps</v>
      </c>
      <c r="B916" s="125">
        <f>+IFERROR(VLOOKUP(L916,'TB mapping'!A:D,4,0),0)</f>
        <v>0</v>
      </c>
      <c r="C916" s="125">
        <f>+IFERROR(VLOOKUP(L916,'TB mapping'!A:C,3,0),0)</f>
        <v>6.3</v>
      </c>
      <c r="D916" s="125" t="str">
        <f t="shared" si="99"/>
        <v>LIC1420</v>
      </c>
      <c r="E916" s="125" t="str">
        <f t="shared" si="100"/>
        <v>LIC1426.3</v>
      </c>
      <c r="F916" s="158" t="str">
        <f>+VLOOKUP(H916,'code mapping'!A:C,3,0)</f>
        <v>LIC142</v>
      </c>
      <c r="G916" s="127" t="s">
        <v>453</v>
      </c>
      <c r="H916" s="127" t="s">
        <v>589</v>
      </c>
      <c r="I916" s="127" t="s">
        <v>590</v>
      </c>
      <c r="J916" s="128">
        <v>550000</v>
      </c>
      <c r="K916" s="127" t="s">
        <v>550</v>
      </c>
      <c r="L916" s="151">
        <v>553171</v>
      </c>
      <c r="M916" s="128">
        <v>0</v>
      </c>
      <c r="N916" s="127" t="s">
        <v>557</v>
      </c>
      <c r="O916" s="127" t="s">
        <v>457</v>
      </c>
      <c r="P916" s="128">
        <v>-19157.170000000002</v>
      </c>
      <c r="Q916" s="128">
        <v>0</v>
      </c>
      <c r="R916" s="128">
        <v>0</v>
      </c>
      <c r="S916" s="128">
        <v>0</v>
      </c>
      <c r="T916" s="128">
        <v>-19157.170000000002</v>
      </c>
      <c r="U916" s="128">
        <v>0</v>
      </c>
      <c r="V916" s="128">
        <v>-19157.170000000002</v>
      </c>
      <c r="W916" s="128">
        <v>0</v>
      </c>
      <c r="X916" s="128">
        <v>0</v>
      </c>
      <c r="Y916" s="128">
        <v>0</v>
      </c>
      <c r="Z916" s="128">
        <v>-19157.170000000002</v>
      </c>
      <c r="AA916" s="128">
        <v>0</v>
      </c>
      <c r="AB916" s="126">
        <f t="shared" si="101"/>
        <v>1.9157170000000002E-3</v>
      </c>
      <c r="AC916" s="122" t="s">
        <v>1838</v>
      </c>
      <c r="AD916" s="123">
        <f t="shared" si="102"/>
        <v>0.47971792200000002</v>
      </c>
    </row>
    <row r="917" spans="1:30" ht="12.75" hidden="1" customHeight="1">
      <c r="A917" s="125" t="str">
        <f t="shared" si="98"/>
        <v>LIC142Service Tax on Management Fees</v>
      </c>
      <c r="B917" s="125">
        <f>+IFERROR(VLOOKUP(L917,'TB mapping'!A:D,4,0),0)</f>
        <v>6.1</v>
      </c>
      <c r="C917" s="125">
        <f>+IFERROR(VLOOKUP(L917,'TB mapping'!A:C,3,0),0)</f>
        <v>6.3</v>
      </c>
      <c r="D917" s="125" t="str">
        <f t="shared" si="99"/>
        <v>LIC1426.1</v>
      </c>
      <c r="E917" s="125" t="str">
        <f t="shared" si="100"/>
        <v>LIC1426.3</v>
      </c>
      <c r="F917" s="158" t="str">
        <f>+VLOOKUP(H917,'code mapping'!A:C,3,0)</f>
        <v>LIC142</v>
      </c>
      <c r="G917" s="127" t="s">
        <v>453</v>
      </c>
      <c r="H917" s="127" t="s">
        <v>589</v>
      </c>
      <c r="I917" s="127" t="s">
        <v>590</v>
      </c>
      <c r="J917" s="128">
        <v>550000</v>
      </c>
      <c r="K917" s="127" t="s">
        <v>550</v>
      </c>
      <c r="L917" s="151">
        <v>553172</v>
      </c>
      <c r="M917" s="128">
        <v>0</v>
      </c>
      <c r="N917" s="127" t="s">
        <v>558</v>
      </c>
      <c r="O917" s="127" t="s">
        <v>457</v>
      </c>
      <c r="P917" s="128">
        <v>-112839.5</v>
      </c>
      <c r="Q917" s="128">
        <v>0</v>
      </c>
      <c r="R917" s="128">
        <v>0</v>
      </c>
      <c r="S917" s="128">
        <v>0</v>
      </c>
      <c r="T917" s="128">
        <v>-112839.5</v>
      </c>
      <c r="U917" s="128">
        <v>0</v>
      </c>
      <c r="V917" s="128">
        <v>-112839.5</v>
      </c>
      <c r="W917" s="128">
        <v>0</v>
      </c>
      <c r="X917" s="128">
        <v>0</v>
      </c>
      <c r="Y917" s="128">
        <v>0</v>
      </c>
      <c r="Z917" s="128">
        <v>-112839.5</v>
      </c>
      <c r="AA917" s="128">
        <v>0</v>
      </c>
      <c r="AB917" s="126">
        <f t="shared" si="101"/>
        <v>1.1283949999999999E-2</v>
      </c>
      <c r="AC917" s="122" t="s">
        <v>1838</v>
      </c>
      <c r="AD917" s="123">
        <f t="shared" si="102"/>
        <v>0.47971792200000002</v>
      </c>
    </row>
    <row r="918" spans="1:30" ht="12.75" hidden="1" customHeight="1">
      <c r="A918" s="125" t="str">
        <f t="shared" si="98"/>
        <v>LIC142CCIL Expenses</v>
      </c>
      <c r="B918" s="125">
        <f>+IFERROR(VLOOKUP(L918,'TB mapping'!A:D,4,0),0)</f>
        <v>0</v>
      </c>
      <c r="C918" s="125">
        <f>+IFERROR(VLOOKUP(L918,'TB mapping'!A:C,3,0),0)</f>
        <v>6.3</v>
      </c>
      <c r="D918" s="125" t="str">
        <f t="shared" si="99"/>
        <v>LIC1420</v>
      </c>
      <c r="E918" s="125" t="str">
        <f t="shared" si="100"/>
        <v>LIC1426.3</v>
      </c>
      <c r="F918" s="158" t="str">
        <f>+VLOOKUP(H918,'code mapping'!A:C,3,0)</f>
        <v>LIC142</v>
      </c>
      <c r="G918" s="127" t="s">
        <v>453</v>
      </c>
      <c r="H918" s="127" t="s">
        <v>589</v>
      </c>
      <c r="I918" s="127" t="s">
        <v>590</v>
      </c>
      <c r="J918" s="128">
        <v>550000</v>
      </c>
      <c r="K918" s="127" t="s">
        <v>550</v>
      </c>
      <c r="L918" s="151">
        <v>553176</v>
      </c>
      <c r="M918" s="128">
        <v>0</v>
      </c>
      <c r="N918" s="127" t="s">
        <v>559</v>
      </c>
      <c r="O918" s="127" t="s">
        <v>457</v>
      </c>
      <c r="P918" s="128">
        <v>-13413.49</v>
      </c>
      <c r="Q918" s="128">
        <v>0</v>
      </c>
      <c r="R918" s="128">
        <v>0</v>
      </c>
      <c r="S918" s="128">
        <v>0</v>
      </c>
      <c r="T918" s="128">
        <v>-13413.49</v>
      </c>
      <c r="U918" s="128">
        <v>0</v>
      </c>
      <c r="V918" s="128">
        <v>-13413.49</v>
      </c>
      <c r="W918" s="128">
        <v>0</v>
      </c>
      <c r="X918" s="128">
        <v>0</v>
      </c>
      <c r="Y918" s="128">
        <v>0</v>
      </c>
      <c r="Z918" s="128">
        <v>-13413.49</v>
      </c>
      <c r="AA918" s="128">
        <v>0</v>
      </c>
      <c r="AB918" s="126">
        <f t="shared" si="101"/>
        <v>1.3413489999999999E-3</v>
      </c>
      <c r="AC918" s="122" t="s">
        <v>1838</v>
      </c>
      <c r="AD918" s="123">
        <f t="shared" si="102"/>
        <v>0.47971792200000002</v>
      </c>
    </row>
    <row r="919" spans="1:30" ht="12.75" hidden="1" customHeight="1">
      <c r="A919" s="125" t="str">
        <f t="shared" si="98"/>
        <v>LIC142Out of Pocket Expenses - R&amp;T</v>
      </c>
      <c r="B919" s="125">
        <f>+IFERROR(VLOOKUP(L919,'TB mapping'!A:D,4,0),0)</f>
        <v>0</v>
      </c>
      <c r="C919" s="125">
        <f>+IFERROR(VLOOKUP(L919,'TB mapping'!A:C,3,0),0)</f>
        <v>6.3</v>
      </c>
      <c r="D919" s="125" t="str">
        <f t="shared" si="99"/>
        <v>LIC1420</v>
      </c>
      <c r="E919" s="125" t="str">
        <f t="shared" si="100"/>
        <v>LIC1426.3</v>
      </c>
      <c r="F919" s="158" t="str">
        <f>+VLOOKUP(H919,'code mapping'!A:C,3,0)</f>
        <v>LIC142</v>
      </c>
      <c r="G919" s="127" t="s">
        <v>453</v>
      </c>
      <c r="H919" s="127" t="s">
        <v>589</v>
      </c>
      <c r="I919" s="127" t="s">
        <v>590</v>
      </c>
      <c r="J919" s="128">
        <v>550000</v>
      </c>
      <c r="K919" s="127" t="s">
        <v>550</v>
      </c>
      <c r="L919" s="151">
        <v>553180</v>
      </c>
      <c r="M919" s="128">
        <v>0</v>
      </c>
      <c r="N919" s="127" t="s">
        <v>560</v>
      </c>
      <c r="O919" s="127" t="s">
        <v>457</v>
      </c>
      <c r="P919" s="128">
        <v>-2267.34</v>
      </c>
      <c r="Q919" s="128">
        <v>0</v>
      </c>
      <c r="R919" s="128">
        <v>0</v>
      </c>
      <c r="S919" s="128">
        <v>0</v>
      </c>
      <c r="T919" s="128">
        <v>-2267.34</v>
      </c>
      <c r="U919" s="128">
        <v>0</v>
      </c>
      <c r="V919" s="128">
        <v>-2267.34</v>
      </c>
      <c r="W919" s="128">
        <v>0</v>
      </c>
      <c r="X919" s="128">
        <v>0</v>
      </c>
      <c r="Y919" s="128">
        <v>0</v>
      </c>
      <c r="Z919" s="128">
        <v>-2267.34</v>
      </c>
      <c r="AA919" s="128">
        <v>0</v>
      </c>
      <c r="AB919" s="126">
        <f t="shared" si="101"/>
        <v>2.26734E-4</v>
      </c>
      <c r="AC919" s="122" t="s">
        <v>1838</v>
      </c>
      <c r="AD919" s="123">
        <f t="shared" si="102"/>
        <v>0.47971792200000002</v>
      </c>
    </row>
    <row r="920" spans="1:30" ht="12.75" hidden="1" customHeight="1">
      <c r="A920" s="125" t="str">
        <f t="shared" si="98"/>
        <v>LIC142Other Expenses</v>
      </c>
      <c r="B920" s="125">
        <f>+IFERROR(VLOOKUP(L920,'TB mapping'!A:D,4,0),0)</f>
        <v>0</v>
      </c>
      <c r="C920" s="125">
        <f>+IFERROR(VLOOKUP(L920,'TB mapping'!A:C,3,0),0)</f>
        <v>6.3</v>
      </c>
      <c r="D920" s="125" t="str">
        <f t="shared" si="99"/>
        <v>LIC1420</v>
      </c>
      <c r="E920" s="125" t="str">
        <f t="shared" si="100"/>
        <v>LIC1426.3</v>
      </c>
      <c r="F920" s="158" t="str">
        <f>+VLOOKUP(H920,'code mapping'!A:C,3,0)</f>
        <v>LIC142</v>
      </c>
      <c r="G920" s="127" t="s">
        <v>453</v>
      </c>
      <c r="H920" s="127" t="s">
        <v>589</v>
      </c>
      <c r="I920" s="127" t="s">
        <v>590</v>
      </c>
      <c r="J920" s="128">
        <v>550000</v>
      </c>
      <c r="K920" s="127" t="s">
        <v>550</v>
      </c>
      <c r="L920" s="151">
        <v>553190</v>
      </c>
      <c r="M920" s="128">
        <v>0</v>
      </c>
      <c r="N920" s="127" t="s">
        <v>561</v>
      </c>
      <c r="O920" s="127" t="s">
        <v>457</v>
      </c>
      <c r="P920" s="128">
        <v>0</v>
      </c>
      <c r="Q920" s="128">
        <v>512.63</v>
      </c>
      <c r="R920" s="128">
        <v>0</v>
      </c>
      <c r="S920" s="128">
        <v>0</v>
      </c>
      <c r="T920" s="128">
        <v>0</v>
      </c>
      <c r="U920" s="128">
        <v>512.63</v>
      </c>
      <c r="V920" s="128">
        <v>0</v>
      </c>
      <c r="W920" s="128">
        <v>512.63</v>
      </c>
      <c r="X920" s="128">
        <v>0</v>
      </c>
      <c r="Y920" s="128">
        <v>0</v>
      </c>
      <c r="Z920" s="128">
        <v>0</v>
      </c>
      <c r="AA920" s="128">
        <v>512.63</v>
      </c>
      <c r="AB920" s="126">
        <f t="shared" si="101"/>
        <v>-5.1263E-5</v>
      </c>
      <c r="AC920" s="122" t="s">
        <v>1838</v>
      </c>
      <c r="AD920" s="123">
        <f t="shared" si="102"/>
        <v>0.47971792200000002</v>
      </c>
    </row>
    <row r="921" spans="1:30" ht="12.75" hidden="1" customHeight="1">
      <c r="A921" s="125" t="str">
        <f t="shared" si="98"/>
        <v>LIC142Other Expenses-RG</v>
      </c>
      <c r="B921" s="125">
        <f>+IFERROR(VLOOKUP(L921,'TB mapping'!A:D,4,0),0)</f>
        <v>0</v>
      </c>
      <c r="C921" s="125">
        <f>+IFERROR(VLOOKUP(L921,'TB mapping'!A:C,3,0),0)</f>
        <v>6.3</v>
      </c>
      <c r="D921" s="125" t="str">
        <f t="shared" si="99"/>
        <v>LIC1420</v>
      </c>
      <c r="E921" s="125" t="str">
        <f t="shared" si="100"/>
        <v>LIC1426.3</v>
      </c>
      <c r="F921" s="158" t="str">
        <f>+VLOOKUP(H921,'code mapping'!A:C,3,0)</f>
        <v>LIC142</v>
      </c>
      <c r="G921" s="127" t="s">
        <v>453</v>
      </c>
      <c r="H921" s="127" t="s">
        <v>589</v>
      </c>
      <c r="I921" s="127" t="s">
        <v>590</v>
      </c>
      <c r="J921" s="128">
        <v>550000</v>
      </c>
      <c r="K921" s="127" t="s">
        <v>550</v>
      </c>
      <c r="L921" s="151">
        <v>553191</v>
      </c>
      <c r="M921" s="128">
        <v>0</v>
      </c>
      <c r="N921" s="127" t="s">
        <v>562</v>
      </c>
      <c r="O921" s="127" t="s">
        <v>457</v>
      </c>
      <c r="P921" s="128">
        <v>-146358.63</v>
      </c>
      <c r="Q921" s="128">
        <v>0</v>
      </c>
      <c r="R921" s="128">
        <v>0</v>
      </c>
      <c r="S921" s="128">
        <v>0</v>
      </c>
      <c r="T921" s="128">
        <v>-146358.63</v>
      </c>
      <c r="U921" s="128">
        <v>0</v>
      </c>
      <c r="V921" s="128">
        <v>-146358.63</v>
      </c>
      <c r="W921" s="128">
        <v>0</v>
      </c>
      <c r="X921" s="128">
        <v>0</v>
      </c>
      <c r="Y921" s="128">
        <v>0</v>
      </c>
      <c r="Z921" s="128">
        <v>-146358.63</v>
      </c>
      <c r="AA921" s="128">
        <v>0</v>
      </c>
      <c r="AB921" s="126">
        <f t="shared" si="101"/>
        <v>1.4635863000000001E-2</v>
      </c>
      <c r="AC921" s="122" t="s">
        <v>1838</v>
      </c>
      <c r="AD921" s="123">
        <f t="shared" si="102"/>
        <v>0.47971792200000002</v>
      </c>
    </row>
    <row r="922" spans="1:30" ht="12.75" hidden="1" customHeight="1">
      <c r="A922" s="125" t="str">
        <f t="shared" si="98"/>
        <v>LIC142Other Expenses-RD</v>
      </c>
      <c r="B922" s="125">
        <f>+IFERROR(VLOOKUP(L922,'TB mapping'!A:D,4,0),0)</f>
        <v>0</v>
      </c>
      <c r="C922" s="125">
        <f>+IFERROR(VLOOKUP(L922,'TB mapping'!A:C,3,0),0)</f>
        <v>6.3</v>
      </c>
      <c r="D922" s="125" t="str">
        <f t="shared" si="99"/>
        <v>LIC1420</v>
      </c>
      <c r="E922" s="125" t="str">
        <f t="shared" si="100"/>
        <v>LIC1426.3</v>
      </c>
      <c r="F922" s="158" t="str">
        <f>+VLOOKUP(H922,'code mapping'!A:C,3,0)</f>
        <v>LIC142</v>
      </c>
      <c r="G922" s="127" t="s">
        <v>453</v>
      </c>
      <c r="H922" s="127" t="s">
        <v>589</v>
      </c>
      <c r="I922" s="127" t="s">
        <v>590</v>
      </c>
      <c r="J922" s="128">
        <v>550000</v>
      </c>
      <c r="K922" s="127" t="s">
        <v>550</v>
      </c>
      <c r="L922" s="151">
        <v>553192</v>
      </c>
      <c r="M922" s="128">
        <v>0</v>
      </c>
      <c r="N922" s="127" t="s">
        <v>563</v>
      </c>
      <c r="O922" s="127" t="s">
        <v>457</v>
      </c>
      <c r="P922" s="128">
        <v>-29045.31</v>
      </c>
      <c r="Q922" s="128">
        <v>0</v>
      </c>
      <c r="R922" s="128">
        <v>0</v>
      </c>
      <c r="S922" s="128">
        <v>0</v>
      </c>
      <c r="T922" s="128">
        <v>-29045.31</v>
      </c>
      <c r="U922" s="128">
        <v>0</v>
      </c>
      <c r="V922" s="128">
        <v>-29045.31</v>
      </c>
      <c r="W922" s="128">
        <v>0</v>
      </c>
      <c r="X922" s="128">
        <v>0</v>
      </c>
      <c r="Y922" s="128">
        <v>0</v>
      </c>
      <c r="Z922" s="128">
        <v>-29045.31</v>
      </c>
      <c r="AA922" s="128">
        <v>0</v>
      </c>
      <c r="AB922" s="126">
        <f t="shared" si="101"/>
        <v>2.9045310000000001E-3</v>
      </c>
      <c r="AC922" s="122" t="s">
        <v>1838</v>
      </c>
      <c r="AD922" s="123">
        <f t="shared" si="102"/>
        <v>0.47971792200000002</v>
      </c>
    </row>
    <row r="923" spans="1:30" ht="12.75" hidden="1" customHeight="1">
      <c r="A923" s="125" t="str">
        <f t="shared" si="98"/>
        <v>LIC142Other Exp - Brok - Indirect</v>
      </c>
      <c r="B923" s="125">
        <f>+IFERROR(VLOOKUP(L923,'TB mapping'!A:D,4,0),0)</f>
        <v>0</v>
      </c>
      <c r="C923" s="125">
        <f>+IFERROR(VLOOKUP(L923,'TB mapping'!A:C,3,0),0)</f>
        <v>6.3</v>
      </c>
      <c r="D923" s="125" t="str">
        <f t="shared" si="99"/>
        <v>LIC1420</v>
      </c>
      <c r="E923" s="125" t="str">
        <f t="shared" si="100"/>
        <v>LIC1426.3</v>
      </c>
      <c r="F923" s="158" t="str">
        <f>+VLOOKUP(H923,'code mapping'!A:C,3,0)</f>
        <v>LIC142</v>
      </c>
      <c r="G923" s="127" t="s">
        <v>453</v>
      </c>
      <c r="H923" s="127" t="s">
        <v>589</v>
      </c>
      <c r="I923" s="127" t="s">
        <v>590</v>
      </c>
      <c r="J923" s="128">
        <v>550000</v>
      </c>
      <c r="K923" s="127" t="s">
        <v>550</v>
      </c>
      <c r="L923" s="151">
        <v>553202</v>
      </c>
      <c r="M923" s="128">
        <v>0</v>
      </c>
      <c r="N923" s="127" t="s">
        <v>564</v>
      </c>
      <c r="O923" s="127" t="s">
        <v>457</v>
      </c>
      <c r="P923" s="128">
        <v>-550017.74</v>
      </c>
      <c r="Q923" s="128">
        <v>0</v>
      </c>
      <c r="R923" s="128">
        <v>0</v>
      </c>
      <c r="S923" s="128">
        <v>0</v>
      </c>
      <c r="T923" s="128">
        <v>-550017.74</v>
      </c>
      <c r="U923" s="128">
        <v>0</v>
      </c>
      <c r="V923" s="128">
        <v>-550017.74</v>
      </c>
      <c r="W923" s="128">
        <v>0</v>
      </c>
      <c r="X923" s="128">
        <v>0</v>
      </c>
      <c r="Y923" s="128">
        <v>0</v>
      </c>
      <c r="Z923" s="128">
        <v>-550017.74</v>
      </c>
      <c r="AA923" s="128">
        <v>0</v>
      </c>
      <c r="AB923" s="126">
        <f t="shared" si="101"/>
        <v>5.5001773999999996E-2</v>
      </c>
      <c r="AC923" s="122" t="s">
        <v>1838</v>
      </c>
      <c r="AD923" s="123">
        <f t="shared" si="102"/>
        <v>0.47971792200000002</v>
      </c>
    </row>
    <row r="924" spans="1:30" ht="12.75" hidden="1" customHeight="1">
      <c r="A924" s="125" t="str">
        <f t="shared" si="98"/>
        <v>LIC142Brokerage/Dist Exps</v>
      </c>
      <c r="B924" s="125">
        <f>+IFERROR(VLOOKUP(L924,'TB mapping'!A:D,4,0),0)</f>
        <v>0</v>
      </c>
      <c r="C924" s="125">
        <f>+IFERROR(VLOOKUP(L924,'TB mapping'!A:C,3,0),0)</f>
        <v>6.3</v>
      </c>
      <c r="D924" s="125" t="str">
        <f t="shared" si="99"/>
        <v>LIC1420</v>
      </c>
      <c r="E924" s="125" t="str">
        <f t="shared" si="100"/>
        <v>LIC1426.3</v>
      </c>
      <c r="F924" s="158" t="str">
        <f>+VLOOKUP(H924,'code mapping'!A:C,3,0)</f>
        <v>LIC142</v>
      </c>
      <c r="G924" s="127" t="s">
        <v>453</v>
      </c>
      <c r="H924" s="127" t="s">
        <v>589</v>
      </c>
      <c r="I924" s="127" t="s">
        <v>590</v>
      </c>
      <c r="J924" s="128">
        <v>550000</v>
      </c>
      <c r="K924" s="127" t="s">
        <v>550</v>
      </c>
      <c r="L924" s="151">
        <v>553208</v>
      </c>
      <c r="M924" s="128">
        <v>0</v>
      </c>
      <c r="N924" s="127" t="s">
        <v>565</v>
      </c>
      <c r="O924" s="127" t="s">
        <v>457</v>
      </c>
      <c r="P924" s="128">
        <v>0</v>
      </c>
      <c r="Q924" s="128">
        <v>136347.01</v>
      </c>
      <c r="R924" s="128">
        <v>0</v>
      </c>
      <c r="S924" s="128">
        <v>0</v>
      </c>
      <c r="T924" s="128">
        <v>0</v>
      </c>
      <c r="U924" s="128">
        <v>136347.01</v>
      </c>
      <c r="V924" s="128">
        <v>0</v>
      </c>
      <c r="W924" s="128">
        <v>136347.01</v>
      </c>
      <c r="X924" s="128">
        <v>0</v>
      </c>
      <c r="Y924" s="128">
        <v>0</v>
      </c>
      <c r="Z924" s="128">
        <v>0</v>
      </c>
      <c r="AA924" s="128">
        <v>136347.01</v>
      </c>
      <c r="AB924" s="126">
        <f t="shared" si="101"/>
        <v>-1.3634701000000001E-2</v>
      </c>
      <c r="AC924" s="122" t="s">
        <v>1838</v>
      </c>
      <c r="AD924" s="123">
        <f t="shared" si="102"/>
        <v>0.47971792200000002</v>
      </c>
    </row>
    <row r="925" spans="1:30" ht="12.75" hidden="1" customHeight="1">
      <c r="A925" s="125" t="str">
        <f t="shared" si="98"/>
        <v>LIC142Internal Audit Fee</v>
      </c>
      <c r="B925" s="125">
        <f>+IFERROR(VLOOKUP(L925,'TB mapping'!A:D,4,0),0)</f>
        <v>0</v>
      </c>
      <c r="C925" s="125">
        <f>+IFERROR(VLOOKUP(L925,'TB mapping'!A:C,3,0),0)</f>
        <v>6.3</v>
      </c>
      <c r="D925" s="125" t="str">
        <f t="shared" si="99"/>
        <v>LIC1420</v>
      </c>
      <c r="E925" s="125" t="str">
        <f t="shared" si="100"/>
        <v>LIC1426.3</v>
      </c>
      <c r="F925" s="158" t="str">
        <f>+VLOOKUP(H925,'code mapping'!A:C,3,0)</f>
        <v>LIC142</v>
      </c>
      <c r="G925" s="127" t="s">
        <v>453</v>
      </c>
      <c r="H925" s="127" t="s">
        <v>589</v>
      </c>
      <c r="I925" s="127" t="s">
        <v>590</v>
      </c>
      <c r="J925" s="128">
        <v>550000</v>
      </c>
      <c r="K925" s="127" t="s">
        <v>550</v>
      </c>
      <c r="L925" s="151">
        <v>553213</v>
      </c>
      <c r="M925" s="128">
        <v>0</v>
      </c>
      <c r="N925" s="127" t="s">
        <v>566</v>
      </c>
      <c r="O925" s="127" t="s">
        <v>457</v>
      </c>
      <c r="P925" s="128">
        <v>-3353.47</v>
      </c>
      <c r="Q925" s="128">
        <v>0</v>
      </c>
      <c r="R925" s="128">
        <v>0</v>
      </c>
      <c r="S925" s="128">
        <v>0</v>
      </c>
      <c r="T925" s="128">
        <v>-3353.47</v>
      </c>
      <c r="U925" s="128">
        <v>0</v>
      </c>
      <c r="V925" s="128">
        <v>-3353.47</v>
      </c>
      <c r="W925" s="128">
        <v>0</v>
      </c>
      <c r="X925" s="128">
        <v>0</v>
      </c>
      <c r="Y925" s="128">
        <v>0</v>
      </c>
      <c r="Z925" s="128">
        <v>-3353.47</v>
      </c>
      <c r="AA925" s="128">
        <v>0</v>
      </c>
      <c r="AB925" s="126">
        <f t="shared" si="101"/>
        <v>3.35347E-4</v>
      </c>
      <c r="AC925" s="122" t="s">
        <v>1838</v>
      </c>
      <c r="AD925" s="123">
        <f t="shared" si="102"/>
        <v>0.47971792200000002</v>
      </c>
    </row>
    <row r="926" spans="1:30" ht="12.75" hidden="1" customHeight="1">
      <c r="A926" s="125" t="str">
        <f t="shared" si="98"/>
        <v>LIC142Other Expenses-GDP</v>
      </c>
      <c r="B926" s="125">
        <f>+IFERROR(VLOOKUP(L926,'TB mapping'!A:D,4,0),0)</f>
        <v>0</v>
      </c>
      <c r="C926" s="125">
        <f>+IFERROR(VLOOKUP(L926,'TB mapping'!A:C,3,0),0)</f>
        <v>6.3</v>
      </c>
      <c r="D926" s="125" t="str">
        <f t="shared" si="99"/>
        <v>LIC1420</v>
      </c>
      <c r="E926" s="125" t="str">
        <f t="shared" si="100"/>
        <v>LIC1426.3</v>
      </c>
      <c r="F926" s="158" t="str">
        <f>+VLOOKUP(H926,'code mapping'!A:C,3,0)</f>
        <v>LIC142</v>
      </c>
      <c r="G926" s="127" t="s">
        <v>453</v>
      </c>
      <c r="H926" s="127" t="s">
        <v>589</v>
      </c>
      <c r="I926" s="127" t="s">
        <v>590</v>
      </c>
      <c r="J926" s="128">
        <v>550000</v>
      </c>
      <c r="K926" s="127" t="s">
        <v>550</v>
      </c>
      <c r="L926" s="151">
        <v>553329</v>
      </c>
      <c r="M926" s="128">
        <v>0</v>
      </c>
      <c r="N926" s="127" t="s">
        <v>567</v>
      </c>
      <c r="O926" s="127" t="s">
        <v>457</v>
      </c>
      <c r="P926" s="128">
        <v>-3417.68</v>
      </c>
      <c r="Q926" s="128">
        <v>0</v>
      </c>
      <c r="R926" s="128">
        <v>0</v>
      </c>
      <c r="S926" s="128">
        <v>0</v>
      </c>
      <c r="T926" s="128">
        <v>-3417.68</v>
      </c>
      <c r="U926" s="128">
        <v>0</v>
      </c>
      <c r="V926" s="128">
        <v>-3417.68</v>
      </c>
      <c r="W926" s="128">
        <v>0</v>
      </c>
      <c r="X926" s="128">
        <v>0</v>
      </c>
      <c r="Y926" s="128">
        <v>0</v>
      </c>
      <c r="Z926" s="128">
        <v>-3417.68</v>
      </c>
      <c r="AA926" s="128">
        <v>0</v>
      </c>
      <c r="AB926" s="126">
        <f t="shared" si="101"/>
        <v>3.41768E-4</v>
      </c>
      <c r="AC926" s="122" t="s">
        <v>1838</v>
      </c>
      <c r="AD926" s="123">
        <f t="shared" si="102"/>
        <v>0.47971792200000002</v>
      </c>
    </row>
    <row r="927" spans="1:30" ht="12.75" hidden="1" customHeight="1">
      <c r="A927" s="125" t="str">
        <f t="shared" si="98"/>
        <v>LIC142Inv Educ Fund Expense - Amfi</v>
      </c>
      <c r="B927" s="125">
        <f>+IFERROR(VLOOKUP(L927,'TB mapping'!A:D,4,0),0)</f>
        <v>0</v>
      </c>
      <c r="C927" s="125">
        <f>+IFERROR(VLOOKUP(L927,'TB mapping'!A:C,3,0),0)</f>
        <v>6.3</v>
      </c>
      <c r="D927" s="125" t="str">
        <f t="shared" si="99"/>
        <v>LIC1420</v>
      </c>
      <c r="E927" s="125" t="str">
        <f t="shared" si="100"/>
        <v>LIC1426.3</v>
      </c>
      <c r="F927" s="158" t="str">
        <f>+VLOOKUP(H927,'code mapping'!A:C,3,0)</f>
        <v>LIC142</v>
      </c>
      <c r="G927" s="127" t="s">
        <v>453</v>
      </c>
      <c r="H927" s="127" t="s">
        <v>589</v>
      </c>
      <c r="I927" s="127" t="s">
        <v>590</v>
      </c>
      <c r="J927" s="128">
        <v>550000</v>
      </c>
      <c r="K927" s="127" t="s">
        <v>550</v>
      </c>
      <c r="L927" s="151">
        <v>554526</v>
      </c>
      <c r="M927" s="128">
        <v>0</v>
      </c>
      <c r="N927" s="127" t="s">
        <v>569</v>
      </c>
      <c r="O927" s="127" t="s">
        <v>457</v>
      </c>
      <c r="P927" s="128">
        <v>-19157.170000000002</v>
      </c>
      <c r="Q927" s="128">
        <v>0</v>
      </c>
      <c r="R927" s="128">
        <v>0</v>
      </c>
      <c r="S927" s="128">
        <v>0</v>
      </c>
      <c r="T927" s="128">
        <v>-19157.170000000002</v>
      </c>
      <c r="U927" s="128">
        <v>0</v>
      </c>
      <c r="V927" s="128">
        <v>-19157.170000000002</v>
      </c>
      <c r="W927" s="128">
        <v>0</v>
      </c>
      <c r="X927" s="128">
        <v>0</v>
      </c>
      <c r="Y927" s="128">
        <v>0</v>
      </c>
      <c r="Z927" s="128">
        <v>-19157.170000000002</v>
      </c>
      <c r="AA927" s="128">
        <v>0</v>
      </c>
      <c r="AB927" s="126">
        <f t="shared" si="101"/>
        <v>1.9157170000000002E-3</v>
      </c>
      <c r="AC927" s="122" t="s">
        <v>1838</v>
      </c>
      <c r="AD927" s="123">
        <f t="shared" si="102"/>
        <v>0.47971792200000002</v>
      </c>
    </row>
    <row r="928" spans="1:30" ht="12.75" hidden="1" customHeight="1">
      <c r="A928" s="125" t="str">
        <f t="shared" si="98"/>
        <v>LIC142Client Servicing Expenes</v>
      </c>
      <c r="B928" s="125">
        <f>+IFERROR(VLOOKUP(L928,'TB mapping'!A:D,4,0),0)</f>
        <v>0</v>
      </c>
      <c r="C928" s="125">
        <f>+IFERROR(VLOOKUP(L928,'TB mapping'!A:C,3,0),0)</f>
        <v>6.3</v>
      </c>
      <c r="D928" s="125" t="str">
        <f t="shared" si="99"/>
        <v>LIC1420</v>
      </c>
      <c r="E928" s="125" t="str">
        <f t="shared" si="100"/>
        <v>LIC1426.3</v>
      </c>
      <c r="F928" s="158" t="str">
        <f>+VLOOKUP(H928,'code mapping'!A:C,3,0)</f>
        <v>LIC142</v>
      </c>
      <c r="G928" s="127" t="s">
        <v>453</v>
      </c>
      <c r="H928" s="127" t="s">
        <v>589</v>
      </c>
      <c r="I928" s="127" t="s">
        <v>590</v>
      </c>
      <c r="J928" s="128">
        <v>550000</v>
      </c>
      <c r="K928" s="127" t="s">
        <v>550</v>
      </c>
      <c r="L928" s="151">
        <v>555157</v>
      </c>
      <c r="M928" s="128">
        <v>0</v>
      </c>
      <c r="N928" s="127" t="s">
        <v>571</v>
      </c>
      <c r="O928" s="127" t="s">
        <v>457</v>
      </c>
      <c r="P928" s="128">
        <v>-375851</v>
      </c>
      <c r="Q928" s="128">
        <v>0</v>
      </c>
      <c r="R928" s="128">
        <v>0</v>
      </c>
      <c r="S928" s="128">
        <v>0</v>
      </c>
      <c r="T928" s="128">
        <v>-375851</v>
      </c>
      <c r="U928" s="128">
        <v>0</v>
      </c>
      <c r="V928" s="128">
        <v>-375851</v>
      </c>
      <c r="W928" s="128">
        <v>0</v>
      </c>
      <c r="X928" s="128">
        <v>0</v>
      </c>
      <c r="Y928" s="128">
        <v>0</v>
      </c>
      <c r="Z928" s="128">
        <v>-375851</v>
      </c>
      <c r="AA928" s="128">
        <v>0</v>
      </c>
      <c r="AB928" s="126">
        <f t="shared" si="101"/>
        <v>3.7585100000000003E-2</v>
      </c>
      <c r="AC928" s="122" t="s">
        <v>1838</v>
      </c>
      <c r="AD928" s="123">
        <f t="shared" si="102"/>
        <v>0.47971792200000002</v>
      </c>
    </row>
    <row r="929" spans="1:30" ht="12.75" hidden="1" customHeight="1">
      <c r="A929" s="125" t="str">
        <f t="shared" si="98"/>
        <v>LIC142Management Fee-Reclassfication</v>
      </c>
      <c r="B929" s="125">
        <f>+IFERROR(VLOOKUP(L929,'TB mapping'!A:D,4,0),0)</f>
        <v>6.1</v>
      </c>
      <c r="C929" s="125">
        <f>+IFERROR(VLOOKUP(L929,'TB mapping'!A:C,3,0),0)</f>
        <v>6.3</v>
      </c>
      <c r="D929" s="125" t="str">
        <f t="shared" si="99"/>
        <v>LIC1426.1</v>
      </c>
      <c r="E929" s="125" t="str">
        <f t="shared" si="100"/>
        <v>LIC1426.3</v>
      </c>
      <c r="F929" s="158" t="str">
        <f>+VLOOKUP(H929,'code mapping'!A:C,3,0)</f>
        <v>LIC142</v>
      </c>
      <c r="G929" s="127" t="s">
        <v>453</v>
      </c>
      <c r="H929" s="127" t="s">
        <v>589</v>
      </c>
      <c r="I929" s="127" t="s">
        <v>590</v>
      </c>
      <c r="J929" s="128">
        <v>550000</v>
      </c>
      <c r="K929" s="127" t="s">
        <v>550</v>
      </c>
      <c r="L929" s="151">
        <v>555274</v>
      </c>
      <c r="M929" s="128">
        <v>0</v>
      </c>
      <c r="N929" s="127" t="s">
        <v>583</v>
      </c>
      <c r="O929" s="127" t="s">
        <v>457</v>
      </c>
      <c r="P929" s="128">
        <v>-385593.69</v>
      </c>
      <c r="Q929" s="128">
        <v>0</v>
      </c>
      <c r="R929" s="128">
        <v>0</v>
      </c>
      <c r="S929" s="128">
        <v>0</v>
      </c>
      <c r="T929" s="128">
        <v>-385593.69</v>
      </c>
      <c r="U929" s="128">
        <v>0</v>
      </c>
      <c r="V929" s="128">
        <v>-385593.69</v>
      </c>
      <c r="W929" s="128">
        <v>0</v>
      </c>
      <c r="X929" s="128">
        <v>0</v>
      </c>
      <c r="Y929" s="128">
        <v>0</v>
      </c>
      <c r="Z929" s="128">
        <v>-385593.69</v>
      </c>
      <c r="AA929" s="128">
        <v>0</v>
      </c>
      <c r="AB929" s="126">
        <f t="shared" si="101"/>
        <v>3.8559369000000003E-2</v>
      </c>
      <c r="AC929" s="122" t="s">
        <v>1838</v>
      </c>
      <c r="AD929" s="123">
        <f t="shared" si="102"/>
        <v>0.47971792200000002</v>
      </c>
    </row>
    <row r="930" spans="1:30" ht="12.75" hidden="1" customHeight="1">
      <c r="A930" s="125" t="str">
        <f t="shared" si="98"/>
        <v>LIC142Brokerage_Indirect_Reclassify</v>
      </c>
      <c r="B930" s="125">
        <f>+IFERROR(VLOOKUP(L930,'TB mapping'!A:D,4,0),0)</f>
        <v>0</v>
      </c>
      <c r="C930" s="125">
        <f>+IFERROR(VLOOKUP(L930,'TB mapping'!A:C,3,0),0)</f>
        <v>6.3</v>
      </c>
      <c r="D930" s="125" t="str">
        <f t="shared" si="99"/>
        <v>LIC1420</v>
      </c>
      <c r="E930" s="125" t="str">
        <f t="shared" si="100"/>
        <v>LIC1426.3</v>
      </c>
      <c r="F930" s="158" t="str">
        <f>+VLOOKUP(H930,'code mapping'!A:C,3,0)</f>
        <v>LIC142</v>
      </c>
      <c r="G930" s="127" t="s">
        <v>453</v>
      </c>
      <c r="H930" s="127" t="s">
        <v>589</v>
      </c>
      <c r="I930" s="127" t="s">
        <v>590</v>
      </c>
      <c r="J930" s="128">
        <v>550000</v>
      </c>
      <c r="K930" s="127" t="s">
        <v>550</v>
      </c>
      <c r="L930" s="151">
        <v>555275</v>
      </c>
      <c r="M930" s="128">
        <v>0</v>
      </c>
      <c r="N930" s="127" t="s">
        <v>600</v>
      </c>
      <c r="O930" s="127" t="s">
        <v>457</v>
      </c>
      <c r="P930" s="128">
        <v>0</v>
      </c>
      <c r="Q930" s="128">
        <v>175000</v>
      </c>
      <c r="R930" s="128">
        <v>0</v>
      </c>
      <c r="S930" s="128">
        <v>0</v>
      </c>
      <c r="T930" s="128">
        <v>0</v>
      </c>
      <c r="U930" s="128">
        <v>175000</v>
      </c>
      <c r="V930" s="128">
        <v>0</v>
      </c>
      <c r="W930" s="128">
        <v>175000</v>
      </c>
      <c r="X930" s="128">
        <v>0</v>
      </c>
      <c r="Y930" s="128">
        <v>0</v>
      </c>
      <c r="Z930" s="128">
        <v>0</v>
      </c>
      <c r="AA930" s="128">
        <v>175000</v>
      </c>
      <c r="AB930" s="126">
        <f t="shared" si="101"/>
        <v>-1.7500000000000002E-2</v>
      </c>
      <c r="AC930" s="122" t="s">
        <v>1838</v>
      </c>
      <c r="AD930" s="123">
        <f t="shared" si="102"/>
        <v>0.47971792200000002</v>
      </c>
    </row>
    <row r="931" spans="1:30" ht="12.75" hidden="1" customHeight="1">
      <c r="A931" s="125" t="str">
        <f t="shared" si="98"/>
        <v>LIC142CGST on Reclassify of Exp</v>
      </c>
      <c r="B931" s="125">
        <f>+IFERROR(VLOOKUP(L931,'TB mapping'!A:D,4,0),0)</f>
        <v>0</v>
      </c>
      <c r="C931" s="125">
        <f>+IFERROR(VLOOKUP(L931,'TB mapping'!A:C,3,0),0)</f>
        <v>6.3</v>
      </c>
      <c r="D931" s="125" t="str">
        <f t="shared" si="99"/>
        <v>LIC1420</v>
      </c>
      <c r="E931" s="125" t="str">
        <f t="shared" si="100"/>
        <v>LIC1426.3</v>
      </c>
      <c r="F931" s="158" t="str">
        <f>+VLOOKUP(H931,'code mapping'!A:C,3,0)</f>
        <v>LIC142</v>
      </c>
      <c r="G931" s="127" t="s">
        <v>453</v>
      </c>
      <c r="H931" s="127" t="s">
        <v>589</v>
      </c>
      <c r="I931" s="127" t="s">
        <v>590</v>
      </c>
      <c r="J931" s="128">
        <v>550000</v>
      </c>
      <c r="K931" s="127" t="s">
        <v>550</v>
      </c>
      <c r="L931" s="151">
        <v>555276</v>
      </c>
      <c r="M931" s="128">
        <v>0</v>
      </c>
      <c r="N931" s="127" t="s">
        <v>572</v>
      </c>
      <c r="O931" s="127" t="s">
        <v>457</v>
      </c>
      <c r="P931" s="128">
        <v>-19449.16</v>
      </c>
      <c r="Q931" s="128">
        <v>0</v>
      </c>
      <c r="R931" s="128">
        <v>0</v>
      </c>
      <c r="S931" s="128">
        <v>0</v>
      </c>
      <c r="T931" s="128">
        <v>-19449.16</v>
      </c>
      <c r="U931" s="128">
        <v>0</v>
      </c>
      <c r="V931" s="128">
        <v>-19449.16</v>
      </c>
      <c r="W931" s="128">
        <v>0</v>
      </c>
      <c r="X931" s="128">
        <v>0</v>
      </c>
      <c r="Y931" s="128">
        <v>0</v>
      </c>
      <c r="Z931" s="128">
        <v>-19449.16</v>
      </c>
      <c r="AA931" s="128">
        <v>0</v>
      </c>
      <c r="AB931" s="126">
        <f t="shared" si="101"/>
        <v>1.9449160000000001E-3</v>
      </c>
      <c r="AC931" s="122" t="s">
        <v>1838</v>
      </c>
      <c r="AD931" s="123">
        <f t="shared" si="102"/>
        <v>0.47971792200000002</v>
      </c>
    </row>
    <row r="932" spans="1:30" ht="12.75" hidden="1" customHeight="1">
      <c r="A932" s="125" t="str">
        <f t="shared" si="98"/>
        <v>LIC142SGST on Reclassify of Exp</v>
      </c>
      <c r="B932" s="125">
        <f>+IFERROR(VLOOKUP(L932,'TB mapping'!A:D,4,0),0)</f>
        <v>0</v>
      </c>
      <c r="C932" s="125">
        <f>+IFERROR(VLOOKUP(L932,'TB mapping'!A:C,3,0),0)</f>
        <v>6.3</v>
      </c>
      <c r="D932" s="125" t="str">
        <f t="shared" si="99"/>
        <v>LIC1420</v>
      </c>
      <c r="E932" s="125" t="str">
        <f t="shared" si="100"/>
        <v>LIC1426.3</v>
      </c>
      <c r="F932" s="158" t="str">
        <f>+VLOOKUP(H932,'code mapping'!A:C,3,0)</f>
        <v>LIC142</v>
      </c>
      <c r="G932" s="127" t="s">
        <v>453</v>
      </c>
      <c r="H932" s="127" t="s">
        <v>589</v>
      </c>
      <c r="I932" s="127" t="s">
        <v>590</v>
      </c>
      <c r="J932" s="128">
        <v>550000</v>
      </c>
      <c r="K932" s="127" t="s">
        <v>550</v>
      </c>
      <c r="L932" s="151">
        <v>555277</v>
      </c>
      <c r="M932" s="128">
        <v>0</v>
      </c>
      <c r="N932" s="127" t="s">
        <v>573</v>
      </c>
      <c r="O932" s="127" t="s">
        <v>457</v>
      </c>
      <c r="P932" s="128">
        <v>-19449.16</v>
      </c>
      <c r="Q932" s="128">
        <v>0</v>
      </c>
      <c r="R932" s="128">
        <v>0</v>
      </c>
      <c r="S932" s="128">
        <v>0</v>
      </c>
      <c r="T932" s="128">
        <v>-19449.16</v>
      </c>
      <c r="U932" s="128">
        <v>0</v>
      </c>
      <c r="V932" s="128">
        <v>-19449.16</v>
      </c>
      <c r="W932" s="128">
        <v>0</v>
      </c>
      <c r="X932" s="128">
        <v>0</v>
      </c>
      <c r="Y932" s="128">
        <v>0</v>
      </c>
      <c r="Z932" s="128">
        <v>-19449.16</v>
      </c>
      <c r="AA932" s="128">
        <v>0</v>
      </c>
      <c r="AB932" s="126">
        <f t="shared" si="101"/>
        <v>1.9449160000000001E-3</v>
      </c>
      <c r="AC932" s="122" t="s">
        <v>1838</v>
      </c>
      <c r="AD932" s="123">
        <f t="shared" si="102"/>
        <v>0.47971792200000002</v>
      </c>
    </row>
    <row r="933" spans="1:30" ht="12.75" hidden="1" customHeight="1">
      <c r="A933" s="125" t="str">
        <f t="shared" si="98"/>
        <v>LIC142Other Expense-Reclassfication</v>
      </c>
      <c r="B933" s="125">
        <f>+IFERROR(VLOOKUP(L933,'TB mapping'!A:D,4,0),0)</f>
        <v>0</v>
      </c>
      <c r="C933" s="125">
        <f>+IFERROR(VLOOKUP(L933,'TB mapping'!A:C,3,0),0)</f>
        <v>0</v>
      </c>
      <c r="D933" s="125" t="str">
        <f t="shared" si="99"/>
        <v>LIC1420</v>
      </c>
      <c r="E933" s="125" t="str">
        <f t="shared" si="100"/>
        <v>LIC1420</v>
      </c>
      <c r="F933" s="158" t="str">
        <f>+VLOOKUP(H933,'code mapping'!A:C,3,0)</f>
        <v>LIC142</v>
      </c>
      <c r="G933" s="127" t="s">
        <v>453</v>
      </c>
      <c r="H933" s="127" t="s">
        <v>589</v>
      </c>
      <c r="I933" s="127" t="s">
        <v>590</v>
      </c>
      <c r="J933" s="128">
        <v>550000</v>
      </c>
      <c r="K933" s="127" t="s">
        <v>550</v>
      </c>
      <c r="L933" s="151">
        <v>555280</v>
      </c>
      <c r="M933" s="128">
        <v>0</v>
      </c>
      <c r="N933" s="127" t="s">
        <v>1590</v>
      </c>
      <c r="O933" s="127" t="s">
        <v>457</v>
      </c>
      <c r="P933" s="128">
        <v>0</v>
      </c>
      <c r="Q933" s="128">
        <v>30000.01</v>
      </c>
      <c r="R933" s="128">
        <v>0</v>
      </c>
      <c r="S933" s="128">
        <v>0</v>
      </c>
      <c r="T933" s="128">
        <v>0</v>
      </c>
      <c r="U933" s="128">
        <v>30000.01</v>
      </c>
      <c r="V933" s="128">
        <v>0</v>
      </c>
      <c r="W933" s="128">
        <v>30000.01</v>
      </c>
      <c r="X933" s="128">
        <v>0</v>
      </c>
      <c r="Y933" s="128">
        <v>0</v>
      </c>
      <c r="Z933" s="128">
        <v>0</v>
      </c>
      <c r="AA933" s="128">
        <v>30000.01</v>
      </c>
      <c r="AB933" s="126">
        <f t="shared" si="101"/>
        <v>-3.000001E-3</v>
      </c>
      <c r="AC933" s="122" t="s">
        <v>1838</v>
      </c>
      <c r="AD933" s="123">
        <f>SUMIF(C:C,C933,AB:AB)</f>
        <v>1983.9723217250009</v>
      </c>
    </row>
    <row r="934" spans="1:30" ht="12.75" hidden="1" customHeight="1">
      <c r="A934" s="125" t="str">
        <f t="shared" si="98"/>
        <v>LIC142CGST on Mfees</v>
      </c>
      <c r="B934" s="125">
        <f>+IFERROR(VLOOKUP(L934,'TB mapping'!A:D,4,0),0)</f>
        <v>6.1</v>
      </c>
      <c r="C934" s="125">
        <f>+IFERROR(VLOOKUP(L934,'TB mapping'!A:C,3,0),0)</f>
        <v>6.3</v>
      </c>
      <c r="D934" s="125" t="str">
        <f t="shared" si="99"/>
        <v>LIC1426.1</v>
      </c>
      <c r="E934" s="125" t="str">
        <f t="shared" si="100"/>
        <v>LIC1426.3</v>
      </c>
      <c r="F934" s="158" t="str">
        <f>+VLOOKUP(H934,'code mapping'!A:C,3,0)</f>
        <v>LIC142</v>
      </c>
      <c r="G934" s="127" t="s">
        <v>453</v>
      </c>
      <c r="H934" s="127" t="s">
        <v>589</v>
      </c>
      <c r="I934" s="127" t="s">
        <v>590</v>
      </c>
      <c r="J934" s="128">
        <v>550000</v>
      </c>
      <c r="K934" s="127" t="s">
        <v>550</v>
      </c>
      <c r="L934" s="151">
        <v>555597</v>
      </c>
      <c r="M934" s="128">
        <v>0</v>
      </c>
      <c r="N934" s="127" t="s">
        <v>574</v>
      </c>
      <c r="O934" s="127" t="s">
        <v>457</v>
      </c>
      <c r="P934" s="128">
        <v>-219297.3</v>
      </c>
      <c r="Q934" s="128">
        <v>0</v>
      </c>
      <c r="R934" s="128">
        <v>0</v>
      </c>
      <c r="S934" s="128">
        <v>0</v>
      </c>
      <c r="T934" s="128">
        <v>-219297.3</v>
      </c>
      <c r="U934" s="128">
        <v>0</v>
      </c>
      <c r="V934" s="128">
        <v>-219297.3</v>
      </c>
      <c r="W934" s="128">
        <v>0</v>
      </c>
      <c r="X934" s="128">
        <v>0</v>
      </c>
      <c r="Y934" s="128">
        <v>0</v>
      </c>
      <c r="Z934" s="128">
        <v>-219297.3</v>
      </c>
      <c r="AA934" s="128">
        <v>0</v>
      </c>
      <c r="AB934" s="126">
        <f t="shared" si="101"/>
        <v>2.1929729999999998E-2</v>
      </c>
      <c r="AC934" s="122" t="s">
        <v>1838</v>
      </c>
      <c r="AD934" s="123">
        <f t="shared" ref="AD934:AD941" si="103">SUMIF(E:E,E934,AB:AB)</f>
        <v>0.47971792200000002</v>
      </c>
    </row>
    <row r="935" spans="1:30" ht="12.75" hidden="1" customHeight="1">
      <c r="A935" s="125" t="str">
        <f t="shared" si="98"/>
        <v>LIC142SGST on Mfees</v>
      </c>
      <c r="B935" s="125">
        <f>+IFERROR(VLOOKUP(L935,'TB mapping'!A:D,4,0),0)</f>
        <v>6.1</v>
      </c>
      <c r="C935" s="125">
        <f>+IFERROR(VLOOKUP(L935,'TB mapping'!A:C,3,0),0)</f>
        <v>6.3</v>
      </c>
      <c r="D935" s="125" t="str">
        <f t="shared" si="99"/>
        <v>LIC1426.1</v>
      </c>
      <c r="E935" s="125" t="str">
        <f t="shared" si="100"/>
        <v>LIC1426.3</v>
      </c>
      <c r="F935" s="158" t="str">
        <f>+VLOOKUP(H935,'code mapping'!A:C,3,0)</f>
        <v>LIC142</v>
      </c>
      <c r="G935" s="127" t="s">
        <v>453</v>
      </c>
      <c r="H935" s="127" t="s">
        <v>589</v>
      </c>
      <c r="I935" s="127" t="s">
        <v>590</v>
      </c>
      <c r="J935" s="128">
        <v>550000</v>
      </c>
      <c r="K935" s="127" t="s">
        <v>550</v>
      </c>
      <c r="L935" s="151">
        <v>555598</v>
      </c>
      <c r="M935" s="128">
        <v>0</v>
      </c>
      <c r="N935" s="127" t="s">
        <v>575</v>
      </c>
      <c r="O935" s="127" t="s">
        <v>457</v>
      </c>
      <c r="P935" s="128">
        <v>-219297.28</v>
      </c>
      <c r="Q935" s="128">
        <v>0</v>
      </c>
      <c r="R935" s="128">
        <v>0</v>
      </c>
      <c r="S935" s="128">
        <v>0</v>
      </c>
      <c r="T935" s="128">
        <v>-219297.28</v>
      </c>
      <c r="U935" s="128">
        <v>0</v>
      </c>
      <c r="V935" s="128">
        <v>-219297.28</v>
      </c>
      <c r="W935" s="128">
        <v>0</v>
      </c>
      <c r="X935" s="128">
        <v>0</v>
      </c>
      <c r="Y935" s="128">
        <v>0</v>
      </c>
      <c r="Z935" s="128">
        <v>-219297.28</v>
      </c>
      <c r="AA935" s="128">
        <v>0</v>
      </c>
      <c r="AB935" s="126">
        <f t="shared" si="101"/>
        <v>2.1929727999999999E-2</v>
      </c>
      <c r="AC935" s="122" t="s">
        <v>1838</v>
      </c>
      <c r="AD935" s="123">
        <f t="shared" si="103"/>
        <v>0.47971792200000002</v>
      </c>
    </row>
    <row r="936" spans="1:30" ht="12.75" hidden="1" customHeight="1">
      <c r="A936" s="125" t="str">
        <f t="shared" si="98"/>
        <v>LIC142CGST on Mfees -GDP</v>
      </c>
      <c r="B936" s="125">
        <f>+IFERROR(VLOOKUP(L936,'TB mapping'!A:D,4,0),0)</f>
        <v>6.1</v>
      </c>
      <c r="C936" s="125">
        <f>+IFERROR(VLOOKUP(L936,'TB mapping'!A:C,3,0),0)</f>
        <v>6.3</v>
      </c>
      <c r="D936" s="125" t="str">
        <f t="shared" si="99"/>
        <v>LIC1426.1</v>
      </c>
      <c r="E936" s="125" t="str">
        <f t="shared" si="100"/>
        <v>LIC1426.3</v>
      </c>
      <c r="F936" s="158" t="str">
        <f>+VLOOKUP(H936,'code mapping'!A:C,3,0)</f>
        <v>LIC142</v>
      </c>
      <c r="G936" s="127" t="s">
        <v>453</v>
      </c>
      <c r="H936" s="127" t="s">
        <v>589</v>
      </c>
      <c r="I936" s="127" t="s">
        <v>590</v>
      </c>
      <c r="J936" s="128">
        <v>550000</v>
      </c>
      <c r="K936" s="127" t="s">
        <v>550</v>
      </c>
      <c r="L936" s="151">
        <v>555599</v>
      </c>
      <c r="M936" s="128">
        <v>0</v>
      </c>
      <c r="N936" s="127" t="s">
        <v>576</v>
      </c>
      <c r="O936" s="127" t="s">
        <v>457</v>
      </c>
      <c r="P936" s="128">
        <v>0</v>
      </c>
      <c r="Q936" s="128">
        <v>0.02</v>
      </c>
      <c r="R936" s="128">
        <v>0</v>
      </c>
      <c r="S936" s="128">
        <v>0</v>
      </c>
      <c r="T936" s="128">
        <v>0</v>
      </c>
      <c r="U936" s="128">
        <v>0.02</v>
      </c>
      <c r="V936" s="128">
        <v>0</v>
      </c>
      <c r="W936" s="128">
        <v>0.02</v>
      </c>
      <c r="X936" s="128">
        <v>0</v>
      </c>
      <c r="Y936" s="128">
        <v>0</v>
      </c>
      <c r="Z936" s="128">
        <v>0</v>
      </c>
      <c r="AA936" s="128">
        <v>0.02</v>
      </c>
      <c r="AB936" s="126">
        <f t="shared" si="101"/>
        <v>-2.0000000000000001E-9</v>
      </c>
      <c r="AC936" s="122" t="s">
        <v>1838</v>
      </c>
      <c r="AD936" s="123">
        <f t="shared" si="103"/>
        <v>0.47971792200000002</v>
      </c>
    </row>
    <row r="937" spans="1:30" ht="12.75" hidden="1" customHeight="1">
      <c r="A937" s="125" t="str">
        <f t="shared" si="98"/>
        <v>LIC142Operating Expenses</v>
      </c>
      <c r="B937" s="125">
        <f>+IFERROR(VLOOKUP(L937,'TB mapping'!A:D,4,0),0)</f>
        <v>0</v>
      </c>
      <c r="C937" s="125">
        <f>+IFERROR(VLOOKUP(L937,'TB mapping'!A:C,3,0),0)</f>
        <v>6.3</v>
      </c>
      <c r="D937" s="125" t="str">
        <f t="shared" si="99"/>
        <v>LIC1420</v>
      </c>
      <c r="E937" s="125" t="str">
        <f t="shared" si="100"/>
        <v>LIC1426.3</v>
      </c>
      <c r="F937" s="158" t="str">
        <f>+VLOOKUP(H937,'code mapping'!A:C,3,0)</f>
        <v>LIC142</v>
      </c>
      <c r="G937" s="127" t="s">
        <v>453</v>
      </c>
      <c r="H937" s="127" t="s">
        <v>589</v>
      </c>
      <c r="I937" s="127" t="s">
        <v>590</v>
      </c>
      <c r="J937" s="128">
        <v>550000</v>
      </c>
      <c r="K937" s="127" t="s">
        <v>550</v>
      </c>
      <c r="L937" s="151">
        <v>556421</v>
      </c>
      <c r="M937" s="128">
        <v>0</v>
      </c>
      <c r="N937" s="127" t="s">
        <v>578</v>
      </c>
      <c r="O937" s="127" t="s">
        <v>457</v>
      </c>
      <c r="P937" s="128">
        <v>-243.18</v>
      </c>
      <c r="Q937" s="128">
        <v>0</v>
      </c>
      <c r="R937" s="128">
        <v>0</v>
      </c>
      <c r="S937" s="128">
        <v>0</v>
      </c>
      <c r="T937" s="128">
        <v>-243.18</v>
      </c>
      <c r="U937" s="128">
        <v>0</v>
      </c>
      <c r="V937" s="128">
        <v>-243.18</v>
      </c>
      <c r="W937" s="128">
        <v>0</v>
      </c>
      <c r="X937" s="128">
        <v>0</v>
      </c>
      <c r="Y937" s="128">
        <v>0</v>
      </c>
      <c r="Z937" s="128">
        <v>-243.18</v>
      </c>
      <c r="AA937" s="128">
        <v>0</v>
      </c>
      <c r="AB937" s="126">
        <f t="shared" si="101"/>
        <v>2.4318E-5</v>
      </c>
      <c r="AC937" s="122" t="s">
        <v>1838</v>
      </c>
      <c r="AD937" s="123">
        <f t="shared" si="103"/>
        <v>0.47971792200000002</v>
      </c>
    </row>
    <row r="938" spans="1:30" ht="12.75" hidden="1" customHeight="1">
      <c r="A938" s="125" t="str">
        <f t="shared" si="98"/>
        <v>LIC142Management Fee</v>
      </c>
      <c r="B938" s="125">
        <f>+IFERROR(VLOOKUP(L938,'TB mapping'!A:D,4,0),0)</f>
        <v>6.1</v>
      </c>
      <c r="C938" s="125">
        <f>+IFERROR(VLOOKUP(L938,'TB mapping'!A:C,3,0),0)</f>
        <v>6.3</v>
      </c>
      <c r="D938" s="125" t="str">
        <f t="shared" si="99"/>
        <v>LIC1426.1</v>
      </c>
      <c r="E938" s="125" t="str">
        <f t="shared" si="100"/>
        <v>LIC1426.3</v>
      </c>
      <c r="F938" s="158" t="str">
        <f>+VLOOKUP(H938,'code mapping'!A:C,3,0)</f>
        <v>LIC142</v>
      </c>
      <c r="G938" s="127" t="s">
        <v>453</v>
      </c>
      <c r="H938" s="127" t="s">
        <v>589</v>
      </c>
      <c r="I938" s="127" t="s">
        <v>590</v>
      </c>
      <c r="J938" s="128">
        <v>555100</v>
      </c>
      <c r="K938" s="127" t="s">
        <v>579</v>
      </c>
      <c r="L938" s="151">
        <v>555100</v>
      </c>
      <c r="M938" s="128">
        <v>0</v>
      </c>
      <c r="N938" s="127" t="s">
        <v>580</v>
      </c>
      <c r="O938" s="127" t="s">
        <v>457</v>
      </c>
      <c r="P938" s="128">
        <v>-1112020.6299999999</v>
      </c>
      <c r="Q938" s="128">
        <v>0</v>
      </c>
      <c r="R938" s="128">
        <v>0</v>
      </c>
      <c r="S938" s="128">
        <v>0</v>
      </c>
      <c r="T938" s="128">
        <v>-1112020.6299999999</v>
      </c>
      <c r="U938" s="128">
        <v>0</v>
      </c>
      <c r="V938" s="128">
        <v>-1112020.6299999999</v>
      </c>
      <c r="W938" s="128">
        <v>0</v>
      </c>
      <c r="X938" s="128">
        <v>0</v>
      </c>
      <c r="Y938" s="128">
        <v>0</v>
      </c>
      <c r="Z938" s="128">
        <v>-1112020.6299999999</v>
      </c>
      <c r="AA938" s="128">
        <v>0</v>
      </c>
      <c r="AB938" s="126">
        <f t="shared" si="101"/>
        <v>0.11120206299999999</v>
      </c>
      <c r="AC938" s="122" t="s">
        <v>1838</v>
      </c>
      <c r="AD938" s="123">
        <f t="shared" si="103"/>
        <v>0.47971792200000002</v>
      </c>
    </row>
    <row r="939" spans="1:30" ht="12.75" hidden="1" customHeight="1">
      <c r="A939" s="125" t="str">
        <f t="shared" si="98"/>
        <v>LIC142Management Fees-RG</v>
      </c>
      <c r="B939" s="125">
        <f>+IFERROR(VLOOKUP(L939,'TB mapping'!A:D,4,0),0)</f>
        <v>6.1</v>
      </c>
      <c r="C939" s="125">
        <f>+IFERROR(VLOOKUP(L939,'TB mapping'!A:C,3,0),0)</f>
        <v>6.3</v>
      </c>
      <c r="D939" s="125" t="str">
        <f t="shared" si="99"/>
        <v>LIC1426.1</v>
      </c>
      <c r="E939" s="125" t="str">
        <f t="shared" si="100"/>
        <v>LIC1426.3</v>
      </c>
      <c r="F939" s="158" t="str">
        <f>+VLOOKUP(H939,'code mapping'!A:C,3,0)</f>
        <v>LIC142</v>
      </c>
      <c r="G939" s="127" t="s">
        <v>453</v>
      </c>
      <c r="H939" s="127" t="s">
        <v>589</v>
      </c>
      <c r="I939" s="127" t="s">
        <v>590</v>
      </c>
      <c r="J939" s="128">
        <v>555100</v>
      </c>
      <c r="K939" s="127" t="s">
        <v>579</v>
      </c>
      <c r="L939" s="151">
        <v>555191</v>
      </c>
      <c r="M939" s="128">
        <v>0</v>
      </c>
      <c r="N939" s="127" t="s">
        <v>581</v>
      </c>
      <c r="O939" s="127" t="s">
        <v>457</v>
      </c>
      <c r="P939" s="128">
        <v>-1561097.26</v>
      </c>
      <c r="Q939" s="128">
        <v>0</v>
      </c>
      <c r="R939" s="128">
        <v>0</v>
      </c>
      <c r="S939" s="128">
        <v>0</v>
      </c>
      <c r="T939" s="128">
        <v>-1561097.26</v>
      </c>
      <c r="U939" s="128">
        <v>0</v>
      </c>
      <c r="V939" s="128">
        <v>-1561097.26</v>
      </c>
      <c r="W939" s="128">
        <v>0</v>
      </c>
      <c r="X939" s="128">
        <v>0</v>
      </c>
      <c r="Y939" s="128">
        <v>0</v>
      </c>
      <c r="Z939" s="128">
        <v>-1561097.26</v>
      </c>
      <c r="AA939" s="128">
        <v>0</v>
      </c>
      <c r="AB939" s="126">
        <f t="shared" si="101"/>
        <v>0.156109726</v>
      </c>
      <c r="AC939" s="122" t="s">
        <v>1838</v>
      </c>
      <c r="AD939" s="123">
        <f t="shared" si="103"/>
        <v>0.47971792200000002</v>
      </c>
    </row>
    <row r="940" spans="1:30" ht="12.75" hidden="1" customHeight="1">
      <c r="A940" s="125" t="str">
        <f t="shared" si="98"/>
        <v>LIC142Management Fees-RD</v>
      </c>
      <c r="B940" s="125">
        <f>+IFERROR(VLOOKUP(L940,'TB mapping'!A:D,4,0),0)</f>
        <v>6.1</v>
      </c>
      <c r="C940" s="125">
        <f>+IFERROR(VLOOKUP(L940,'TB mapping'!A:C,3,0),0)</f>
        <v>6.3</v>
      </c>
      <c r="D940" s="125" t="str">
        <f t="shared" si="99"/>
        <v>LIC1426.1</v>
      </c>
      <c r="E940" s="125" t="str">
        <f t="shared" si="100"/>
        <v>LIC1426.3</v>
      </c>
      <c r="F940" s="158" t="str">
        <f>+VLOOKUP(H940,'code mapping'!A:C,3,0)</f>
        <v>LIC142</v>
      </c>
      <c r="G940" s="127" t="s">
        <v>453</v>
      </c>
      <c r="H940" s="127" t="s">
        <v>589</v>
      </c>
      <c r="I940" s="127" t="s">
        <v>590</v>
      </c>
      <c r="J940" s="128">
        <v>555100</v>
      </c>
      <c r="K940" s="127" t="s">
        <v>579</v>
      </c>
      <c r="L940" s="151">
        <v>555192</v>
      </c>
      <c r="M940" s="128">
        <v>0</v>
      </c>
      <c r="N940" s="127" t="s">
        <v>582</v>
      </c>
      <c r="O940" s="127" t="s">
        <v>457</v>
      </c>
      <c r="P940" s="128">
        <v>-309804.24</v>
      </c>
      <c r="Q940" s="128">
        <v>0</v>
      </c>
      <c r="R940" s="128">
        <v>0</v>
      </c>
      <c r="S940" s="128">
        <v>0</v>
      </c>
      <c r="T940" s="128">
        <v>-309804.24</v>
      </c>
      <c r="U940" s="128">
        <v>0</v>
      </c>
      <c r="V940" s="128">
        <v>-309804.24</v>
      </c>
      <c r="W940" s="128">
        <v>0</v>
      </c>
      <c r="X940" s="128">
        <v>0</v>
      </c>
      <c r="Y940" s="128">
        <v>0</v>
      </c>
      <c r="Z940" s="128">
        <v>-309804.24</v>
      </c>
      <c r="AA940" s="128">
        <v>0</v>
      </c>
      <c r="AB940" s="126">
        <f t="shared" si="101"/>
        <v>3.0980423999999999E-2</v>
      </c>
      <c r="AC940" s="122" t="s">
        <v>1838</v>
      </c>
      <c r="AD940" s="123">
        <f t="shared" si="103"/>
        <v>0.47971792200000002</v>
      </c>
    </row>
    <row r="941" spans="1:30" ht="12.75" hidden="1" customHeight="1">
      <c r="A941" s="125" t="str">
        <f t="shared" si="98"/>
        <v>LIC142Management Fees-GDP</v>
      </c>
      <c r="B941" s="125">
        <f>+IFERROR(VLOOKUP(L941,'TB mapping'!A:D,4,0),0)</f>
        <v>6.1</v>
      </c>
      <c r="C941" s="125">
        <f>+IFERROR(VLOOKUP(L941,'TB mapping'!A:C,3,0),0)</f>
        <v>6.3</v>
      </c>
      <c r="D941" s="125" t="str">
        <f t="shared" si="99"/>
        <v>LIC1426.1</v>
      </c>
      <c r="E941" s="125" t="str">
        <f t="shared" si="100"/>
        <v>LIC1426.3</v>
      </c>
      <c r="F941" s="158" t="str">
        <f>+VLOOKUP(H941,'code mapping'!A:C,3,0)</f>
        <v>LIC142</v>
      </c>
      <c r="G941" s="127" t="s">
        <v>453</v>
      </c>
      <c r="H941" s="127" t="s">
        <v>589</v>
      </c>
      <c r="I941" s="127" t="s">
        <v>590</v>
      </c>
      <c r="J941" s="128">
        <v>555100</v>
      </c>
      <c r="K941" s="127" t="s">
        <v>579</v>
      </c>
      <c r="L941" s="151">
        <v>555329</v>
      </c>
      <c r="M941" s="128">
        <v>0</v>
      </c>
      <c r="N941" s="127" t="s">
        <v>584</v>
      </c>
      <c r="O941" s="127" t="s">
        <v>457</v>
      </c>
      <c r="P941" s="128">
        <v>-36453.360000000001</v>
      </c>
      <c r="Q941" s="128">
        <v>0</v>
      </c>
      <c r="R941" s="128">
        <v>0</v>
      </c>
      <c r="S941" s="128">
        <v>0</v>
      </c>
      <c r="T941" s="128">
        <v>-36453.360000000001</v>
      </c>
      <c r="U941" s="128">
        <v>0</v>
      </c>
      <c r="V941" s="128">
        <v>-36453.360000000001</v>
      </c>
      <c r="W941" s="128">
        <v>0</v>
      </c>
      <c r="X941" s="128">
        <v>0</v>
      </c>
      <c r="Y941" s="128">
        <v>0</v>
      </c>
      <c r="Z941" s="128">
        <v>-36453.360000000001</v>
      </c>
      <c r="AA941" s="128">
        <v>0</v>
      </c>
      <c r="AB941" s="126">
        <f t="shared" si="101"/>
        <v>3.6453359999999999E-3</v>
      </c>
      <c r="AC941" s="122" t="s">
        <v>1838</v>
      </c>
      <c r="AD941" s="123">
        <f t="shared" si="103"/>
        <v>0.47971792200000002</v>
      </c>
    </row>
    <row r="942" spans="1:30" ht="12.75" hidden="1" customHeight="1">
      <c r="A942" s="125" t="str">
        <f t="shared" si="98"/>
        <v>LIC172Investment - Equities</v>
      </c>
      <c r="B942" s="125">
        <f>+IFERROR(VLOOKUP(L942,'TB mapping'!A:D,4,0),0)</f>
        <v>0</v>
      </c>
      <c r="C942" s="125">
        <f>+IFERROR(VLOOKUP(L942,'TB mapping'!A:C,3,0),0)</f>
        <v>0</v>
      </c>
      <c r="D942" s="125" t="str">
        <f t="shared" si="99"/>
        <v>LIC1720</v>
      </c>
      <c r="E942" s="125" t="str">
        <f t="shared" si="100"/>
        <v>LIC1720</v>
      </c>
      <c r="F942" s="158" t="str">
        <f>+VLOOKUP(H942,'code mapping'!A:C,3,0)</f>
        <v>LIC172</v>
      </c>
      <c r="G942" s="127" t="s">
        <v>453</v>
      </c>
      <c r="H942" s="127" t="s">
        <v>607</v>
      </c>
      <c r="I942" s="127" t="s">
        <v>608</v>
      </c>
      <c r="J942" s="128">
        <v>101000</v>
      </c>
      <c r="K942" s="127" t="s">
        <v>591</v>
      </c>
      <c r="L942" s="151">
        <v>101100</v>
      </c>
      <c r="M942" s="128">
        <v>0</v>
      </c>
      <c r="N942" s="127" t="s">
        <v>592</v>
      </c>
      <c r="O942" s="127" t="s">
        <v>457</v>
      </c>
      <c r="P942" s="128">
        <v>-133604074.37</v>
      </c>
      <c r="Q942" s="128">
        <v>0</v>
      </c>
      <c r="R942" s="128">
        <v>0</v>
      </c>
      <c r="S942" s="128">
        <v>0</v>
      </c>
      <c r="T942" s="128">
        <v>-133604074.37</v>
      </c>
      <c r="U942" s="128">
        <v>0</v>
      </c>
      <c r="V942" s="128">
        <v>-133604074.37</v>
      </c>
      <c r="W942" s="128">
        <v>0</v>
      </c>
      <c r="X942" s="128">
        <v>0</v>
      </c>
      <c r="Y942" s="128">
        <v>0</v>
      </c>
      <c r="Z942" s="128">
        <v>-133604074.37</v>
      </c>
      <c r="AA942" s="128">
        <v>0</v>
      </c>
      <c r="AB942" s="126">
        <f t="shared" si="101"/>
        <v>13.360407437000001</v>
      </c>
      <c r="AC942" s="122" t="s">
        <v>1838</v>
      </c>
      <c r="AD942" s="123">
        <f t="shared" ref="AD942:AD974" si="104">SUMIF(C:C,C942,AB:AB)</f>
        <v>1983.9723217250009</v>
      </c>
    </row>
    <row r="943" spans="1:30" ht="12.75" hidden="1" customHeight="1">
      <c r="A943" s="125" t="str">
        <f t="shared" si="98"/>
        <v>LIC172Investment - Corp Bond/Debent.</v>
      </c>
      <c r="B943" s="125">
        <f>+IFERROR(VLOOKUP(L943,'TB mapping'!A:D,4,0),0)</f>
        <v>0</v>
      </c>
      <c r="C943" s="125">
        <f>+IFERROR(VLOOKUP(L943,'TB mapping'!A:C,3,0),0)</f>
        <v>0</v>
      </c>
      <c r="D943" s="125" t="str">
        <f t="shared" si="99"/>
        <v>LIC1720</v>
      </c>
      <c r="E943" s="125" t="str">
        <f t="shared" si="100"/>
        <v>LIC1720</v>
      </c>
      <c r="F943" s="158" t="str">
        <f>+VLOOKUP(H943,'code mapping'!A:C,3,0)</f>
        <v>LIC172</v>
      </c>
      <c r="G943" s="127" t="s">
        <v>453</v>
      </c>
      <c r="H943" s="127" t="s">
        <v>607</v>
      </c>
      <c r="I943" s="127" t="s">
        <v>608</v>
      </c>
      <c r="J943" s="128">
        <v>102000</v>
      </c>
      <c r="K943" s="127" t="s">
        <v>455</v>
      </c>
      <c r="L943" s="151">
        <v>102120</v>
      </c>
      <c r="M943" s="128">
        <v>0</v>
      </c>
      <c r="N943" s="127" t="s">
        <v>456</v>
      </c>
      <c r="O943" s="127" t="s">
        <v>457</v>
      </c>
      <c r="P943" s="128">
        <v>-225529850</v>
      </c>
      <c r="Q943" s="128">
        <v>0</v>
      </c>
      <c r="R943" s="128">
        <v>0</v>
      </c>
      <c r="S943" s="128">
        <v>0</v>
      </c>
      <c r="T943" s="128">
        <v>-225529850</v>
      </c>
      <c r="U943" s="128">
        <v>0</v>
      </c>
      <c r="V943" s="128">
        <v>-225529850</v>
      </c>
      <c r="W943" s="128">
        <v>0</v>
      </c>
      <c r="X943" s="128">
        <v>0</v>
      </c>
      <c r="Y943" s="128">
        <v>0</v>
      </c>
      <c r="Z943" s="128">
        <v>-225529850</v>
      </c>
      <c r="AA943" s="128">
        <v>0</v>
      </c>
      <c r="AB943" s="126">
        <f t="shared" si="101"/>
        <v>22.552985</v>
      </c>
      <c r="AC943" s="122" t="s">
        <v>1838</v>
      </c>
      <c r="AD943" s="123">
        <f t="shared" si="104"/>
        <v>1983.9723217250009</v>
      </c>
    </row>
    <row r="944" spans="1:30" ht="12.75" hidden="1" customHeight="1">
      <c r="A944" s="125" t="str">
        <f t="shared" si="98"/>
        <v>LIC172Investment - Zero Coupon Bond</v>
      </c>
      <c r="B944" s="125">
        <f>+IFERROR(VLOOKUP(L944,'TB mapping'!A:D,4,0),0)</f>
        <v>0</v>
      </c>
      <c r="C944" s="125">
        <f>+IFERROR(VLOOKUP(L944,'TB mapping'!A:C,3,0),0)</f>
        <v>0</v>
      </c>
      <c r="D944" s="125" t="str">
        <f t="shared" si="99"/>
        <v>LIC1720</v>
      </c>
      <c r="E944" s="125" t="str">
        <f t="shared" si="100"/>
        <v>LIC1720</v>
      </c>
      <c r="F944" s="158" t="str">
        <f>+VLOOKUP(H944,'code mapping'!A:C,3,0)</f>
        <v>LIC172</v>
      </c>
      <c r="G944" s="127" t="s">
        <v>453</v>
      </c>
      <c r="H944" s="127" t="s">
        <v>607</v>
      </c>
      <c r="I944" s="127" t="s">
        <v>608</v>
      </c>
      <c r="J944" s="128">
        <v>102000</v>
      </c>
      <c r="K944" s="127" t="s">
        <v>455</v>
      </c>
      <c r="L944" s="151">
        <v>102145</v>
      </c>
      <c r="M944" s="128">
        <v>0</v>
      </c>
      <c r="N944" s="127" t="s">
        <v>609</v>
      </c>
      <c r="O944" s="127" t="s">
        <v>457</v>
      </c>
      <c r="P944" s="128">
        <v>-65000000</v>
      </c>
      <c r="Q944" s="128">
        <v>0</v>
      </c>
      <c r="R944" s="128">
        <v>0</v>
      </c>
      <c r="S944" s="128">
        <v>0</v>
      </c>
      <c r="T944" s="128">
        <v>-65000000</v>
      </c>
      <c r="U944" s="128">
        <v>0</v>
      </c>
      <c r="V944" s="128">
        <v>-65000000</v>
      </c>
      <c r="W944" s="128">
        <v>0</v>
      </c>
      <c r="X944" s="128">
        <v>0</v>
      </c>
      <c r="Y944" s="128">
        <v>0</v>
      </c>
      <c r="Z944" s="128">
        <v>-65000000</v>
      </c>
      <c r="AA944" s="128">
        <v>0</v>
      </c>
      <c r="AB944" s="126">
        <f t="shared" si="101"/>
        <v>6.5</v>
      </c>
      <c r="AC944" s="122" t="s">
        <v>1838</v>
      </c>
      <c r="AD944" s="123">
        <f t="shared" si="104"/>
        <v>1983.9723217250009</v>
      </c>
    </row>
    <row r="945" spans="1:30" ht="12.75" hidden="1" customHeight="1">
      <c r="A945" s="125" t="str">
        <f t="shared" si="98"/>
        <v>LIC172Investment - CBLO</v>
      </c>
      <c r="B945" s="125">
        <f>+IFERROR(VLOOKUP(L945,'TB mapping'!A:D,4,0),0)</f>
        <v>0</v>
      </c>
      <c r="C945" s="125">
        <f>+IFERROR(VLOOKUP(L945,'TB mapping'!A:C,3,0),0)</f>
        <v>0</v>
      </c>
      <c r="D945" s="125" t="str">
        <f t="shared" si="99"/>
        <v>LIC1720</v>
      </c>
      <c r="E945" s="125" t="str">
        <f t="shared" si="100"/>
        <v>LIC1720</v>
      </c>
      <c r="F945" s="158" t="str">
        <f>+VLOOKUP(H945,'code mapping'!A:C,3,0)</f>
        <v>LIC172</v>
      </c>
      <c r="G945" s="127" t="s">
        <v>453</v>
      </c>
      <c r="H945" s="127" t="s">
        <v>607</v>
      </c>
      <c r="I945" s="127" t="s">
        <v>608</v>
      </c>
      <c r="J945" s="128">
        <v>110000</v>
      </c>
      <c r="K945" s="127" t="s">
        <v>462</v>
      </c>
      <c r="L945" s="151">
        <v>110100</v>
      </c>
      <c r="M945" s="128">
        <v>0</v>
      </c>
      <c r="N945" s="127" t="s">
        <v>463</v>
      </c>
      <c r="O945" s="127" t="s">
        <v>457</v>
      </c>
      <c r="P945" s="128">
        <v>-27842236.219999999</v>
      </c>
      <c r="Q945" s="128">
        <v>0</v>
      </c>
      <c r="R945" s="128">
        <v>0</v>
      </c>
      <c r="S945" s="128">
        <v>0</v>
      </c>
      <c r="T945" s="128">
        <v>-27842236.219999999</v>
      </c>
      <c r="U945" s="128">
        <v>0</v>
      </c>
      <c r="V945" s="128">
        <v>-27842236.219999999</v>
      </c>
      <c r="W945" s="128">
        <v>0</v>
      </c>
      <c r="X945" s="128">
        <v>0</v>
      </c>
      <c r="Y945" s="128">
        <v>0</v>
      </c>
      <c r="Z945" s="128">
        <v>-27842236.219999999</v>
      </c>
      <c r="AA945" s="128">
        <v>0</v>
      </c>
      <c r="AB945" s="126">
        <f t="shared" si="101"/>
        <v>2.7842236219999998</v>
      </c>
      <c r="AC945" s="122" t="s">
        <v>1838</v>
      </c>
      <c r="AD945" s="123">
        <f t="shared" si="104"/>
        <v>1983.9723217250009</v>
      </c>
    </row>
    <row r="946" spans="1:30" ht="12.75" hidden="1" customHeight="1">
      <c r="A946" s="125" t="str">
        <f t="shared" si="98"/>
        <v>LIC172Dividend Receivable</v>
      </c>
      <c r="B946" s="125">
        <f>+IFERROR(VLOOKUP(L946,'TB mapping'!A:D,4,0),0)</f>
        <v>0</v>
      </c>
      <c r="C946" s="125">
        <f>+IFERROR(VLOOKUP(L946,'TB mapping'!A:C,3,0),0)</f>
        <v>0</v>
      </c>
      <c r="D946" s="125" t="str">
        <f t="shared" si="99"/>
        <v>LIC1720</v>
      </c>
      <c r="E946" s="125" t="str">
        <f t="shared" si="100"/>
        <v>LIC1720</v>
      </c>
      <c r="F946" s="158" t="str">
        <f>+VLOOKUP(H946,'code mapping'!A:C,3,0)</f>
        <v>LIC172</v>
      </c>
      <c r="G946" s="127" t="s">
        <v>453</v>
      </c>
      <c r="H946" s="127" t="s">
        <v>607</v>
      </c>
      <c r="I946" s="127" t="s">
        <v>608</v>
      </c>
      <c r="J946" s="128">
        <v>132000</v>
      </c>
      <c r="K946" s="127" t="s">
        <v>466</v>
      </c>
      <c r="L946" s="151">
        <v>132100</v>
      </c>
      <c r="M946" s="128">
        <v>0</v>
      </c>
      <c r="N946" s="127" t="s">
        <v>593</v>
      </c>
      <c r="O946" s="127" t="s">
        <v>457</v>
      </c>
      <c r="P946" s="128">
        <v>-64922.3</v>
      </c>
      <c r="Q946" s="128">
        <v>0</v>
      </c>
      <c r="R946" s="128">
        <v>0</v>
      </c>
      <c r="S946" s="128">
        <v>0</v>
      </c>
      <c r="T946" s="128">
        <v>-64922.3</v>
      </c>
      <c r="U946" s="128">
        <v>0</v>
      </c>
      <c r="V946" s="128">
        <v>-64922.3</v>
      </c>
      <c r="W946" s="128">
        <v>0</v>
      </c>
      <c r="X946" s="128">
        <v>0</v>
      </c>
      <c r="Y946" s="128">
        <v>0</v>
      </c>
      <c r="Z946" s="128">
        <v>-64922.3</v>
      </c>
      <c r="AA946" s="128">
        <v>0</v>
      </c>
      <c r="AB946" s="126">
        <f t="shared" si="101"/>
        <v>6.4922299999999999E-3</v>
      </c>
      <c r="AC946" s="122" t="s">
        <v>1838</v>
      </c>
      <c r="AD946" s="123">
        <f t="shared" si="104"/>
        <v>1983.9723217250009</v>
      </c>
    </row>
    <row r="947" spans="1:30" ht="12.75" hidden="1" customHeight="1">
      <c r="A947" s="125" t="str">
        <f t="shared" si="98"/>
        <v>LIC172CCIL Settlement A/C</v>
      </c>
      <c r="B947" s="125">
        <f>+IFERROR(VLOOKUP(L947,'TB mapping'!A:D,4,0),0)</f>
        <v>0</v>
      </c>
      <c r="C947" s="125">
        <f>+IFERROR(VLOOKUP(L947,'TB mapping'!A:C,3,0),0)</f>
        <v>0</v>
      </c>
      <c r="D947" s="125" t="str">
        <f t="shared" si="99"/>
        <v>LIC1720</v>
      </c>
      <c r="E947" s="125" t="str">
        <f t="shared" si="100"/>
        <v>LIC1720</v>
      </c>
      <c r="F947" s="158" t="str">
        <f>+VLOOKUP(H947,'code mapping'!A:C,3,0)</f>
        <v>LIC172</v>
      </c>
      <c r="G947" s="127" t="s">
        <v>453</v>
      </c>
      <c r="H947" s="127" t="s">
        <v>607</v>
      </c>
      <c r="I947" s="127" t="s">
        <v>608</v>
      </c>
      <c r="J947" s="128">
        <v>140000</v>
      </c>
      <c r="K947" s="127" t="s">
        <v>472</v>
      </c>
      <c r="L947" s="151">
        <v>132237</v>
      </c>
      <c r="M947" s="128">
        <v>0</v>
      </c>
      <c r="N947" s="127" t="s">
        <v>473</v>
      </c>
      <c r="O947" s="127" t="s">
        <v>457</v>
      </c>
      <c r="P947" s="128">
        <v>0</v>
      </c>
      <c r="Q947" s="128">
        <v>0.15</v>
      </c>
      <c r="R947" s="128">
        <v>0</v>
      </c>
      <c r="S947" s="128">
        <v>0</v>
      </c>
      <c r="T947" s="128">
        <v>0</v>
      </c>
      <c r="U947" s="128">
        <v>0.15</v>
      </c>
      <c r="V947" s="128">
        <v>0</v>
      </c>
      <c r="W947" s="128">
        <v>0.15</v>
      </c>
      <c r="X947" s="128">
        <v>0</v>
      </c>
      <c r="Y947" s="128">
        <v>0</v>
      </c>
      <c r="Z947" s="128">
        <v>0</v>
      </c>
      <c r="AA947" s="128">
        <v>0.15</v>
      </c>
      <c r="AB947" s="126">
        <f t="shared" si="101"/>
        <v>-1.4999999999999999E-8</v>
      </c>
      <c r="AC947" s="122" t="s">
        <v>1838</v>
      </c>
      <c r="AD947" s="123">
        <f t="shared" si="104"/>
        <v>1983.9723217250009</v>
      </c>
    </row>
    <row r="948" spans="1:30" ht="12.75" hidden="1" customHeight="1">
      <c r="A948" s="125" t="str">
        <f t="shared" si="98"/>
        <v>LIC172HDFC Current Account</v>
      </c>
      <c r="B948" s="125">
        <f>+IFERROR(VLOOKUP(L948,'TB mapping'!A:D,4,0),0)</f>
        <v>0</v>
      </c>
      <c r="C948" s="125">
        <f>+IFERROR(VLOOKUP(L948,'TB mapping'!A:C,3,0),0)</f>
        <v>0</v>
      </c>
      <c r="D948" s="125" t="str">
        <f t="shared" si="99"/>
        <v>LIC1720</v>
      </c>
      <c r="E948" s="125" t="str">
        <f t="shared" si="100"/>
        <v>LIC1720</v>
      </c>
      <c r="F948" s="158" t="str">
        <f>+VLOOKUP(H948,'code mapping'!A:C,3,0)</f>
        <v>LIC172</v>
      </c>
      <c r="G948" s="127" t="s">
        <v>453</v>
      </c>
      <c r="H948" s="127" t="s">
        <v>607</v>
      </c>
      <c r="I948" s="127" t="s">
        <v>608</v>
      </c>
      <c r="J948" s="128">
        <v>140000</v>
      </c>
      <c r="K948" s="127" t="s">
        <v>472</v>
      </c>
      <c r="L948" s="151">
        <v>140330</v>
      </c>
      <c r="M948" s="128">
        <v>0</v>
      </c>
      <c r="N948" s="127" t="s">
        <v>475</v>
      </c>
      <c r="O948" s="127" t="s">
        <v>457</v>
      </c>
      <c r="P948" s="128">
        <v>-0.14000000000000001</v>
      </c>
      <c r="Q948" s="128">
        <v>0</v>
      </c>
      <c r="R948" s="128">
        <v>0</v>
      </c>
      <c r="S948" s="128">
        <v>0</v>
      </c>
      <c r="T948" s="128">
        <v>-0.14000000000000001</v>
      </c>
      <c r="U948" s="128">
        <v>0</v>
      </c>
      <c r="V948" s="128">
        <v>-0.14000000000000001</v>
      </c>
      <c r="W948" s="128">
        <v>0</v>
      </c>
      <c r="X948" s="128">
        <v>0</v>
      </c>
      <c r="Y948" s="128">
        <v>0</v>
      </c>
      <c r="Z948" s="128">
        <v>-0.14000000000000001</v>
      </c>
      <c r="AA948" s="128">
        <v>0</v>
      </c>
      <c r="AB948" s="126">
        <f t="shared" si="101"/>
        <v>1.4000000000000001E-8</v>
      </c>
      <c r="AC948" s="122" t="s">
        <v>1838</v>
      </c>
      <c r="AD948" s="123">
        <f t="shared" si="104"/>
        <v>1983.9723217250009</v>
      </c>
    </row>
    <row r="949" spans="1:30" ht="12.75" hidden="1" customHeight="1">
      <c r="A949" s="125" t="str">
        <f t="shared" si="98"/>
        <v>LIC172HDFC Bank Ltd</v>
      </c>
      <c r="B949" s="125">
        <f>+IFERROR(VLOOKUP(L949,'TB mapping'!A:D,4,0),0)</f>
        <v>0</v>
      </c>
      <c r="C949" s="125">
        <f>+IFERROR(VLOOKUP(L949,'TB mapping'!A:C,3,0),0)</f>
        <v>0</v>
      </c>
      <c r="D949" s="125" t="str">
        <f t="shared" si="99"/>
        <v>LIC1720</v>
      </c>
      <c r="E949" s="125" t="str">
        <f t="shared" si="100"/>
        <v>LIC1720</v>
      </c>
      <c r="F949" s="158" t="str">
        <f>+VLOOKUP(H949,'code mapping'!A:C,3,0)</f>
        <v>LIC172</v>
      </c>
      <c r="G949" s="127" t="s">
        <v>453</v>
      </c>
      <c r="H949" s="127" t="s">
        <v>607</v>
      </c>
      <c r="I949" s="127" t="s">
        <v>608</v>
      </c>
      <c r="J949" s="128">
        <v>140000</v>
      </c>
      <c r="K949" s="127" t="s">
        <v>472</v>
      </c>
      <c r="L949" s="151">
        <v>140372</v>
      </c>
      <c r="M949" s="128">
        <v>0</v>
      </c>
      <c r="N949" s="127" t="s">
        <v>476</v>
      </c>
      <c r="O949" s="127" t="s">
        <v>457</v>
      </c>
      <c r="P949" s="128">
        <v>0</v>
      </c>
      <c r="Q949" s="128">
        <v>8.58</v>
      </c>
      <c r="R949" s="128">
        <v>0</v>
      </c>
      <c r="S949" s="128">
        <v>0</v>
      </c>
      <c r="T949" s="128">
        <v>0</v>
      </c>
      <c r="U949" s="128">
        <v>8.58</v>
      </c>
      <c r="V949" s="128">
        <v>0</v>
      </c>
      <c r="W949" s="128">
        <v>8.58</v>
      </c>
      <c r="X949" s="128">
        <v>0</v>
      </c>
      <c r="Y949" s="128">
        <v>0</v>
      </c>
      <c r="Z949" s="128">
        <v>0</v>
      </c>
      <c r="AA949" s="128">
        <v>8.58</v>
      </c>
      <c r="AB949" s="126">
        <f t="shared" si="101"/>
        <v>-8.5799999999999998E-7</v>
      </c>
      <c r="AC949" s="122" t="s">
        <v>1838</v>
      </c>
      <c r="AD949" s="123">
        <f t="shared" si="104"/>
        <v>1983.9723217250009</v>
      </c>
    </row>
    <row r="950" spans="1:30" ht="12.75" hidden="1" customHeight="1">
      <c r="A950" s="125" t="str">
        <f t="shared" si="98"/>
        <v>LIC172Standard Chartered Bank- India</v>
      </c>
      <c r="B950" s="125">
        <f>+IFERROR(VLOOKUP(L950,'TB mapping'!A:D,4,0),0)</f>
        <v>0</v>
      </c>
      <c r="C950" s="125">
        <f>+IFERROR(VLOOKUP(L950,'TB mapping'!A:C,3,0),0)</f>
        <v>0</v>
      </c>
      <c r="D950" s="125" t="str">
        <f t="shared" si="99"/>
        <v>LIC1720</v>
      </c>
      <c r="E950" s="125" t="str">
        <f t="shared" si="100"/>
        <v>LIC1720</v>
      </c>
      <c r="F950" s="158" t="str">
        <f>+VLOOKUP(H950,'code mapping'!A:C,3,0)</f>
        <v>LIC172</v>
      </c>
      <c r="G950" s="127" t="s">
        <v>453</v>
      </c>
      <c r="H950" s="127" t="s">
        <v>607</v>
      </c>
      <c r="I950" s="127" t="s">
        <v>608</v>
      </c>
      <c r="J950" s="128">
        <v>140000</v>
      </c>
      <c r="K950" s="127" t="s">
        <v>472</v>
      </c>
      <c r="L950" s="151">
        <v>140500</v>
      </c>
      <c r="M950" s="128">
        <v>0</v>
      </c>
      <c r="N950" s="127" t="s">
        <v>477</v>
      </c>
      <c r="O950" s="127" t="s">
        <v>457</v>
      </c>
      <c r="P950" s="128">
        <v>-18683.02</v>
      </c>
      <c r="Q950" s="128">
        <v>0</v>
      </c>
      <c r="R950" s="128">
        <v>0</v>
      </c>
      <c r="S950" s="128">
        <v>0</v>
      </c>
      <c r="T950" s="128">
        <v>-18683.02</v>
      </c>
      <c r="U950" s="128">
        <v>0</v>
      </c>
      <c r="V950" s="128">
        <v>-18683.02</v>
      </c>
      <c r="W950" s="128">
        <v>0</v>
      </c>
      <c r="X950" s="128">
        <v>0</v>
      </c>
      <c r="Y950" s="128">
        <v>0</v>
      </c>
      <c r="Z950" s="128">
        <v>-18683.02</v>
      </c>
      <c r="AA950" s="128">
        <v>0</v>
      </c>
      <c r="AB950" s="126">
        <f t="shared" si="101"/>
        <v>1.8683020000000001E-3</v>
      </c>
      <c r="AC950" s="122" t="s">
        <v>1838</v>
      </c>
      <c r="AD950" s="123">
        <f t="shared" si="104"/>
        <v>1983.9723217250009</v>
      </c>
    </row>
    <row r="951" spans="1:30" ht="12.75" hidden="1" customHeight="1">
      <c r="A951" s="125" t="str">
        <f t="shared" si="98"/>
        <v>LIC172Int Accrual - Corporate Bonds</v>
      </c>
      <c r="B951" s="125">
        <f>+IFERROR(VLOOKUP(L951,'TB mapping'!A:D,4,0),0)</f>
        <v>0</v>
      </c>
      <c r="C951" s="125">
        <f>+IFERROR(VLOOKUP(L951,'TB mapping'!A:C,3,0),0)</f>
        <v>0</v>
      </c>
      <c r="D951" s="125" t="str">
        <f t="shared" si="99"/>
        <v>LIC1720</v>
      </c>
      <c r="E951" s="125" t="str">
        <f t="shared" si="100"/>
        <v>LIC1720</v>
      </c>
      <c r="F951" s="158" t="str">
        <f>+VLOOKUP(H951,'code mapping'!A:C,3,0)</f>
        <v>LIC172</v>
      </c>
      <c r="G951" s="127" t="s">
        <v>453</v>
      </c>
      <c r="H951" s="127" t="s">
        <v>607</v>
      </c>
      <c r="I951" s="127" t="s">
        <v>608</v>
      </c>
      <c r="J951" s="128">
        <v>152000</v>
      </c>
      <c r="K951" s="127" t="s">
        <v>478</v>
      </c>
      <c r="L951" s="151">
        <v>152120</v>
      </c>
      <c r="M951" s="128">
        <v>0</v>
      </c>
      <c r="N951" s="127" t="s">
        <v>479</v>
      </c>
      <c r="O951" s="127" t="s">
        <v>457</v>
      </c>
      <c r="P951" s="128">
        <v>-36664895.439999998</v>
      </c>
      <c r="Q951" s="128">
        <v>0</v>
      </c>
      <c r="R951" s="128">
        <v>0</v>
      </c>
      <c r="S951" s="128">
        <v>0</v>
      </c>
      <c r="T951" s="128">
        <v>-36664895.439999998</v>
      </c>
      <c r="U951" s="128">
        <v>0</v>
      </c>
      <c r="V951" s="128">
        <v>-36664895.439999998</v>
      </c>
      <c r="W951" s="128">
        <v>0</v>
      </c>
      <c r="X951" s="128">
        <v>0</v>
      </c>
      <c r="Y951" s="128">
        <v>0</v>
      </c>
      <c r="Z951" s="128">
        <v>-36664895.439999998</v>
      </c>
      <c r="AA951" s="128">
        <v>0</v>
      </c>
      <c r="AB951" s="126">
        <f t="shared" si="101"/>
        <v>3.6664895439999996</v>
      </c>
      <c r="AC951" s="122" t="s">
        <v>1838</v>
      </c>
      <c r="AD951" s="123">
        <f t="shared" si="104"/>
        <v>1983.9723217250009</v>
      </c>
    </row>
    <row r="952" spans="1:30" ht="12.75" hidden="1" customHeight="1">
      <c r="A952" s="125" t="str">
        <f t="shared" si="98"/>
        <v>LIC172Amort Receivable-ZCB</v>
      </c>
      <c r="B952" s="125">
        <f>+IFERROR(VLOOKUP(L952,'TB mapping'!A:D,4,0),0)</f>
        <v>0</v>
      </c>
      <c r="C952" s="125">
        <f>+IFERROR(VLOOKUP(L952,'TB mapping'!A:C,3,0),0)</f>
        <v>0</v>
      </c>
      <c r="D952" s="125" t="str">
        <f t="shared" si="99"/>
        <v>LIC1720</v>
      </c>
      <c r="E952" s="125" t="str">
        <f t="shared" si="100"/>
        <v>LIC1720</v>
      </c>
      <c r="F952" s="158" t="str">
        <f>+VLOOKUP(H952,'code mapping'!A:C,3,0)</f>
        <v>LIC172</v>
      </c>
      <c r="G952" s="127" t="s">
        <v>453</v>
      </c>
      <c r="H952" s="127" t="s">
        <v>607</v>
      </c>
      <c r="I952" s="127" t="s">
        <v>608</v>
      </c>
      <c r="J952" s="128">
        <v>152000</v>
      </c>
      <c r="K952" s="127" t="s">
        <v>478</v>
      </c>
      <c r="L952" s="151">
        <v>152145</v>
      </c>
      <c r="M952" s="128">
        <v>0</v>
      </c>
      <c r="N952" s="127" t="s">
        <v>610</v>
      </c>
      <c r="O952" s="127" t="s">
        <v>457</v>
      </c>
      <c r="P952" s="128">
        <v>-18172925.550000001</v>
      </c>
      <c r="Q952" s="128">
        <v>0</v>
      </c>
      <c r="R952" s="128">
        <v>0</v>
      </c>
      <c r="S952" s="128">
        <v>0</v>
      </c>
      <c r="T952" s="128">
        <v>-18172925.550000001</v>
      </c>
      <c r="U952" s="128">
        <v>0</v>
      </c>
      <c r="V952" s="128">
        <v>-18172925.550000001</v>
      </c>
      <c r="W952" s="128">
        <v>0</v>
      </c>
      <c r="X952" s="128">
        <v>0</v>
      </c>
      <c r="Y952" s="128">
        <v>0</v>
      </c>
      <c r="Z952" s="128">
        <v>-18172925.550000001</v>
      </c>
      <c r="AA952" s="128">
        <v>0</v>
      </c>
      <c r="AB952" s="126">
        <f t="shared" si="101"/>
        <v>1.8172925550000001</v>
      </c>
      <c r="AC952" s="122" t="s">
        <v>1838</v>
      </c>
      <c r="AD952" s="123">
        <f t="shared" si="104"/>
        <v>1983.9723217250009</v>
      </c>
    </row>
    <row r="953" spans="1:30" ht="12.75" hidden="1" customHeight="1">
      <c r="A953" s="125" t="str">
        <f t="shared" ref="A953:A1016" si="105">+F953&amp;N953</f>
        <v>LIC172Amort Receivable - CBLO</v>
      </c>
      <c r="B953" s="125">
        <f>+IFERROR(VLOOKUP(L953,'TB mapping'!A:D,4,0),0)</f>
        <v>0</v>
      </c>
      <c r="C953" s="125">
        <f>+IFERROR(VLOOKUP(L953,'TB mapping'!A:C,3,0),0)</f>
        <v>0</v>
      </c>
      <c r="D953" s="125" t="str">
        <f t="shared" ref="D953:D1016" si="106">+F953&amp;B953</f>
        <v>LIC1720</v>
      </c>
      <c r="E953" s="125" t="str">
        <f t="shared" ref="E953:E1016" si="107">+F953&amp;C953</f>
        <v>LIC1720</v>
      </c>
      <c r="F953" s="158" t="str">
        <f>+VLOOKUP(H953,'code mapping'!A:C,3,0)</f>
        <v>LIC172</v>
      </c>
      <c r="G953" s="127" t="s">
        <v>453</v>
      </c>
      <c r="H953" s="127" t="s">
        <v>607</v>
      </c>
      <c r="I953" s="127" t="s">
        <v>608</v>
      </c>
      <c r="J953" s="128">
        <v>152000</v>
      </c>
      <c r="K953" s="127" t="s">
        <v>478</v>
      </c>
      <c r="L953" s="151">
        <v>152232</v>
      </c>
      <c r="M953" s="128">
        <v>0</v>
      </c>
      <c r="N953" s="127" t="s">
        <v>482</v>
      </c>
      <c r="O953" s="127" t="s">
        <v>457</v>
      </c>
      <c r="P953" s="128">
        <v>-12455.82</v>
      </c>
      <c r="Q953" s="128">
        <v>0</v>
      </c>
      <c r="R953" s="128">
        <v>0</v>
      </c>
      <c r="S953" s="128">
        <v>0</v>
      </c>
      <c r="T953" s="128">
        <v>-12455.82</v>
      </c>
      <c r="U953" s="128">
        <v>0</v>
      </c>
      <c r="V953" s="128">
        <v>-12455.82</v>
      </c>
      <c r="W953" s="128">
        <v>0</v>
      </c>
      <c r="X953" s="128">
        <v>0</v>
      </c>
      <c r="Y953" s="128">
        <v>0</v>
      </c>
      <c r="Z953" s="128">
        <v>-12455.82</v>
      </c>
      <c r="AA953" s="128">
        <v>0</v>
      </c>
      <c r="AB953" s="126">
        <f t="shared" ref="AB953:AB1016" si="108">SUM(-Z953-AA953)/10^7</f>
        <v>1.2455820000000001E-3</v>
      </c>
      <c r="AC953" s="122" t="s">
        <v>1838</v>
      </c>
      <c r="AD953" s="123">
        <f t="shared" si="104"/>
        <v>1983.9723217250009</v>
      </c>
    </row>
    <row r="954" spans="1:30" ht="12.75" hidden="1" customHeight="1">
      <c r="A954" s="125" t="str">
        <f t="shared" si="105"/>
        <v>LIC172Prov Unr P/L - Equities</v>
      </c>
      <c r="B954" s="125">
        <f>+IFERROR(VLOOKUP(L954,'TB mapping'!A:D,4,0),0)</f>
        <v>0</v>
      </c>
      <c r="C954" s="125">
        <f>+IFERROR(VLOOKUP(L954,'TB mapping'!A:C,3,0),0)</f>
        <v>0</v>
      </c>
      <c r="D954" s="125" t="str">
        <f t="shared" si="106"/>
        <v>LIC1720</v>
      </c>
      <c r="E954" s="125" t="str">
        <f t="shared" si="107"/>
        <v>LIC1720</v>
      </c>
      <c r="F954" s="158" t="str">
        <f>+VLOOKUP(H954,'code mapping'!A:C,3,0)</f>
        <v>LIC172</v>
      </c>
      <c r="G954" s="127" t="s">
        <v>453</v>
      </c>
      <c r="H954" s="127" t="s">
        <v>607</v>
      </c>
      <c r="I954" s="127" t="s">
        <v>608</v>
      </c>
      <c r="J954" s="128">
        <v>160000</v>
      </c>
      <c r="K954" s="127" t="s">
        <v>483</v>
      </c>
      <c r="L954" s="151">
        <v>161100</v>
      </c>
      <c r="M954" s="128">
        <v>0</v>
      </c>
      <c r="N954" s="127" t="s">
        <v>595</v>
      </c>
      <c r="O954" s="127" t="s">
        <v>457</v>
      </c>
      <c r="P954" s="128">
        <v>-17471259.18</v>
      </c>
      <c r="Q954" s="128">
        <v>0</v>
      </c>
      <c r="R954" s="128">
        <v>0</v>
      </c>
      <c r="S954" s="128">
        <v>0</v>
      </c>
      <c r="T954" s="128">
        <v>-17471259.18</v>
      </c>
      <c r="U954" s="128">
        <v>0</v>
      </c>
      <c r="V954" s="128">
        <v>-17471259.18</v>
      </c>
      <c r="W954" s="128">
        <v>0</v>
      </c>
      <c r="X954" s="128">
        <v>0</v>
      </c>
      <c r="Y954" s="128">
        <v>0</v>
      </c>
      <c r="Z954" s="128">
        <v>-17471259.18</v>
      </c>
      <c r="AA954" s="128">
        <v>0</v>
      </c>
      <c r="AB954" s="126">
        <f t="shared" si="108"/>
        <v>1.7471259180000001</v>
      </c>
      <c r="AC954" s="122" t="s">
        <v>1838</v>
      </c>
      <c r="AD954" s="123">
        <f t="shared" si="104"/>
        <v>1983.9723217250009</v>
      </c>
    </row>
    <row r="955" spans="1:30" ht="12.75" hidden="1" customHeight="1">
      <c r="A955" s="125" t="str">
        <f t="shared" si="105"/>
        <v>LIC172Prov Unr P/L - CorpBond/Debent</v>
      </c>
      <c r="B955" s="125">
        <f>+IFERROR(VLOOKUP(L955,'TB mapping'!A:D,4,0),0)</f>
        <v>0</v>
      </c>
      <c r="C955" s="125">
        <f>+IFERROR(VLOOKUP(L955,'TB mapping'!A:C,3,0),0)</f>
        <v>0</v>
      </c>
      <c r="D955" s="125" t="str">
        <f t="shared" si="106"/>
        <v>LIC1720</v>
      </c>
      <c r="E955" s="125" t="str">
        <f t="shared" si="107"/>
        <v>LIC1720</v>
      </c>
      <c r="F955" s="158" t="str">
        <f>+VLOOKUP(H955,'code mapping'!A:C,3,0)</f>
        <v>LIC172</v>
      </c>
      <c r="G955" s="127" t="s">
        <v>453</v>
      </c>
      <c r="H955" s="127" t="s">
        <v>607</v>
      </c>
      <c r="I955" s="127" t="s">
        <v>608</v>
      </c>
      <c r="J955" s="128">
        <v>160000</v>
      </c>
      <c r="K955" s="127" t="s">
        <v>483</v>
      </c>
      <c r="L955" s="151">
        <v>162120</v>
      </c>
      <c r="M955" s="128">
        <v>0</v>
      </c>
      <c r="N955" s="127" t="s">
        <v>484</v>
      </c>
      <c r="O955" s="127" t="s">
        <v>457</v>
      </c>
      <c r="P955" s="128">
        <v>0</v>
      </c>
      <c r="Q955" s="128">
        <v>950521</v>
      </c>
      <c r="R955" s="128">
        <v>0</v>
      </c>
      <c r="S955" s="128">
        <v>0</v>
      </c>
      <c r="T955" s="128">
        <v>0</v>
      </c>
      <c r="U955" s="128">
        <v>950521</v>
      </c>
      <c r="V955" s="128">
        <v>0</v>
      </c>
      <c r="W955" s="128">
        <v>950521</v>
      </c>
      <c r="X955" s="128">
        <v>0</v>
      </c>
      <c r="Y955" s="128">
        <v>0</v>
      </c>
      <c r="Z955" s="128">
        <v>0</v>
      </c>
      <c r="AA955" s="128">
        <v>950521</v>
      </c>
      <c r="AB955" s="126">
        <f t="shared" si="108"/>
        <v>-9.50521E-2</v>
      </c>
      <c r="AC955" s="122" t="s">
        <v>1838</v>
      </c>
      <c r="AD955" s="123">
        <f t="shared" si="104"/>
        <v>1983.9723217250009</v>
      </c>
    </row>
    <row r="956" spans="1:30" ht="12.75" hidden="1" customHeight="1">
      <c r="A956" s="125" t="str">
        <f t="shared" si="105"/>
        <v>LIC172Prov Unr P/L -ZCB</v>
      </c>
      <c r="B956" s="125">
        <f>+IFERROR(VLOOKUP(L956,'TB mapping'!A:D,4,0),0)</f>
        <v>0</v>
      </c>
      <c r="C956" s="125">
        <f>+IFERROR(VLOOKUP(L956,'TB mapping'!A:C,3,0),0)</f>
        <v>0</v>
      </c>
      <c r="D956" s="125" t="str">
        <f t="shared" si="106"/>
        <v>LIC1720</v>
      </c>
      <c r="E956" s="125" t="str">
        <f t="shared" si="107"/>
        <v>LIC1720</v>
      </c>
      <c r="F956" s="158" t="str">
        <f>+VLOOKUP(H956,'code mapping'!A:C,3,0)</f>
        <v>LIC172</v>
      </c>
      <c r="G956" s="127" t="s">
        <v>453</v>
      </c>
      <c r="H956" s="127" t="s">
        <v>607</v>
      </c>
      <c r="I956" s="127" t="s">
        <v>608</v>
      </c>
      <c r="J956" s="128">
        <v>160000</v>
      </c>
      <c r="K956" s="127" t="s">
        <v>483</v>
      </c>
      <c r="L956" s="151">
        <v>162145</v>
      </c>
      <c r="M956" s="128">
        <v>0</v>
      </c>
      <c r="N956" s="127" t="s">
        <v>611</v>
      </c>
      <c r="O956" s="127" t="s">
        <v>457</v>
      </c>
      <c r="P956" s="128">
        <v>0</v>
      </c>
      <c r="Q956" s="128">
        <v>45335.55</v>
      </c>
      <c r="R956" s="128">
        <v>0</v>
      </c>
      <c r="S956" s="128">
        <v>0</v>
      </c>
      <c r="T956" s="128">
        <v>0</v>
      </c>
      <c r="U956" s="128">
        <v>45335.55</v>
      </c>
      <c r="V956" s="128">
        <v>0</v>
      </c>
      <c r="W956" s="128">
        <v>45335.55</v>
      </c>
      <c r="X956" s="128">
        <v>0</v>
      </c>
      <c r="Y956" s="128">
        <v>0</v>
      </c>
      <c r="Z956" s="128">
        <v>0</v>
      </c>
      <c r="AA956" s="128">
        <v>45335.55</v>
      </c>
      <c r="AB956" s="126">
        <f t="shared" si="108"/>
        <v>-4.5335549999999999E-3</v>
      </c>
      <c r="AC956" s="122" t="s">
        <v>1838</v>
      </c>
      <c r="AD956" s="123">
        <f t="shared" si="104"/>
        <v>1983.9723217250009</v>
      </c>
    </row>
    <row r="957" spans="1:30" ht="12.75" hidden="1" customHeight="1">
      <c r="A957" s="125" t="str">
        <f t="shared" si="105"/>
        <v>LIC172Audit Fee-Payable</v>
      </c>
      <c r="B957" s="125">
        <f>+IFERROR(VLOOKUP(L957,'TB mapping'!A:D,4,0),0)</f>
        <v>0</v>
      </c>
      <c r="C957" s="125">
        <f>+IFERROR(VLOOKUP(L957,'TB mapping'!A:C,3,0),0)</f>
        <v>0</v>
      </c>
      <c r="D957" s="125" t="str">
        <f t="shared" si="106"/>
        <v>LIC1720</v>
      </c>
      <c r="E957" s="125" t="str">
        <f t="shared" si="107"/>
        <v>LIC1720</v>
      </c>
      <c r="F957" s="158" t="str">
        <f>+VLOOKUP(H957,'code mapping'!A:C,3,0)</f>
        <v>LIC172</v>
      </c>
      <c r="G957" s="127" t="s">
        <v>453</v>
      </c>
      <c r="H957" s="127" t="s">
        <v>607</v>
      </c>
      <c r="I957" s="127" t="s">
        <v>608</v>
      </c>
      <c r="J957" s="128">
        <v>212000</v>
      </c>
      <c r="K957" s="127" t="s">
        <v>487</v>
      </c>
      <c r="L957" s="151">
        <v>212194</v>
      </c>
      <c r="M957" s="128">
        <v>0</v>
      </c>
      <c r="N957" s="127" t="s">
        <v>496</v>
      </c>
      <c r="O957" s="127" t="s">
        <v>457</v>
      </c>
      <c r="P957" s="128">
        <v>-237.3</v>
      </c>
      <c r="Q957" s="128">
        <v>0</v>
      </c>
      <c r="R957" s="128">
        <v>0</v>
      </c>
      <c r="S957" s="128">
        <v>0</v>
      </c>
      <c r="T957" s="128">
        <v>-237.3</v>
      </c>
      <c r="U957" s="128">
        <v>0</v>
      </c>
      <c r="V957" s="128">
        <v>-237.3</v>
      </c>
      <c r="W957" s="128">
        <v>0</v>
      </c>
      <c r="X957" s="128">
        <v>0</v>
      </c>
      <c r="Y957" s="128">
        <v>0</v>
      </c>
      <c r="Z957" s="128">
        <v>-237.3</v>
      </c>
      <c r="AA957" s="128">
        <v>0</v>
      </c>
      <c r="AB957" s="126">
        <f t="shared" si="108"/>
        <v>2.3730000000000001E-5</v>
      </c>
      <c r="AC957" s="122" t="s">
        <v>1838</v>
      </c>
      <c r="AD957" s="123">
        <f t="shared" si="104"/>
        <v>1983.9723217250009</v>
      </c>
    </row>
    <row r="958" spans="1:30" ht="12.75" hidden="1" customHeight="1">
      <c r="A958" s="125" t="str">
        <f t="shared" si="105"/>
        <v>LIC172Other Exp- Payable</v>
      </c>
      <c r="B958" s="125">
        <f>+IFERROR(VLOOKUP(L958,'TB mapping'!A:D,4,0),0)</f>
        <v>0</v>
      </c>
      <c r="C958" s="125">
        <f>+IFERROR(VLOOKUP(L958,'TB mapping'!A:C,3,0),0)</f>
        <v>0</v>
      </c>
      <c r="D958" s="125" t="str">
        <f t="shared" si="106"/>
        <v>LIC1720</v>
      </c>
      <c r="E958" s="125" t="str">
        <f t="shared" si="107"/>
        <v>LIC1720</v>
      </c>
      <c r="F958" s="158" t="str">
        <f>+VLOOKUP(H958,'code mapping'!A:C,3,0)</f>
        <v>LIC172</v>
      </c>
      <c r="G958" s="127" t="s">
        <v>453</v>
      </c>
      <c r="H958" s="127" t="s">
        <v>607</v>
      </c>
      <c r="I958" s="127" t="s">
        <v>608</v>
      </c>
      <c r="J958" s="128">
        <v>212000</v>
      </c>
      <c r="K958" s="127" t="s">
        <v>487</v>
      </c>
      <c r="L958" s="151">
        <v>212220</v>
      </c>
      <c r="M958" s="128">
        <v>0</v>
      </c>
      <c r="N958" s="127" t="s">
        <v>497</v>
      </c>
      <c r="O958" s="127" t="s">
        <v>457</v>
      </c>
      <c r="P958" s="128">
        <v>0</v>
      </c>
      <c r="Q958" s="128">
        <v>370452.74</v>
      </c>
      <c r="R958" s="128">
        <v>0</v>
      </c>
      <c r="S958" s="128">
        <v>0</v>
      </c>
      <c r="T958" s="128">
        <v>0</v>
      </c>
      <c r="U958" s="128">
        <v>370452.74</v>
      </c>
      <c r="V958" s="128">
        <v>0</v>
      </c>
      <c r="W958" s="128">
        <v>370452.74</v>
      </c>
      <c r="X958" s="128">
        <v>0</v>
      </c>
      <c r="Y958" s="128">
        <v>0</v>
      </c>
      <c r="Z958" s="128">
        <v>0</v>
      </c>
      <c r="AA958" s="128">
        <v>370452.74</v>
      </c>
      <c r="AB958" s="126">
        <f t="shared" si="108"/>
        <v>-3.7045273999999996E-2</v>
      </c>
      <c r="AC958" s="122" t="s">
        <v>1838</v>
      </c>
      <c r="AD958" s="123">
        <f t="shared" si="104"/>
        <v>1983.9723217250009</v>
      </c>
    </row>
    <row r="959" spans="1:30" ht="12.75" hidden="1" customHeight="1">
      <c r="A959" s="125" t="str">
        <f t="shared" si="105"/>
        <v>LIC172Expense Allocation-Liab'ity Ac</v>
      </c>
      <c r="B959" s="125">
        <f>+IFERROR(VLOOKUP(L959,'TB mapping'!A:D,4,0),0)</f>
        <v>0</v>
      </c>
      <c r="C959" s="125">
        <f>+IFERROR(VLOOKUP(L959,'TB mapping'!A:C,3,0),0)</f>
        <v>0</v>
      </c>
      <c r="D959" s="125" t="str">
        <f t="shared" si="106"/>
        <v>LIC1720</v>
      </c>
      <c r="E959" s="125" t="str">
        <f t="shared" si="107"/>
        <v>LIC1720</v>
      </c>
      <c r="F959" s="158" t="str">
        <f>+VLOOKUP(H959,'code mapping'!A:C,3,0)</f>
        <v>LIC172</v>
      </c>
      <c r="G959" s="127" t="s">
        <v>453</v>
      </c>
      <c r="H959" s="127" t="s">
        <v>607</v>
      </c>
      <c r="I959" s="127" t="s">
        <v>608</v>
      </c>
      <c r="J959" s="128">
        <v>212000</v>
      </c>
      <c r="K959" s="127" t="s">
        <v>487</v>
      </c>
      <c r="L959" s="151">
        <v>212223</v>
      </c>
      <c r="M959" s="128">
        <v>0</v>
      </c>
      <c r="N959" s="127" t="s">
        <v>498</v>
      </c>
      <c r="O959" s="127" t="s">
        <v>457</v>
      </c>
      <c r="P959" s="128">
        <v>-175467.07</v>
      </c>
      <c r="Q959" s="128">
        <v>0</v>
      </c>
      <c r="R959" s="128">
        <v>0</v>
      </c>
      <c r="S959" s="128">
        <v>0</v>
      </c>
      <c r="T959" s="128">
        <v>-175467.07</v>
      </c>
      <c r="U959" s="128">
        <v>0</v>
      </c>
      <c r="V959" s="128">
        <v>-175467.07</v>
      </c>
      <c r="W959" s="128">
        <v>0</v>
      </c>
      <c r="X959" s="128">
        <v>0</v>
      </c>
      <c r="Y959" s="128">
        <v>0</v>
      </c>
      <c r="Z959" s="128">
        <v>-175467.07</v>
      </c>
      <c r="AA959" s="128">
        <v>0</v>
      </c>
      <c r="AB959" s="126">
        <f t="shared" si="108"/>
        <v>1.7546707000000002E-2</v>
      </c>
      <c r="AC959" s="122" t="s">
        <v>1838</v>
      </c>
      <c r="AD959" s="123">
        <f t="shared" si="104"/>
        <v>1983.9723217250009</v>
      </c>
    </row>
    <row r="960" spans="1:30" ht="12.75" hidden="1" customHeight="1">
      <c r="A960" s="125" t="str">
        <f t="shared" si="105"/>
        <v>LIC172Investor Education Payable</v>
      </c>
      <c r="B960" s="125">
        <f>+IFERROR(VLOOKUP(L960,'TB mapping'!A:D,4,0),0)</f>
        <v>0</v>
      </c>
      <c r="C960" s="125">
        <f>+IFERROR(VLOOKUP(L960,'TB mapping'!A:C,3,0),0)</f>
        <v>0</v>
      </c>
      <c r="D960" s="125" t="str">
        <f t="shared" si="106"/>
        <v>LIC1720</v>
      </c>
      <c r="E960" s="125" t="str">
        <f t="shared" si="107"/>
        <v>LIC1720</v>
      </c>
      <c r="F960" s="158" t="str">
        <f>+VLOOKUP(H960,'code mapping'!A:C,3,0)</f>
        <v>LIC172</v>
      </c>
      <c r="G960" s="127" t="s">
        <v>453</v>
      </c>
      <c r="H960" s="127" t="s">
        <v>607</v>
      </c>
      <c r="I960" s="127" t="s">
        <v>608</v>
      </c>
      <c r="J960" s="128">
        <v>212000</v>
      </c>
      <c r="K960" s="127" t="s">
        <v>487</v>
      </c>
      <c r="L960" s="151">
        <v>212240</v>
      </c>
      <c r="M960" s="128">
        <v>0</v>
      </c>
      <c r="N960" s="127" t="s">
        <v>500</v>
      </c>
      <c r="O960" s="127" t="s">
        <v>457</v>
      </c>
      <c r="P960" s="128">
        <v>0</v>
      </c>
      <c r="Q960" s="128">
        <v>4447.01</v>
      </c>
      <c r="R960" s="128">
        <v>0</v>
      </c>
      <c r="S960" s="128">
        <v>0</v>
      </c>
      <c r="T960" s="128">
        <v>0</v>
      </c>
      <c r="U960" s="128">
        <v>4447.01</v>
      </c>
      <c r="V960" s="128">
        <v>0</v>
      </c>
      <c r="W960" s="128">
        <v>4447.01</v>
      </c>
      <c r="X960" s="128">
        <v>0</v>
      </c>
      <c r="Y960" s="128">
        <v>0</v>
      </c>
      <c r="Z960" s="128">
        <v>0</v>
      </c>
      <c r="AA960" s="128">
        <v>4447.01</v>
      </c>
      <c r="AB960" s="126">
        <f t="shared" si="108"/>
        <v>-4.4470100000000004E-4</v>
      </c>
      <c r="AC960" s="122" t="s">
        <v>1838</v>
      </c>
      <c r="AD960" s="123">
        <f t="shared" si="104"/>
        <v>1983.9723217250009</v>
      </c>
    </row>
    <row r="961" spans="1:30" ht="12.75" hidden="1" customHeight="1">
      <c r="A961" s="125" t="str">
        <f t="shared" si="105"/>
        <v>LIC172Transaction Charges Payable</v>
      </c>
      <c r="B961" s="125">
        <f>+IFERROR(VLOOKUP(L961,'TB mapping'!A:D,4,0),0)</f>
        <v>0</v>
      </c>
      <c r="C961" s="125">
        <f>+IFERROR(VLOOKUP(L961,'TB mapping'!A:C,3,0),0)</f>
        <v>0</v>
      </c>
      <c r="D961" s="125" t="str">
        <f t="shared" si="106"/>
        <v>LIC1720</v>
      </c>
      <c r="E961" s="125" t="str">
        <f t="shared" si="107"/>
        <v>LIC1720</v>
      </c>
      <c r="F961" s="158" t="str">
        <f>+VLOOKUP(H961,'code mapping'!A:C,3,0)</f>
        <v>LIC172</v>
      </c>
      <c r="G961" s="127" t="s">
        <v>453</v>
      </c>
      <c r="H961" s="127" t="s">
        <v>607</v>
      </c>
      <c r="I961" s="127" t="s">
        <v>608</v>
      </c>
      <c r="J961" s="128">
        <v>212000</v>
      </c>
      <c r="K961" s="127" t="s">
        <v>487</v>
      </c>
      <c r="L961" s="151">
        <v>212247</v>
      </c>
      <c r="M961" s="128">
        <v>0</v>
      </c>
      <c r="N961" s="127" t="s">
        <v>501</v>
      </c>
      <c r="O961" s="127" t="s">
        <v>457</v>
      </c>
      <c r="P961" s="128">
        <v>0</v>
      </c>
      <c r="Q961" s="128">
        <v>600</v>
      </c>
      <c r="R961" s="128">
        <v>0</v>
      </c>
      <c r="S961" s="128">
        <v>0</v>
      </c>
      <c r="T961" s="128">
        <v>0</v>
      </c>
      <c r="U961" s="128">
        <v>600</v>
      </c>
      <c r="V961" s="128">
        <v>0</v>
      </c>
      <c r="W961" s="128">
        <v>600</v>
      </c>
      <c r="X961" s="128">
        <v>0</v>
      </c>
      <c r="Y961" s="128">
        <v>0</v>
      </c>
      <c r="Z961" s="128">
        <v>0</v>
      </c>
      <c r="AA961" s="128">
        <v>600</v>
      </c>
      <c r="AB961" s="126">
        <f t="shared" si="108"/>
        <v>-6.0000000000000002E-5</v>
      </c>
      <c r="AC961" s="122" t="s">
        <v>1838</v>
      </c>
      <c r="AD961" s="123">
        <f t="shared" si="104"/>
        <v>1983.9723217250009</v>
      </c>
    </row>
    <row r="962" spans="1:30" ht="12.75" hidden="1" customHeight="1">
      <c r="A962" s="125" t="str">
        <f t="shared" si="105"/>
        <v>LIC172Brokerage &amp; Dist Exp Payable</v>
      </c>
      <c r="B962" s="125">
        <f>+IFERROR(VLOOKUP(L962,'TB mapping'!A:D,4,0),0)</f>
        <v>0</v>
      </c>
      <c r="C962" s="125">
        <f>+IFERROR(VLOOKUP(L962,'TB mapping'!A:C,3,0),0)</f>
        <v>0</v>
      </c>
      <c r="D962" s="125" t="str">
        <f t="shared" si="106"/>
        <v>LIC1720</v>
      </c>
      <c r="E962" s="125" t="str">
        <f t="shared" si="107"/>
        <v>LIC1720</v>
      </c>
      <c r="F962" s="158" t="str">
        <f>+VLOOKUP(H962,'code mapping'!A:C,3,0)</f>
        <v>LIC172</v>
      </c>
      <c r="G962" s="127" t="s">
        <v>453</v>
      </c>
      <c r="H962" s="127" t="s">
        <v>607</v>
      </c>
      <c r="I962" s="127" t="s">
        <v>608</v>
      </c>
      <c r="J962" s="128">
        <v>212000</v>
      </c>
      <c r="K962" s="127" t="s">
        <v>487</v>
      </c>
      <c r="L962" s="151">
        <v>212255</v>
      </c>
      <c r="M962" s="128">
        <v>0</v>
      </c>
      <c r="N962" s="127" t="s">
        <v>503</v>
      </c>
      <c r="O962" s="127" t="s">
        <v>457</v>
      </c>
      <c r="P962" s="128">
        <v>0</v>
      </c>
      <c r="Q962" s="128">
        <v>789291.32</v>
      </c>
      <c r="R962" s="128">
        <v>0</v>
      </c>
      <c r="S962" s="128">
        <v>0</v>
      </c>
      <c r="T962" s="128">
        <v>0</v>
      </c>
      <c r="U962" s="128">
        <v>789291.32</v>
      </c>
      <c r="V962" s="128">
        <v>0</v>
      </c>
      <c r="W962" s="128">
        <v>789291.32</v>
      </c>
      <c r="X962" s="128">
        <v>0</v>
      </c>
      <c r="Y962" s="128">
        <v>0</v>
      </c>
      <c r="Z962" s="128">
        <v>0</v>
      </c>
      <c r="AA962" s="128">
        <v>789291.32</v>
      </c>
      <c r="AB962" s="126">
        <f t="shared" si="108"/>
        <v>-7.8929131999999999E-2</v>
      </c>
      <c r="AC962" s="122" t="s">
        <v>1838</v>
      </c>
      <c r="AD962" s="123">
        <f t="shared" si="104"/>
        <v>1983.9723217250009</v>
      </c>
    </row>
    <row r="963" spans="1:30" ht="12.75" hidden="1" customHeight="1">
      <c r="A963" s="125" t="str">
        <f t="shared" si="105"/>
        <v>LIC172Upfront Brk &amp; Trail Paid-Liab</v>
      </c>
      <c r="B963" s="125">
        <f>+IFERROR(VLOOKUP(L963,'TB mapping'!A:D,4,0),0)</f>
        <v>0</v>
      </c>
      <c r="C963" s="125">
        <f>+IFERROR(VLOOKUP(L963,'TB mapping'!A:C,3,0),0)</f>
        <v>0</v>
      </c>
      <c r="D963" s="125" t="str">
        <f t="shared" si="106"/>
        <v>LIC1720</v>
      </c>
      <c r="E963" s="125" t="str">
        <f t="shared" si="107"/>
        <v>LIC1720</v>
      </c>
      <c r="F963" s="158" t="str">
        <f>+VLOOKUP(H963,'code mapping'!A:C,3,0)</f>
        <v>LIC172</v>
      </c>
      <c r="G963" s="127" t="s">
        <v>453</v>
      </c>
      <c r="H963" s="127" t="s">
        <v>607</v>
      </c>
      <c r="I963" s="127" t="s">
        <v>608</v>
      </c>
      <c r="J963" s="128">
        <v>212000</v>
      </c>
      <c r="K963" s="127" t="s">
        <v>487</v>
      </c>
      <c r="L963" s="151">
        <v>212257</v>
      </c>
      <c r="M963" s="128">
        <v>0</v>
      </c>
      <c r="N963" s="127" t="s">
        <v>504</v>
      </c>
      <c r="O963" s="127" t="s">
        <v>457</v>
      </c>
      <c r="P963" s="128">
        <v>-3834.41</v>
      </c>
      <c r="Q963" s="128">
        <v>0</v>
      </c>
      <c r="R963" s="128">
        <v>0</v>
      </c>
      <c r="S963" s="128">
        <v>0</v>
      </c>
      <c r="T963" s="128">
        <v>-3834.41</v>
      </c>
      <c r="U963" s="128">
        <v>0</v>
      </c>
      <c r="V963" s="128">
        <v>-3834.41</v>
      </c>
      <c r="W963" s="128">
        <v>0</v>
      </c>
      <c r="X963" s="128">
        <v>0</v>
      </c>
      <c r="Y963" s="128">
        <v>0</v>
      </c>
      <c r="Z963" s="128">
        <v>-3834.41</v>
      </c>
      <c r="AA963" s="128">
        <v>0</v>
      </c>
      <c r="AB963" s="126">
        <f t="shared" si="108"/>
        <v>3.8344099999999999E-4</v>
      </c>
      <c r="AC963" s="122" t="s">
        <v>1838</v>
      </c>
      <c r="AD963" s="123">
        <f t="shared" si="104"/>
        <v>1983.9723217250009</v>
      </c>
    </row>
    <row r="964" spans="1:30" ht="12.75" hidden="1" customHeight="1">
      <c r="A964" s="125" t="str">
        <f t="shared" si="105"/>
        <v>LIC172Payable CGST on Mfees</v>
      </c>
      <c r="B964" s="125">
        <f>+IFERROR(VLOOKUP(L964,'TB mapping'!A:D,4,0),0)</f>
        <v>0</v>
      </c>
      <c r="C964" s="125">
        <f>+IFERROR(VLOOKUP(L964,'TB mapping'!A:C,3,0),0)</f>
        <v>0</v>
      </c>
      <c r="D964" s="125" t="str">
        <f t="shared" si="106"/>
        <v>LIC1720</v>
      </c>
      <c r="E964" s="125" t="str">
        <f t="shared" si="107"/>
        <v>LIC1720</v>
      </c>
      <c r="F964" s="158" t="str">
        <f>+VLOOKUP(H964,'code mapping'!A:C,3,0)</f>
        <v>LIC172</v>
      </c>
      <c r="G964" s="127" t="s">
        <v>453</v>
      </c>
      <c r="H964" s="127" t="s">
        <v>607</v>
      </c>
      <c r="I964" s="127" t="s">
        <v>608</v>
      </c>
      <c r="J964" s="128">
        <v>212000</v>
      </c>
      <c r="K964" s="127" t="s">
        <v>487</v>
      </c>
      <c r="L964" s="151">
        <v>212271</v>
      </c>
      <c r="M964" s="128">
        <v>0</v>
      </c>
      <c r="N964" s="127" t="s">
        <v>505</v>
      </c>
      <c r="O964" s="127" t="s">
        <v>457</v>
      </c>
      <c r="P964" s="128">
        <v>0</v>
      </c>
      <c r="Q964" s="128">
        <v>6246.12</v>
      </c>
      <c r="R964" s="128">
        <v>0</v>
      </c>
      <c r="S964" s="128">
        <v>0</v>
      </c>
      <c r="T964" s="128">
        <v>0</v>
      </c>
      <c r="U964" s="128">
        <v>6246.12</v>
      </c>
      <c r="V964" s="128">
        <v>0</v>
      </c>
      <c r="W964" s="128">
        <v>6246.12</v>
      </c>
      <c r="X964" s="128">
        <v>0</v>
      </c>
      <c r="Y964" s="128">
        <v>0</v>
      </c>
      <c r="Z964" s="128">
        <v>0</v>
      </c>
      <c r="AA964" s="128">
        <v>6246.12</v>
      </c>
      <c r="AB964" s="126">
        <f t="shared" si="108"/>
        <v>-6.2461199999999998E-4</v>
      </c>
      <c r="AC964" s="122" t="s">
        <v>1838</v>
      </c>
      <c r="AD964" s="123">
        <f t="shared" si="104"/>
        <v>1983.9723217250009</v>
      </c>
    </row>
    <row r="965" spans="1:30" ht="12.75" hidden="1" customHeight="1">
      <c r="A965" s="125" t="str">
        <f t="shared" si="105"/>
        <v>LIC172Payable SGST on Mfees</v>
      </c>
      <c r="B965" s="125">
        <f>+IFERROR(VLOOKUP(L965,'TB mapping'!A:D,4,0),0)</f>
        <v>0</v>
      </c>
      <c r="C965" s="125">
        <f>+IFERROR(VLOOKUP(L965,'TB mapping'!A:C,3,0),0)</f>
        <v>0</v>
      </c>
      <c r="D965" s="125" t="str">
        <f t="shared" si="106"/>
        <v>LIC1720</v>
      </c>
      <c r="E965" s="125" t="str">
        <f t="shared" si="107"/>
        <v>LIC1720</v>
      </c>
      <c r="F965" s="158" t="str">
        <f>+VLOOKUP(H965,'code mapping'!A:C,3,0)</f>
        <v>LIC172</v>
      </c>
      <c r="G965" s="127" t="s">
        <v>453</v>
      </c>
      <c r="H965" s="127" t="s">
        <v>607</v>
      </c>
      <c r="I965" s="127" t="s">
        <v>608</v>
      </c>
      <c r="J965" s="128">
        <v>212000</v>
      </c>
      <c r="K965" s="127" t="s">
        <v>487</v>
      </c>
      <c r="L965" s="151">
        <v>212272</v>
      </c>
      <c r="M965" s="128">
        <v>0</v>
      </c>
      <c r="N965" s="127" t="s">
        <v>506</v>
      </c>
      <c r="O965" s="127" t="s">
        <v>457</v>
      </c>
      <c r="P965" s="128">
        <v>0</v>
      </c>
      <c r="Q965" s="128">
        <v>6246.12</v>
      </c>
      <c r="R965" s="128">
        <v>0</v>
      </c>
      <c r="S965" s="128">
        <v>0</v>
      </c>
      <c r="T965" s="128">
        <v>0</v>
      </c>
      <c r="U965" s="128">
        <v>6246.12</v>
      </c>
      <c r="V965" s="128">
        <v>0</v>
      </c>
      <c r="W965" s="128">
        <v>6246.12</v>
      </c>
      <c r="X965" s="128">
        <v>0</v>
      </c>
      <c r="Y965" s="128">
        <v>0</v>
      </c>
      <c r="Z965" s="128">
        <v>0</v>
      </c>
      <c r="AA965" s="128">
        <v>6246.12</v>
      </c>
      <c r="AB965" s="126">
        <f t="shared" si="108"/>
        <v>-6.2461199999999998E-4</v>
      </c>
      <c r="AC965" s="122" t="s">
        <v>1838</v>
      </c>
      <c r="AD965" s="123">
        <f t="shared" si="104"/>
        <v>1983.9723217250009</v>
      </c>
    </row>
    <row r="966" spans="1:30" ht="12.75" hidden="1" customHeight="1">
      <c r="A966" s="125" t="str">
        <f t="shared" si="105"/>
        <v>LIC172Payable -Inv Educ Fund-AMFI</v>
      </c>
      <c r="B966" s="125">
        <f>+IFERROR(VLOOKUP(L966,'TB mapping'!A:D,4,0),0)</f>
        <v>0</v>
      </c>
      <c r="C966" s="125">
        <f>+IFERROR(VLOOKUP(L966,'TB mapping'!A:C,3,0),0)</f>
        <v>0</v>
      </c>
      <c r="D966" s="125" t="str">
        <f t="shared" si="106"/>
        <v>LIC1720</v>
      </c>
      <c r="E966" s="125" t="str">
        <f t="shared" si="107"/>
        <v>LIC1720</v>
      </c>
      <c r="F966" s="158" t="str">
        <f>+VLOOKUP(H966,'code mapping'!A:C,3,0)</f>
        <v>LIC172</v>
      </c>
      <c r="G966" s="127" t="s">
        <v>453</v>
      </c>
      <c r="H966" s="127" t="s">
        <v>607</v>
      </c>
      <c r="I966" s="127" t="s">
        <v>608</v>
      </c>
      <c r="J966" s="128">
        <v>212000</v>
      </c>
      <c r="K966" s="127" t="s">
        <v>487</v>
      </c>
      <c r="L966" s="151">
        <v>213166</v>
      </c>
      <c r="M966" s="128">
        <v>0</v>
      </c>
      <c r="N966" s="127" t="s">
        <v>507</v>
      </c>
      <c r="O966" s="127" t="s">
        <v>457</v>
      </c>
      <c r="P966" s="128">
        <v>0</v>
      </c>
      <c r="Q966" s="128">
        <v>4447.01</v>
      </c>
      <c r="R966" s="128">
        <v>0</v>
      </c>
      <c r="S966" s="128">
        <v>0</v>
      </c>
      <c r="T966" s="128">
        <v>0</v>
      </c>
      <c r="U966" s="128">
        <v>4447.01</v>
      </c>
      <c r="V966" s="128">
        <v>0</v>
      </c>
      <c r="W966" s="128">
        <v>4447.01</v>
      </c>
      <c r="X966" s="128">
        <v>0</v>
      </c>
      <c r="Y966" s="128">
        <v>0</v>
      </c>
      <c r="Z966" s="128">
        <v>0</v>
      </c>
      <c r="AA966" s="128">
        <v>4447.01</v>
      </c>
      <c r="AB966" s="126">
        <f t="shared" si="108"/>
        <v>-4.4470100000000004E-4</v>
      </c>
      <c r="AC966" s="122" t="s">
        <v>1838</v>
      </c>
      <c r="AD966" s="123">
        <f t="shared" si="104"/>
        <v>1983.9723217250009</v>
      </c>
    </row>
    <row r="967" spans="1:30" ht="12.75" hidden="1" customHeight="1">
      <c r="A967" s="125" t="str">
        <f t="shared" si="105"/>
        <v>LIC172Management Fee Payable</v>
      </c>
      <c r="B967" s="125">
        <f>+IFERROR(VLOOKUP(L967,'TB mapping'!A:D,4,0),0)</f>
        <v>0</v>
      </c>
      <c r="C967" s="125">
        <f>+IFERROR(VLOOKUP(L967,'TB mapping'!A:C,3,0),0)</f>
        <v>0</v>
      </c>
      <c r="D967" s="125" t="str">
        <f t="shared" si="106"/>
        <v>LIC1720</v>
      </c>
      <c r="E967" s="125" t="str">
        <f t="shared" si="107"/>
        <v>LIC1720</v>
      </c>
      <c r="F967" s="158" t="str">
        <f>+VLOOKUP(H967,'code mapping'!A:C,3,0)</f>
        <v>LIC172</v>
      </c>
      <c r="G967" s="127" t="s">
        <v>453</v>
      </c>
      <c r="H967" s="127" t="s">
        <v>607</v>
      </c>
      <c r="I967" s="127" t="s">
        <v>608</v>
      </c>
      <c r="J967" s="128">
        <v>213000</v>
      </c>
      <c r="K967" s="127" t="s">
        <v>508</v>
      </c>
      <c r="L967" s="151">
        <v>213500</v>
      </c>
      <c r="M967" s="128">
        <v>0</v>
      </c>
      <c r="N967" s="127" t="s">
        <v>509</v>
      </c>
      <c r="O967" s="127" t="s">
        <v>457</v>
      </c>
      <c r="P967" s="128">
        <v>0</v>
      </c>
      <c r="Q967" s="128">
        <v>69396.34</v>
      </c>
      <c r="R967" s="128">
        <v>0</v>
      </c>
      <c r="S967" s="128">
        <v>0</v>
      </c>
      <c r="T967" s="128">
        <v>0</v>
      </c>
      <c r="U967" s="128">
        <v>69396.34</v>
      </c>
      <c r="V967" s="128">
        <v>0</v>
      </c>
      <c r="W967" s="128">
        <v>69396.34</v>
      </c>
      <c r="X967" s="128">
        <v>0</v>
      </c>
      <c r="Y967" s="128">
        <v>0</v>
      </c>
      <c r="Z967" s="128">
        <v>0</v>
      </c>
      <c r="AA967" s="128">
        <v>69396.34</v>
      </c>
      <c r="AB967" s="126">
        <f t="shared" si="108"/>
        <v>-6.9396340000000001E-3</v>
      </c>
      <c r="AC967" s="122" t="s">
        <v>1838</v>
      </c>
      <c r="AD967" s="123">
        <f t="shared" si="104"/>
        <v>1983.9723217250009</v>
      </c>
    </row>
    <row r="968" spans="1:30" ht="12.75" hidden="1" customHeight="1">
      <c r="A968" s="125" t="str">
        <f t="shared" si="105"/>
        <v>LIC172Other Adjustment A/c.</v>
      </c>
      <c r="B968" s="125">
        <f>+IFERROR(VLOOKUP(L968,'TB mapping'!A:D,4,0),0)</f>
        <v>0</v>
      </c>
      <c r="C968" s="125">
        <f>+IFERROR(VLOOKUP(L968,'TB mapping'!A:C,3,0),0)</f>
        <v>0</v>
      </c>
      <c r="D968" s="125" t="str">
        <f t="shared" si="106"/>
        <v>LIC1720</v>
      </c>
      <c r="E968" s="125" t="str">
        <f t="shared" si="107"/>
        <v>LIC1720</v>
      </c>
      <c r="F968" s="158" t="str">
        <f>+VLOOKUP(H968,'code mapping'!A:C,3,0)</f>
        <v>LIC172</v>
      </c>
      <c r="G968" s="127" t="s">
        <v>453</v>
      </c>
      <c r="H968" s="127" t="s">
        <v>607</v>
      </c>
      <c r="I968" s="127" t="s">
        <v>608</v>
      </c>
      <c r="J968" s="128">
        <v>220000</v>
      </c>
      <c r="K968" s="127" t="s">
        <v>510</v>
      </c>
      <c r="L968" s="151">
        <v>190000</v>
      </c>
      <c r="M968" s="128">
        <v>0</v>
      </c>
      <c r="N968" s="127" t="s">
        <v>511</v>
      </c>
      <c r="O968" s="127" t="s">
        <v>457</v>
      </c>
      <c r="P968" s="128">
        <v>-0.31</v>
      </c>
      <c r="Q968" s="128">
        <v>0</v>
      </c>
      <c r="R968" s="128">
        <v>0</v>
      </c>
      <c r="S968" s="128">
        <v>0</v>
      </c>
      <c r="T968" s="128">
        <v>-0.31</v>
      </c>
      <c r="U968" s="128">
        <v>0</v>
      </c>
      <c r="V968" s="128">
        <v>-0.31</v>
      </c>
      <c r="W968" s="128">
        <v>0</v>
      </c>
      <c r="X968" s="128">
        <v>0</v>
      </c>
      <c r="Y968" s="128">
        <v>0</v>
      </c>
      <c r="Z968" s="128">
        <v>-0.31</v>
      </c>
      <c r="AA968" s="128">
        <v>0</v>
      </c>
      <c r="AB968" s="126">
        <f t="shared" si="108"/>
        <v>3.1E-8</v>
      </c>
      <c r="AC968" s="122" t="s">
        <v>1838</v>
      </c>
      <c r="AD968" s="123">
        <f t="shared" si="104"/>
        <v>1983.9723217250009</v>
      </c>
    </row>
    <row r="969" spans="1:30" ht="12.75" hidden="1" customHeight="1">
      <c r="A969" s="125" t="str">
        <f t="shared" si="105"/>
        <v>LIC172Prov For Withholding Brokerage</v>
      </c>
      <c r="B969" s="125">
        <f>+IFERROR(VLOOKUP(L969,'TB mapping'!A:D,4,0),0)</f>
        <v>0</v>
      </c>
      <c r="C969" s="125">
        <f>+IFERROR(VLOOKUP(L969,'TB mapping'!A:C,3,0),0)</f>
        <v>0</v>
      </c>
      <c r="D969" s="125" t="str">
        <f t="shared" si="106"/>
        <v>LIC1720</v>
      </c>
      <c r="E969" s="125" t="str">
        <f t="shared" si="107"/>
        <v>LIC1720</v>
      </c>
      <c r="F969" s="158" t="str">
        <f>+VLOOKUP(H969,'code mapping'!A:C,3,0)</f>
        <v>LIC172</v>
      </c>
      <c r="G969" s="127" t="s">
        <v>453</v>
      </c>
      <c r="H969" s="127" t="s">
        <v>607</v>
      </c>
      <c r="I969" s="127" t="s">
        <v>608</v>
      </c>
      <c r="J969" s="128">
        <v>220000</v>
      </c>
      <c r="K969" s="127" t="s">
        <v>510</v>
      </c>
      <c r="L969" s="151">
        <v>210162</v>
      </c>
      <c r="M969" s="128">
        <v>0</v>
      </c>
      <c r="N969" s="127" t="s">
        <v>512</v>
      </c>
      <c r="O969" s="127" t="s">
        <v>457</v>
      </c>
      <c r="P969" s="128">
        <v>0</v>
      </c>
      <c r="Q969" s="128">
        <v>28351.62</v>
      </c>
      <c r="R969" s="128">
        <v>0</v>
      </c>
      <c r="S969" s="128">
        <v>0</v>
      </c>
      <c r="T969" s="128">
        <v>0</v>
      </c>
      <c r="U969" s="128">
        <v>28351.62</v>
      </c>
      <c r="V969" s="128">
        <v>0</v>
      </c>
      <c r="W969" s="128">
        <v>28351.62</v>
      </c>
      <c r="X969" s="128">
        <v>0</v>
      </c>
      <c r="Y969" s="128">
        <v>0</v>
      </c>
      <c r="Z969" s="128">
        <v>0</v>
      </c>
      <c r="AA969" s="128">
        <v>28351.62</v>
      </c>
      <c r="AB969" s="126">
        <f t="shared" si="108"/>
        <v>-2.835162E-3</v>
      </c>
      <c r="AC969" s="122" t="s">
        <v>1838</v>
      </c>
      <c r="AD969" s="123">
        <f t="shared" si="104"/>
        <v>1983.9723217250009</v>
      </c>
    </row>
    <row r="970" spans="1:30" ht="12.75" hidden="1" customHeight="1">
      <c r="A970" s="125" t="str">
        <f t="shared" si="105"/>
        <v>LIC172Prov  Withholding Brok 2016-17</v>
      </c>
      <c r="B970" s="125">
        <f>+IFERROR(VLOOKUP(L970,'TB mapping'!A:D,4,0),0)</f>
        <v>0</v>
      </c>
      <c r="C970" s="125">
        <f>+IFERROR(VLOOKUP(L970,'TB mapping'!A:C,3,0),0)</f>
        <v>0</v>
      </c>
      <c r="D970" s="125" t="str">
        <f t="shared" si="106"/>
        <v>LIC1720</v>
      </c>
      <c r="E970" s="125" t="str">
        <f t="shared" si="107"/>
        <v>LIC1720</v>
      </c>
      <c r="F970" s="158" t="str">
        <f>+VLOOKUP(H970,'code mapping'!A:C,3,0)</f>
        <v>LIC172</v>
      </c>
      <c r="G970" s="127" t="s">
        <v>453</v>
      </c>
      <c r="H970" s="127" t="s">
        <v>607</v>
      </c>
      <c r="I970" s="127" t="s">
        <v>608</v>
      </c>
      <c r="J970" s="128">
        <v>220000</v>
      </c>
      <c r="K970" s="127" t="s">
        <v>510</v>
      </c>
      <c r="L970" s="151">
        <v>210163</v>
      </c>
      <c r="M970" s="128">
        <v>0</v>
      </c>
      <c r="N970" s="127" t="s">
        <v>513</v>
      </c>
      <c r="O970" s="127" t="s">
        <v>457</v>
      </c>
      <c r="P970" s="128">
        <v>0</v>
      </c>
      <c r="Q970" s="128">
        <v>73520.34</v>
      </c>
      <c r="R970" s="128">
        <v>0</v>
      </c>
      <c r="S970" s="128">
        <v>0</v>
      </c>
      <c r="T970" s="128">
        <v>0</v>
      </c>
      <c r="U970" s="128">
        <v>73520.34</v>
      </c>
      <c r="V970" s="128">
        <v>0</v>
      </c>
      <c r="W970" s="128">
        <v>73520.34</v>
      </c>
      <c r="X970" s="128">
        <v>0</v>
      </c>
      <c r="Y970" s="128">
        <v>0</v>
      </c>
      <c r="Z970" s="128">
        <v>0</v>
      </c>
      <c r="AA970" s="128">
        <v>73520.34</v>
      </c>
      <c r="AB970" s="126">
        <f t="shared" si="108"/>
        <v>-7.3520339999999995E-3</v>
      </c>
      <c r="AC970" s="122" t="s">
        <v>1838</v>
      </c>
      <c r="AD970" s="123">
        <f t="shared" si="104"/>
        <v>1983.9723217250009</v>
      </c>
    </row>
    <row r="971" spans="1:30" ht="12.75" hidden="1" customHeight="1">
      <c r="A971" s="125" t="str">
        <f t="shared" si="105"/>
        <v>LIC172Unit Capital</v>
      </c>
      <c r="B971" s="125">
        <f>+IFERROR(VLOOKUP(L971,'TB mapping'!A:D,4,0),0)</f>
        <v>0</v>
      </c>
      <c r="C971" s="125">
        <f>+IFERROR(VLOOKUP(L971,'TB mapping'!A:C,3,0),0)</f>
        <v>0</v>
      </c>
      <c r="D971" s="125" t="str">
        <f t="shared" si="106"/>
        <v>LIC1720</v>
      </c>
      <c r="E971" s="125" t="str">
        <f t="shared" si="107"/>
        <v>LIC1720</v>
      </c>
      <c r="F971" s="158" t="str">
        <f>+VLOOKUP(H971,'code mapping'!A:C,3,0)</f>
        <v>LIC172</v>
      </c>
      <c r="G971" s="127" t="s">
        <v>453</v>
      </c>
      <c r="H971" s="127" t="s">
        <v>607</v>
      </c>
      <c r="I971" s="127" t="s">
        <v>608</v>
      </c>
      <c r="J971" s="128">
        <v>301000</v>
      </c>
      <c r="K971" s="127" t="s">
        <v>514</v>
      </c>
      <c r="L971" s="151">
        <v>310000</v>
      </c>
      <c r="M971" s="128">
        <v>0</v>
      </c>
      <c r="N971" s="127" t="s">
        <v>515</v>
      </c>
      <c r="O971" s="127" t="s">
        <v>457</v>
      </c>
      <c r="P971" s="128">
        <v>0</v>
      </c>
      <c r="Q971" s="128">
        <v>438144904.49000001</v>
      </c>
      <c r="R971" s="128">
        <v>0</v>
      </c>
      <c r="S971" s="128">
        <v>0</v>
      </c>
      <c r="T971" s="128">
        <v>0</v>
      </c>
      <c r="U971" s="128">
        <v>438144904.49000001</v>
      </c>
      <c r="V971" s="128">
        <v>0</v>
      </c>
      <c r="W971" s="128">
        <v>438144904.49000001</v>
      </c>
      <c r="X971" s="128">
        <v>0</v>
      </c>
      <c r="Y971" s="128">
        <v>0</v>
      </c>
      <c r="Z971" s="128">
        <v>0</v>
      </c>
      <c r="AA971" s="128">
        <v>438144904.49000001</v>
      </c>
      <c r="AB971" s="126">
        <f t="shared" si="108"/>
        <v>-43.814490449000004</v>
      </c>
      <c r="AC971" s="122" t="s">
        <v>1838</v>
      </c>
      <c r="AD971" s="123">
        <f t="shared" si="104"/>
        <v>1983.9723217250009</v>
      </c>
    </row>
    <row r="972" spans="1:30" ht="12.75" hidden="1" customHeight="1">
      <c r="A972" s="125" t="str">
        <f t="shared" si="105"/>
        <v>LIC172Unit Premium Reserve- RG</v>
      </c>
      <c r="B972" s="125">
        <f>+IFERROR(VLOOKUP(L972,'TB mapping'!A:D,4,0),0)</f>
        <v>0</v>
      </c>
      <c r="C972" s="125">
        <f>+IFERROR(VLOOKUP(L972,'TB mapping'!A:C,3,0),0)</f>
        <v>0</v>
      </c>
      <c r="D972" s="125" t="str">
        <f t="shared" si="106"/>
        <v>LIC1720</v>
      </c>
      <c r="E972" s="125" t="str">
        <f t="shared" si="107"/>
        <v>LIC1720</v>
      </c>
      <c r="F972" s="158" t="str">
        <f>+VLOOKUP(H972,'code mapping'!A:C,3,0)</f>
        <v>LIC172</v>
      </c>
      <c r="G972" s="127" t="s">
        <v>453</v>
      </c>
      <c r="H972" s="127" t="s">
        <v>607</v>
      </c>
      <c r="I972" s="127" t="s">
        <v>608</v>
      </c>
      <c r="J972" s="128">
        <v>303000</v>
      </c>
      <c r="K972" s="127" t="s">
        <v>516</v>
      </c>
      <c r="L972" s="151">
        <v>303201</v>
      </c>
      <c r="M972" s="128">
        <v>0</v>
      </c>
      <c r="N972" s="127" t="s">
        <v>517</v>
      </c>
      <c r="O972" s="127" t="s">
        <v>457</v>
      </c>
      <c r="P972" s="128">
        <v>0</v>
      </c>
      <c r="Q972" s="128">
        <v>110.98</v>
      </c>
      <c r="R972" s="128">
        <v>0</v>
      </c>
      <c r="S972" s="128">
        <v>0</v>
      </c>
      <c r="T972" s="128">
        <v>0</v>
      </c>
      <c r="U972" s="128">
        <v>110.98</v>
      </c>
      <c r="V972" s="128">
        <v>0</v>
      </c>
      <c r="W972" s="128">
        <v>110.98</v>
      </c>
      <c r="X972" s="128">
        <v>0</v>
      </c>
      <c r="Y972" s="128">
        <v>0</v>
      </c>
      <c r="Z972" s="128">
        <v>0</v>
      </c>
      <c r="AA972" s="128">
        <v>110.98</v>
      </c>
      <c r="AB972" s="126">
        <f t="shared" si="108"/>
        <v>-1.1098000000000001E-5</v>
      </c>
      <c r="AC972" s="122" t="s">
        <v>1838</v>
      </c>
      <c r="AD972" s="123">
        <f t="shared" si="104"/>
        <v>1983.9723217250009</v>
      </c>
    </row>
    <row r="973" spans="1:30" ht="12.75" hidden="1" customHeight="1">
      <c r="A973" s="125" t="str">
        <f t="shared" si="105"/>
        <v>LIC172Unit Premium Reserve-GDP</v>
      </c>
      <c r="B973" s="125">
        <f>+IFERROR(VLOOKUP(L973,'TB mapping'!A:D,4,0),0)</f>
        <v>0</v>
      </c>
      <c r="C973" s="125">
        <f>+IFERROR(VLOOKUP(L973,'TB mapping'!A:C,3,0),0)</f>
        <v>0</v>
      </c>
      <c r="D973" s="125" t="str">
        <f t="shared" si="106"/>
        <v>LIC1720</v>
      </c>
      <c r="E973" s="125" t="str">
        <f t="shared" si="107"/>
        <v>LIC1720</v>
      </c>
      <c r="F973" s="158" t="str">
        <f>+VLOOKUP(H973,'code mapping'!A:C,3,0)</f>
        <v>LIC172</v>
      </c>
      <c r="G973" s="127" t="s">
        <v>453</v>
      </c>
      <c r="H973" s="127" t="s">
        <v>607</v>
      </c>
      <c r="I973" s="127" t="s">
        <v>608</v>
      </c>
      <c r="J973" s="128">
        <v>303000</v>
      </c>
      <c r="K973" s="127" t="s">
        <v>516</v>
      </c>
      <c r="L973" s="151">
        <v>303245</v>
      </c>
      <c r="M973" s="128">
        <v>0</v>
      </c>
      <c r="N973" s="127" t="s">
        <v>519</v>
      </c>
      <c r="O973" s="127" t="s">
        <v>457</v>
      </c>
      <c r="P973" s="128">
        <v>0</v>
      </c>
      <c r="Q973" s="128">
        <v>2.6</v>
      </c>
      <c r="R973" s="128">
        <v>0</v>
      </c>
      <c r="S973" s="128">
        <v>0</v>
      </c>
      <c r="T973" s="128">
        <v>0</v>
      </c>
      <c r="U973" s="128">
        <v>2.6</v>
      </c>
      <c r="V973" s="128">
        <v>0</v>
      </c>
      <c r="W973" s="128">
        <v>2.6</v>
      </c>
      <c r="X973" s="128">
        <v>0</v>
      </c>
      <c r="Y973" s="128">
        <v>0</v>
      </c>
      <c r="Z973" s="128">
        <v>0</v>
      </c>
      <c r="AA973" s="128">
        <v>2.6</v>
      </c>
      <c r="AB973" s="126">
        <f t="shared" si="108"/>
        <v>-2.6E-7</v>
      </c>
      <c r="AC973" s="122" t="s">
        <v>1838</v>
      </c>
      <c r="AD973" s="123">
        <f t="shared" si="104"/>
        <v>1983.9723217250009</v>
      </c>
    </row>
    <row r="974" spans="1:30" ht="12.75" hidden="1" customHeight="1">
      <c r="A974" s="125" t="str">
        <f t="shared" si="105"/>
        <v>LIC172Net Earnings</v>
      </c>
      <c r="B974" s="125">
        <f>+IFERROR(VLOOKUP(L974,'TB mapping'!A:D,4,0),0)</f>
        <v>0</v>
      </c>
      <c r="C974" s="125">
        <f>+IFERROR(VLOOKUP(L974,'TB mapping'!A:C,3,0),0)</f>
        <v>0</v>
      </c>
      <c r="D974" s="125" t="str">
        <f t="shared" si="106"/>
        <v>LIC1720</v>
      </c>
      <c r="E974" s="125" t="str">
        <f t="shared" si="107"/>
        <v>LIC1720</v>
      </c>
      <c r="F974" s="158" t="str">
        <f>+VLOOKUP(H974,'code mapping'!A:C,3,0)</f>
        <v>LIC172</v>
      </c>
      <c r="G974" s="127" t="s">
        <v>453</v>
      </c>
      <c r="H974" s="127" t="s">
        <v>607</v>
      </c>
      <c r="I974" s="127" t="s">
        <v>608</v>
      </c>
      <c r="J974" s="128">
        <v>303000</v>
      </c>
      <c r="K974" s="127" t="s">
        <v>516</v>
      </c>
      <c r="L974" s="151">
        <v>390000</v>
      </c>
      <c r="M974" s="128">
        <v>0</v>
      </c>
      <c r="N974" s="127" t="s">
        <v>521</v>
      </c>
      <c r="O974" s="127" t="s">
        <v>457</v>
      </c>
      <c r="P974" s="128">
        <v>0</v>
      </c>
      <c r="Q974" s="128">
        <v>37565858.640000001</v>
      </c>
      <c r="R974" s="128">
        <v>0</v>
      </c>
      <c r="S974" s="128">
        <v>0</v>
      </c>
      <c r="T974" s="128">
        <v>0</v>
      </c>
      <c r="U974" s="128">
        <v>37565858.640000001</v>
      </c>
      <c r="V974" s="128">
        <v>0</v>
      </c>
      <c r="W974" s="128">
        <v>37565858.640000001</v>
      </c>
      <c r="X974" s="128">
        <v>0</v>
      </c>
      <c r="Y974" s="128">
        <v>0</v>
      </c>
      <c r="Z974" s="128">
        <v>0</v>
      </c>
      <c r="AA974" s="128">
        <v>37565858.640000001</v>
      </c>
      <c r="AB974" s="126">
        <f t="shared" si="108"/>
        <v>-3.7565858640000003</v>
      </c>
      <c r="AC974" s="122" t="s">
        <v>1838</v>
      </c>
      <c r="AD974" s="123">
        <f t="shared" si="104"/>
        <v>1983.9723217250009</v>
      </c>
    </row>
    <row r="975" spans="1:30" ht="12.75" hidden="1" customHeight="1">
      <c r="A975" s="125" t="str">
        <f t="shared" si="105"/>
        <v>LIC172R/L G/P - Equities</v>
      </c>
      <c r="B975" s="125">
        <f>+IFERROR(VLOOKUP(L975,'TB mapping'!A:D,4,0),0)</f>
        <v>0</v>
      </c>
      <c r="C975" s="125">
        <f>+IFERROR(VLOOKUP(L975,'TB mapping'!A:C,3,0),0)</f>
        <v>5.3</v>
      </c>
      <c r="D975" s="125" t="str">
        <f t="shared" si="106"/>
        <v>LIC1720</v>
      </c>
      <c r="E975" s="125" t="str">
        <f t="shared" si="107"/>
        <v>LIC1725.3</v>
      </c>
      <c r="F975" s="158" t="str">
        <f>+VLOOKUP(H975,'code mapping'!A:C,3,0)</f>
        <v>LIC172</v>
      </c>
      <c r="G975" s="127" t="s">
        <v>453</v>
      </c>
      <c r="H975" s="127" t="s">
        <v>607</v>
      </c>
      <c r="I975" s="127" t="s">
        <v>608</v>
      </c>
      <c r="J975" s="128">
        <v>410000</v>
      </c>
      <c r="K975" s="127" t="s">
        <v>522</v>
      </c>
      <c r="L975" s="151">
        <v>411100</v>
      </c>
      <c r="M975" s="128">
        <v>0</v>
      </c>
      <c r="N975" s="127" t="s">
        <v>596</v>
      </c>
      <c r="O975" s="127" t="s">
        <v>457</v>
      </c>
      <c r="P975" s="128">
        <v>0</v>
      </c>
      <c r="Q975" s="128">
        <v>12515512.43</v>
      </c>
      <c r="R975" s="128">
        <v>0</v>
      </c>
      <c r="S975" s="128">
        <v>0</v>
      </c>
      <c r="T975" s="128">
        <v>0</v>
      </c>
      <c r="U975" s="128">
        <v>12515512.43</v>
      </c>
      <c r="V975" s="128">
        <v>0</v>
      </c>
      <c r="W975" s="128">
        <v>12515512.43</v>
      </c>
      <c r="X975" s="128">
        <v>0</v>
      </c>
      <c r="Y975" s="128">
        <v>0</v>
      </c>
      <c r="Z975" s="128">
        <v>0</v>
      </c>
      <c r="AA975" s="128">
        <v>12515512.43</v>
      </c>
      <c r="AB975" s="126">
        <f t="shared" si="108"/>
        <v>-1.251551243</v>
      </c>
      <c r="AC975" s="122" t="s">
        <v>1838</v>
      </c>
      <c r="AD975" s="123">
        <f>SUMIF(E:E,E975,AB:AB)</f>
        <v>-0.87063376000000003</v>
      </c>
    </row>
    <row r="976" spans="1:30" ht="12.75" hidden="1" customHeight="1">
      <c r="A976" s="125" t="str">
        <f t="shared" si="105"/>
        <v>LIC172UR/L G/P - Equities</v>
      </c>
      <c r="B976" s="125">
        <f>+IFERROR(VLOOKUP(L976,'TB mapping'!A:D,4,0),0)</f>
        <v>0</v>
      </c>
      <c r="C976" s="125" t="str">
        <f>+IFERROR(VLOOKUP(L976,'TB mapping'!A:C,3,0),0)</f>
        <v>Ignore</v>
      </c>
      <c r="D976" s="125" t="str">
        <f t="shared" si="106"/>
        <v>LIC1720</v>
      </c>
      <c r="E976" s="125" t="str">
        <f t="shared" si="107"/>
        <v>LIC172Ignore</v>
      </c>
      <c r="F976" s="158" t="str">
        <f>+VLOOKUP(H976,'code mapping'!A:C,3,0)</f>
        <v>LIC172</v>
      </c>
      <c r="G976" s="127" t="s">
        <v>453</v>
      </c>
      <c r="H976" s="127" t="s">
        <v>607</v>
      </c>
      <c r="I976" s="127" t="s">
        <v>608</v>
      </c>
      <c r="J976" s="128">
        <v>430000</v>
      </c>
      <c r="K976" s="127" t="s">
        <v>528</v>
      </c>
      <c r="L976" s="151">
        <v>431100</v>
      </c>
      <c r="M976" s="128">
        <v>0</v>
      </c>
      <c r="N976" s="127" t="s">
        <v>597</v>
      </c>
      <c r="O976" s="127" t="s">
        <v>457</v>
      </c>
      <c r="P976" s="128">
        <v>0</v>
      </c>
      <c r="Q976" s="128">
        <v>17471259.18</v>
      </c>
      <c r="R976" s="128">
        <v>0</v>
      </c>
      <c r="S976" s="128">
        <v>0</v>
      </c>
      <c r="T976" s="128">
        <v>0</v>
      </c>
      <c r="U976" s="128">
        <v>17471259.18</v>
      </c>
      <c r="V976" s="128">
        <v>0</v>
      </c>
      <c r="W976" s="128">
        <v>17471259.18</v>
      </c>
      <c r="X976" s="128">
        <v>0</v>
      </c>
      <c r="Y976" s="128">
        <v>0</v>
      </c>
      <c r="Z976" s="128">
        <v>0</v>
      </c>
      <c r="AA976" s="128">
        <v>17471259.18</v>
      </c>
      <c r="AB976" s="126">
        <f t="shared" si="108"/>
        <v>-1.7471259180000001</v>
      </c>
      <c r="AC976" s="122" t="s">
        <v>1838</v>
      </c>
      <c r="AD976" s="123">
        <f>SUMIF(C:C,C976,AB:AB)</f>
        <v>-291.7660984179999</v>
      </c>
    </row>
    <row r="977" spans="1:30" ht="12.75" hidden="1" customHeight="1">
      <c r="A977" s="125" t="str">
        <f t="shared" si="105"/>
        <v>LIC172UR/L G/P - Corp Bond/Debenture</v>
      </c>
      <c r="B977" s="125">
        <f>+IFERROR(VLOOKUP(L977,'TB mapping'!A:D,4,0),0)</f>
        <v>0</v>
      </c>
      <c r="C977" s="125" t="str">
        <f>+IFERROR(VLOOKUP(L977,'TB mapping'!A:C,3,0),0)</f>
        <v>Ignore</v>
      </c>
      <c r="D977" s="125" t="str">
        <f t="shared" si="106"/>
        <v>LIC1720</v>
      </c>
      <c r="E977" s="125" t="str">
        <f t="shared" si="107"/>
        <v>LIC172Ignore</v>
      </c>
      <c r="F977" s="158" t="str">
        <f>+VLOOKUP(H977,'code mapping'!A:C,3,0)</f>
        <v>LIC172</v>
      </c>
      <c r="G977" s="127" t="s">
        <v>453</v>
      </c>
      <c r="H977" s="127" t="s">
        <v>607</v>
      </c>
      <c r="I977" s="127" t="s">
        <v>608</v>
      </c>
      <c r="J977" s="128">
        <v>430000</v>
      </c>
      <c r="K977" s="127" t="s">
        <v>528</v>
      </c>
      <c r="L977" s="151">
        <v>432120</v>
      </c>
      <c r="M977" s="128">
        <v>0</v>
      </c>
      <c r="N977" s="127" t="s">
        <v>529</v>
      </c>
      <c r="O977" s="127" t="s">
        <v>457</v>
      </c>
      <c r="P977" s="128">
        <v>-950521</v>
      </c>
      <c r="Q977" s="128">
        <v>0</v>
      </c>
      <c r="R977" s="128">
        <v>0</v>
      </c>
      <c r="S977" s="128">
        <v>0</v>
      </c>
      <c r="T977" s="128">
        <v>-950521</v>
      </c>
      <c r="U977" s="128">
        <v>0</v>
      </c>
      <c r="V977" s="128">
        <v>-950521</v>
      </c>
      <c r="W977" s="128">
        <v>0</v>
      </c>
      <c r="X977" s="128">
        <v>0</v>
      </c>
      <c r="Y977" s="128">
        <v>0</v>
      </c>
      <c r="Z977" s="128">
        <v>-950521</v>
      </c>
      <c r="AA977" s="128">
        <v>0</v>
      </c>
      <c r="AB977" s="126">
        <f t="shared" si="108"/>
        <v>9.50521E-2</v>
      </c>
      <c r="AC977" s="122" t="s">
        <v>1838</v>
      </c>
      <c r="AD977" s="123">
        <f>SUMIF(C:C,C977,AB:AB)</f>
        <v>-291.7660984179999</v>
      </c>
    </row>
    <row r="978" spans="1:30" ht="12.75" hidden="1" customHeight="1">
      <c r="A978" s="125" t="str">
        <f t="shared" si="105"/>
        <v>LIC172UR/L G/P-ZCB</v>
      </c>
      <c r="B978" s="125">
        <f>+IFERROR(VLOOKUP(L978,'TB mapping'!A:D,4,0),0)</f>
        <v>0</v>
      </c>
      <c r="C978" s="125" t="str">
        <f>+IFERROR(VLOOKUP(L978,'TB mapping'!A:C,3,0),0)</f>
        <v>Ignore</v>
      </c>
      <c r="D978" s="125" t="str">
        <f t="shared" si="106"/>
        <v>LIC1720</v>
      </c>
      <c r="E978" s="125" t="str">
        <f t="shared" si="107"/>
        <v>LIC172Ignore</v>
      </c>
      <c r="F978" s="158" t="str">
        <f>+VLOOKUP(H978,'code mapping'!A:C,3,0)</f>
        <v>LIC172</v>
      </c>
      <c r="G978" s="127" t="s">
        <v>453</v>
      </c>
      <c r="H978" s="127" t="s">
        <v>607</v>
      </c>
      <c r="I978" s="127" t="s">
        <v>608</v>
      </c>
      <c r="J978" s="128">
        <v>430000</v>
      </c>
      <c r="K978" s="127" t="s">
        <v>528</v>
      </c>
      <c r="L978" s="151">
        <v>432145</v>
      </c>
      <c r="M978" s="128">
        <v>0</v>
      </c>
      <c r="N978" s="127" t="s">
        <v>612</v>
      </c>
      <c r="O978" s="127" t="s">
        <v>457</v>
      </c>
      <c r="P978" s="128">
        <v>-45335.55</v>
      </c>
      <c r="Q978" s="128">
        <v>0</v>
      </c>
      <c r="R978" s="128">
        <v>0</v>
      </c>
      <c r="S978" s="128">
        <v>0</v>
      </c>
      <c r="T978" s="128">
        <v>-45335.55</v>
      </c>
      <c r="U978" s="128">
        <v>0</v>
      </c>
      <c r="V978" s="128">
        <v>-45335.55</v>
      </c>
      <c r="W978" s="128">
        <v>0</v>
      </c>
      <c r="X978" s="128">
        <v>0</v>
      </c>
      <c r="Y978" s="128">
        <v>0</v>
      </c>
      <c r="Z978" s="128">
        <v>-45335.55</v>
      </c>
      <c r="AA978" s="128">
        <v>0</v>
      </c>
      <c r="AB978" s="126">
        <f t="shared" si="108"/>
        <v>4.5335549999999999E-3</v>
      </c>
      <c r="AC978" s="122" t="s">
        <v>1838</v>
      </c>
      <c r="AD978" s="123">
        <f>SUMIF(C:C,C978,AB:AB)</f>
        <v>-291.7660984179999</v>
      </c>
    </row>
    <row r="979" spans="1:30" ht="12.75" hidden="1" customHeight="1">
      <c r="A979" s="125" t="str">
        <f t="shared" si="105"/>
        <v>LIC172Dividend Income - Equities</v>
      </c>
      <c r="B979" s="125">
        <f>+IFERROR(VLOOKUP(L979,'TB mapping'!A:D,4,0),0)</f>
        <v>0</v>
      </c>
      <c r="C979" s="125">
        <f>+IFERROR(VLOOKUP(L979,'TB mapping'!A:C,3,0),0)</f>
        <v>5.0999999999999996</v>
      </c>
      <c r="D979" s="125" t="str">
        <f t="shared" si="106"/>
        <v>LIC1720</v>
      </c>
      <c r="E979" s="125" t="str">
        <f t="shared" si="107"/>
        <v>LIC1725.1</v>
      </c>
      <c r="F979" s="158" t="str">
        <f>+VLOOKUP(H979,'code mapping'!A:C,3,0)</f>
        <v>LIC172</v>
      </c>
      <c r="G979" s="127" t="s">
        <v>453</v>
      </c>
      <c r="H979" s="127" t="s">
        <v>607</v>
      </c>
      <c r="I979" s="127" t="s">
        <v>608</v>
      </c>
      <c r="J979" s="128">
        <v>450000</v>
      </c>
      <c r="K979" s="127" t="s">
        <v>532</v>
      </c>
      <c r="L979" s="151">
        <v>451100</v>
      </c>
      <c r="M979" s="128">
        <v>0</v>
      </c>
      <c r="N979" s="127" t="s">
        <v>598</v>
      </c>
      <c r="O979" s="127" t="s">
        <v>457</v>
      </c>
      <c r="P979" s="128">
        <v>0</v>
      </c>
      <c r="Q979" s="128">
        <v>1952585.7000000002</v>
      </c>
      <c r="R979" s="128">
        <v>0</v>
      </c>
      <c r="S979" s="128">
        <v>0</v>
      </c>
      <c r="T979" s="128">
        <v>0</v>
      </c>
      <c r="U979" s="128">
        <v>1952585.7000000002</v>
      </c>
      <c r="V979" s="128">
        <v>0</v>
      </c>
      <c r="W979" s="128">
        <v>1952585.7000000002</v>
      </c>
      <c r="X979" s="128">
        <v>0</v>
      </c>
      <c r="Y979" s="128">
        <v>0</v>
      </c>
      <c r="Z979" s="128">
        <v>0</v>
      </c>
      <c r="AA979" s="128">
        <v>1952585.7000000002</v>
      </c>
      <c r="AB979" s="126">
        <f t="shared" si="108"/>
        <v>-0.19525857000000002</v>
      </c>
      <c r="AC979" s="122" t="s">
        <v>1838</v>
      </c>
      <c r="AD979" s="123">
        <f t="shared" ref="AD979:AD1009" si="109">SUMIF(E:E,E979,AB:AB)</f>
        <v>-0.19525857000000002</v>
      </c>
    </row>
    <row r="980" spans="1:30" ht="12.75" hidden="1" customHeight="1">
      <c r="A980" s="125" t="str">
        <f t="shared" si="105"/>
        <v>LIC172Int Income - Corporate Bonds</v>
      </c>
      <c r="B980" s="125">
        <f>+IFERROR(VLOOKUP(L980,'TB mapping'!A:D,4,0),0)</f>
        <v>0</v>
      </c>
      <c r="C980" s="125">
        <f>+IFERROR(VLOOKUP(L980,'TB mapping'!A:C,3,0),0)</f>
        <v>5.2</v>
      </c>
      <c r="D980" s="125" t="str">
        <f t="shared" si="106"/>
        <v>LIC1720</v>
      </c>
      <c r="E980" s="125" t="str">
        <f t="shared" si="107"/>
        <v>LIC1725.2</v>
      </c>
      <c r="F980" s="158" t="str">
        <f>+VLOOKUP(H980,'code mapping'!A:C,3,0)</f>
        <v>LIC172</v>
      </c>
      <c r="G980" s="127" t="s">
        <v>453</v>
      </c>
      <c r="H980" s="127" t="s">
        <v>607</v>
      </c>
      <c r="I980" s="127" t="s">
        <v>608</v>
      </c>
      <c r="J980" s="128">
        <v>450000</v>
      </c>
      <c r="K980" s="127" t="s">
        <v>532</v>
      </c>
      <c r="L980" s="151">
        <v>452120</v>
      </c>
      <c r="M980" s="128">
        <v>0</v>
      </c>
      <c r="N980" s="127" t="s">
        <v>534</v>
      </c>
      <c r="O980" s="127" t="s">
        <v>457</v>
      </c>
      <c r="P980" s="128">
        <v>0</v>
      </c>
      <c r="Q980" s="128">
        <v>22450892.710000001</v>
      </c>
      <c r="R980" s="128">
        <v>0</v>
      </c>
      <c r="S980" s="128">
        <v>0</v>
      </c>
      <c r="T980" s="128">
        <v>0</v>
      </c>
      <c r="U980" s="128">
        <v>22450892.710000001</v>
      </c>
      <c r="V980" s="128">
        <v>0</v>
      </c>
      <c r="W980" s="128">
        <v>22450892.710000001</v>
      </c>
      <c r="X980" s="128">
        <v>0</v>
      </c>
      <c r="Y980" s="128">
        <v>0</v>
      </c>
      <c r="Z980" s="128">
        <v>0</v>
      </c>
      <c r="AA980" s="128">
        <v>22450892.710000001</v>
      </c>
      <c r="AB980" s="126">
        <f t="shared" si="108"/>
        <v>-2.2450892709999999</v>
      </c>
      <c r="AC980" s="122" t="s">
        <v>1838</v>
      </c>
      <c r="AD980" s="123">
        <f t="shared" si="109"/>
        <v>-2.9924254159999997</v>
      </c>
    </row>
    <row r="981" spans="1:30" ht="12.75" hidden="1" customHeight="1">
      <c r="A981" s="125" t="str">
        <f t="shared" si="105"/>
        <v>LIC172Amort. Income - ZCB</v>
      </c>
      <c r="B981" s="125">
        <f>+IFERROR(VLOOKUP(L981,'TB mapping'!A:D,4,0),0)</f>
        <v>0</v>
      </c>
      <c r="C981" s="125">
        <f>+IFERROR(VLOOKUP(L981,'TB mapping'!A:C,3,0),0)</f>
        <v>5.2</v>
      </c>
      <c r="D981" s="125" t="str">
        <f t="shared" si="106"/>
        <v>LIC1720</v>
      </c>
      <c r="E981" s="125" t="str">
        <f t="shared" si="107"/>
        <v>LIC1725.2</v>
      </c>
      <c r="F981" s="158" t="str">
        <f>+VLOOKUP(H981,'code mapping'!A:C,3,0)</f>
        <v>LIC172</v>
      </c>
      <c r="G981" s="127" t="s">
        <v>453</v>
      </c>
      <c r="H981" s="127" t="s">
        <v>607</v>
      </c>
      <c r="I981" s="127" t="s">
        <v>608</v>
      </c>
      <c r="J981" s="128">
        <v>450000</v>
      </c>
      <c r="K981" s="127" t="s">
        <v>532</v>
      </c>
      <c r="L981" s="151">
        <v>452145</v>
      </c>
      <c r="M981" s="128">
        <v>0</v>
      </c>
      <c r="N981" s="127" t="s">
        <v>613</v>
      </c>
      <c r="O981" s="127" t="s">
        <v>457</v>
      </c>
      <c r="P981" s="128">
        <v>0</v>
      </c>
      <c r="Q981" s="128">
        <v>6700119.2999999998</v>
      </c>
      <c r="R981" s="128">
        <v>0</v>
      </c>
      <c r="S981" s="128">
        <v>0</v>
      </c>
      <c r="T981" s="128">
        <v>0</v>
      </c>
      <c r="U981" s="128">
        <v>6700119.2999999998</v>
      </c>
      <c r="V981" s="128">
        <v>0</v>
      </c>
      <c r="W981" s="128">
        <v>6700119.2999999998</v>
      </c>
      <c r="X981" s="128">
        <v>0</v>
      </c>
      <c r="Y981" s="128">
        <v>0</v>
      </c>
      <c r="Z981" s="128">
        <v>0</v>
      </c>
      <c r="AA981" s="128">
        <v>6700119.2999999998</v>
      </c>
      <c r="AB981" s="126">
        <f t="shared" si="108"/>
        <v>-0.67001193000000003</v>
      </c>
      <c r="AC981" s="122" t="s">
        <v>1838</v>
      </c>
      <c r="AD981" s="123">
        <f t="shared" si="109"/>
        <v>-2.9924254159999997</v>
      </c>
    </row>
    <row r="982" spans="1:30" ht="12.75" hidden="1" customHeight="1">
      <c r="A982" s="125" t="str">
        <f t="shared" si="105"/>
        <v>LIC172Amort. Income - CBLO</v>
      </c>
      <c r="B982" s="125">
        <f>+IFERROR(VLOOKUP(L982,'TB mapping'!A:D,4,0),0)</f>
        <v>0</v>
      </c>
      <c r="C982" s="125">
        <f>+IFERROR(VLOOKUP(L982,'TB mapping'!A:C,3,0),0)</f>
        <v>5.2</v>
      </c>
      <c r="D982" s="125" t="str">
        <f t="shared" si="106"/>
        <v>LIC1720</v>
      </c>
      <c r="E982" s="125" t="str">
        <f t="shared" si="107"/>
        <v>LIC1725.2</v>
      </c>
      <c r="F982" s="158" t="str">
        <f>+VLOOKUP(H982,'code mapping'!A:C,3,0)</f>
        <v>LIC172</v>
      </c>
      <c r="G982" s="127" t="s">
        <v>453</v>
      </c>
      <c r="H982" s="127" t="s">
        <v>607</v>
      </c>
      <c r="I982" s="127" t="s">
        <v>608</v>
      </c>
      <c r="J982" s="128">
        <v>450000</v>
      </c>
      <c r="K982" s="127" t="s">
        <v>532</v>
      </c>
      <c r="L982" s="151">
        <v>452228</v>
      </c>
      <c r="M982" s="128">
        <v>0</v>
      </c>
      <c r="N982" s="127" t="s">
        <v>537</v>
      </c>
      <c r="O982" s="127" t="s">
        <v>457</v>
      </c>
      <c r="P982" s="128">
        <v>0</v>
      </c>
      <c r="Q982" s="128">
        <v>773242.15</v>
      </c>
      <c r="R982" s="128">
        <v>0</v>
      </c>
      <c r="S982" s="128">
        <v>0</v>
      </c>
      <c r="T982" s="128">
        <v>0</v>
      </c>
      <c r="U982" s="128">
        <v>773242.15</v>
      </c>
      <c r="V982" s="128">
        <v>0</v>
      </c>
      <c r="W982" s="128">
        <v>773242.15</v>
      </c>
      <c r="X982" s="128">
        <v>0</v>
      </c>
      <c r="Y982" s="128">
        <v>0</v>
      </c>
      <c r="Z982" s="128">
        <v>0</v>
      </c>
      <c r="AA982" s="128">
        <v>773242.15</v>
      </c>
      <c r="AB982" s="126">
        <f t="shared" si="108"/>
        <v>-7.7324215000000002E-2</v>
      </c>
      <c r="AC982" s="122" t="s">
        <v>1838</v>
      </c>
      <c r="AD982" s="123">
        <f t="shared" si="109"/>
        <v>-2.9924254159999997</v>
      </c>
    </row>
    <row r="983" spans="1:30" ht="12.75" hidden="1" customHeight="1">
      <c r="A983" s="125" t="str">
        <f t="shared" si="105"/>
        <v>LIC172Other Income</v>
      </c>
      <c r="B983" s="125">
        <f>+IFERROR(VLOOKUP(L983,'TB mapping'!A:D,4,0),0)</f>
        <v>0</v>
      </c>
      <c r="C983" s="125">
        <f>+IFERROR(VLOOKUP(L983,'TB mapping'!A:C,3,0),0)</f>
        <v>5.5</v>
      </c>
      <c r="D983" s="125" t="str">
        <f t="shared" si="106"/>
        <v>LIC1720</v>
      </c>
      <c r="E983" s="125" t="str">
        <f t="shared" si="107"/>
        <v>LIC1725.5</v>
      </c>
      <c r="F983" s="158" t="str">
        <f>+VLOOKUP(H983,'code mapping'!A:C,3,0)</f>
        <v>LIC172</v>
      </c>
      <c r="G983" s="127" t="s">
        <v>453</v>
      </c>
      <c r="H983" s="127" t="s">
        <v>607</v>
      </c>
      <c r="I983" s="127" t="s">
        <v>608</v>
      </c>
      <c r="J983" s="128">
        <v>460000</v>
      </c>
      <c r="K983" s="127" t="s">
        <v>539</v>
      </c>
      <c r="L983" s="151">
        <v>460000</v>
      </c>
      <c r="M983" s="128">
        <v>0</v>
      </c>
      <c r="N983" s="127" t="s">
        <v>541</v>
      </c>
      <c r="O983" s="127" t="s">
        <v>457</v>
      </c>
      <c r="P983" s="128">
        <v>-1171.3399999999999</v>
      </c>
      <c r="Q983" s="128">
        <v>0</v>
      </c>
      <c r="R983" s="128">
        <v>0</v>
      </c>
      <c r="S983" s="128">
        <v>0</v>
      </c>
      <c r="T983" s="128">
        <v>-1171.3399999999999</v>
      </c>
      <c r="U983" s="128">
        <v>0</v>
      </c>
      <c r="V983" s="128">
        <v>-1171.3399999999999</v>
      </c>
      <c r="W983" s="128">
        <v>0</v>
      </c>
      <c r="X983" s="128">
        <v>0</v>
      </c>
      <c r="Y983" s="128">
        <v>0</v>
      </c>
      <c r="Z983" s="128">
        <v>-1171.3399999999999</v>
      </c>
      <c r="AA983" s="128">
        <v>0</v>
      </c>
      <c r="AB983" s="126">
        <f t="shared" si="108"/>
        <v>1.1713399999999999E-4</v>
      </c>
      <c r="AC983" s="122" t="s">
        <v>1838</v>
      </c>
      <c r="AD983" s="123">
        <f t="shared" si="109"/>
        <v>1.1713399999999999E-4</v>
      </c>
    </row>
    <row r="984" spans="1:30" ht="12.75" hidden="1" customHeight="1">
      <c r="A984" s="125" t="str">
        <f t="shared" si="105"/>
        <v>LIC172Interplan Adjustment- RG</v>
      </c>
      <c r="B984" s="125">
        <f>+IFERROR(VLOOKUP(L984,'TB mapping'!A:D,4,0),0)</f>
        <v>0</v>
      </c>
      <c r="C984" s="125">
        <f>+IFERROR(VLOOKUP(L984,'TB mapping'!A:C,3,0),0)</f>
        <v>5.5</v>
      </c>
      <c r="D984" s="125" t="str">
        <f t="shared" si="106"/>
        <v>LIC1720</v>
      </c>
      <c r="E984" s="125" t="str">
        <f t="shared" si="107"/>
        <v>LIC1725.5</v>
      </c>
      <c r="F984" s="158" t="str">
        <f>+VLOOKUP(H984,'code mapping'!A:C,3,0)</f>
        <v>LIC172</v>
      </c>
      <c r="G984" s="127" t="s">
        <v>453</v>
      </c>
      <c r="H984" s="127" t="s">
        <v>607</v>
      </c>
      <c r="I984" s="127" t="s">
        <v>608</v>
      </c>
      <c r="J984" s="128">
        <v>460000</v>
      </c>
      <c r="K984" s="127" t="s">
        <v>539</v>
      </c>
      <c r="L984" s="151">
        <v>460101</v>
      </c>
      <c r="M984" s="128">
        <v>0</v>
      </c>
      <c r="N984" s="127" t="s">
        <v>542</v>
      </c>
      <c r="O984" s="127" t="s">
        <v>457</v>
      </c>
      <c r="P984" s="128">
        <v>0</v>
      </c>
      <c r="Q984" s="128">
        <v>0.02</v>
      </c>
      <c r="R984" s="128">
        <v>0</v>
      </c>
      <c r="S984" s="128">
        <v>0</v>
      </c>
      <c r="T984" s="128">
        <v>0</v>
      </c>
      <c r="U984" s="128">
        <v>0.02</v>
      </c>
      <c r="V984" s="128">
        <v>0</v>
      </c>
      <c r="W984" s="128">
        <v>0.02</v>
      </c>
      <c r="X984" s="128">
        <v>0</v>
      </c>
      <c r="Y984" s="128">
        <v>0</v>
      </c>
      <c r="Z984" s="128">
        <v>0</v>
      </c>
      <c r="AA984" s="128">
        <v>0.02</v>
      </c>
      <c r="AB984" s="126">
        <f t="shared" si="108"/>
        <v>-2.0000000000000001E-9</v>
      </c>
      <c r="AC984" s="122" t="s">
        <v>1838</v>
      </c>
      <c r="AD984" s="123">
        <f t="shared" si="109"/>
        <v>1.1713399999999999E-4</v>
      </c>
    </row>
    <row r="985" spans="1:30" ht="12.75" hidden="1" customHeight="1">
      <c r="A985" s="125" t="str">
        <f t="shared" si="105"/>
        <v>LIC172Interplan Adjustment- DDP</v>
      </c>
      <c r="B985" s="125">
        <f>+IFERROR(VLOOKUP(L985,'TB mapping'!A:D,4,0),0)</f>
        <v>0</v>
      </c>
      <c r="C985" s="125">
        <f>+IFERROR(VLOOKUP(L985,'TB mapping'!A:C,3,0),0)</f>
        <v>5.5</v>
      </c>
      <c r="D985" s="125" t="str">
        <f t="shared" si="106"/>
        <v>LIC1720</v>
      </c>
      <c r="E985" s="125" t="str">
        <f t="shared" si="107"/>
        <v>LIC1725.5</v>
      </c>
      <c r="F985" s="158" t="str">
        <f>+VLOOKUP(H985,'code mapping'!A:C,3,0)</f>
        <v>LIC172</v>
      </c>
      <c r="G985" s="127" t="s">
        <v>453</v>
      </c>
      <c r="H985" s="127" t="s">
        <v>607</v>
      </c>
      <c r="I985" s="127" t="s">
        <v>608</v>
      </c>
      <c r="J985" s="128">
        <v>460000</v>
      </c>
      <c r="K985" s="127" t="s">
        <v>539</v>
      </c>
      <c r="L985" s="151">
        <v>460144</v>
      </c>
      <c r="M985" s="128">
        <v>0</v>
      </c>
      <c r="N985" s="127" t="s">
        <v>545</v>
      </c>
      <c r="O985" s="127" t="s">
        <v>457</v>
      </c>
      <c r="P985" s="128">
        <v>-0.02</v>
      </c>
      <c r="Q985" s="128">
        <v>0</v>
      </c>
      <c r="R985" s="128">
        <v>0</v>
      </c>
      <c r="S985" s="128">
        <v>0</v>
      </c>
      <c r="T985" s="128">
        <v>-0.02</v>
      </c>
      <c r="U985" s="128">
        <v>0</v>
      </c>
      <c r="V985" s="128">
        <v>-0.02</v>
      </c>
      <c r="W985" s="128">
        <v>0</v>
      </c>
      <c r="X985" s="128">
        <v>0</v>
      </c>
      <c r="Y985" s="128">
        <v>0</v>
      </c>
      <c r="Z985" s="128">
        <v>-0.02</v>
      </c>
      <c r="AA985" s="128">
        <v>0</v>
      </c>
      <c r="AB985" s="126">
        <f t="shared" si="108"/>
        <v>2.0000000000000001E-9</v>
      </c>
      <c r="AC985" s="122" t="s">
        <v>1838</v>
      </c>
      <c r="AD985" s="123">
        <f t="shared" si="109"/>
        <v>1.1713399999999999E-4</v>
      </c>
    </row>
    <row r="986" spans="1:30" ht="12.75" hidden="1" customHeight="1">
      <c r="A986" s="125" t="str">
        <f t="shared" si="105"/>
        <v>LIC172R/L L/P - Equities</v>
      </c>
      <c r="B986" s="125">
        <f>+IFERROR(VLOOKUP(L986,'TB mapping'!A:D,4,0),0)</f>
        <v>0</v>
      </c>
      <c r="C986" s="125">
        <f>+IFERROR(VLOOKUP(L986,'TB mapping'!A:C,3,0),0)</f>
        <v>5.3</v>
      </c>
      <c r="D986" s="125" t="str">
        <f t="shared" si="106"/>
        <v>LIC1720</v>
      </c>
      <c r="E986" s="125" t="str">
        <f t="shared" si="107"/>
        <v>LIC1725.3</v>
      </c>
      <c r="F986" s="158" t="str">
        <f>+VLOOKUP(H986,'code mapping'!A:C,3,0)</f>
        <v>LIC172</v>
      </c>
      <c r="G986" s="127" t="s">
        <v>453</v>
      </c>
      <c r="H986" s="127" t="s">
        <v>607</v>
      </c>
      <c r="I986" s="127" t="s">
        <v>608</v>
      </c>
      <c r="J986" s="128">
        <v>510000</v>
      </c>
      <c r="K986" s="127" t="s">
        <v>546</v>
      </c>
      <c r="L986" s="151">
        <v>511100</v>
      </c>
      <c r="M986" s="128">
        <v>0</v>
      </c>
      <c r="N986" s="127" t="s">
        <v>599</v>
      </c>
      <c r="O986" s="127" t="s">
        <v>457</v>
      </c>
      <c r="P986" s="128">
        <v>-3809174.83</v>
      </c>
      <c r="Q986" s="128">
        <v>0</v>
      </c>
      <c r="R986" s="128">
        <v>0</v>
      </c>
      <c r="S986" s="128">
        <v>0</v>
      </c>
      <c r="T986" s="128">
        <v>-3809174.83</v>
      </c>
      <c r="U986" s="128">
        <v>0</v>
      </c>
      <c r="V986" s="128">
        <v>-3809174.83</v>
      </c>
      <c r="W986" s="128">
        <v>0</v>
      </c>
      <c r="X986" s="128">
        <v>0</v>
      </c>
      <c r="Y986" s="128">
        <v>0</v>
      </c>
      <c r="Z986" s="128">
        <v>-3809174.83</v>
      </c>
      <c r="AA986" s="128">
        <v>0</v>
      </c>
      <c r="AB986" s="126">
        <f t="shared" si="108"/>
        <v>0.380917483</v>
      </c>
      <c r="AC986" s="122" t="s">
        <v>1838</v>
      </c>
      <c r="AD986" s="123">
        <f t="shared" si="109"/>
        <v>-0.87063376000000003</v>
      </c>
    </row>
    <row r="987" spans="1:30" ht="12.75" hidden="1" customHeight="1">
      <c r="A987" s="125" t="str">
        <f t="shared" si="105"/>
        <v>LIC172SEBI Fees</v>
      </c>
      <c r="B987" s="125">
        <f>+IFERROR(VLOOKUP(L987,'TB mapping'!A:D,4,0),0)</f>
        <v>0</v>
      </c>
      <c r="C987" s="125">
        <f>+IFERROR(VLOOKUP(L987,'TB mapping'!A:C,3,0),0)</f>
        <v>6.3</v>
      </c>
      <c r="D987" s="125" t="str">
        <f t="shared" si="106"/>
        <v>LIC1720</v>
      </c>
      <c r="E987" s="125" t="str">
        <f t="shared" si="107"/>
        <v>LIC1726.3</v>
      </c>
      <c r="F987" s="158" t="str">
        <f>+VLOOKUP(H987,'code mapping'!A:C,3,0)</f>
        <v>LIC172</v>
      </c>
      <c r="G987" s="127" t="s">
        <v>453</v>
      </c>
      <c r="H987" s="127" t="s">
        <v>607</v>
      </c>
      <c r="I987" s="127" t="s">
        <v>608</v>
      </c>
      <c r="J987" s="128">
        <v>550000</v>
      </c>
      <c r="K987" s="127" t="s">
        <v>550</v>
      </c>
      <c r="L987" s="151">
        <v>553007</v>
      </c>
      <c r="M987" s="128">
        <v>0</v>
      </c>
      <c r="N987" s="127" t="s">
        <v>551</v>
      </c>
      <c r="O987" s="127" t="s">
        <v>457</v>
      </c>
      <c r="P987" s="128">
        <v>-6031.47</v>
      </c>
      <c r="Q987" s="128">
        <v>0</v>
      </c>
      <c r="R987" s="128">
        <v>0</v>
      </c>
      <c r="S987" s="128">
        <v>0</v>
      </c>
      <c r="T987" s="128">
        <v>-6031.47</v>
      </c>
      <c r="U987" s="128">
        <v>0</v>
      </c>
      <c r="V987" s="128">
        <v>-6031.47</v>
      </c>
      <c r="W987" s="128">
        <v>0</v>
      </c>
      <c r="X987" s="128">
        <v>0</v>
      </c>
      <c r="Y987" s="128">
        <v>0</v>
      </c>
      <c r="Z987" s="128">
        <v>-6031.47</v>
      </c>
      <c r="AA987" s="128">
        <v>0</v>
      </c>
      <c r="AB987" s="126">
        <f t="shared" si="108"/>
        <v>6.0314700000000006E-4</v>
      </c>
      <c r="AC987" s="122" t="s">
        <v>1838</v>
      </c>
      <c r="AD987" s="123">
        <f t="shared" si="109"/>
        <v>1.0656308230000002</v>
      </c>
    </row>
    <row r="988" spans="1:30" ht="12.75" hidden="1" customHeight="1">
      <c r="A988" s="125" t="str">
        <f t="shared" si="105"/>
        <v>LIC172Audit Fee</v>
      </c>
      <c r="B988" s="125">
        <f>+IFERROR(VLOOKUP(L988,'TB mapping'!A:D,4,0),0)</f>
        <v>0</v>
      </c>
      <c r="C988" s="125">
        <f>+IFERROR(VLOOKUP(L988,'TB mapping'!A:C,3,0),0)</f>
        <v>6.3</v>
      </c>
      <c r="D988" s="125" t="str">
        <f t="shared" si="106"/>
        <v>LIC1720</v>
      </c>
      <c r="E988" s="125" t="str">
        <f t="shared" si="107"/>
        <v>LIC1726.3</v>
      </c>
      <c r="F988" s="158" t="str">
        <f>+VLOOKUP(H988,'code mapping'!A:C,3,0)</f>
        <v>LIC172</v>
      </c>
      <c r="G988" s="127" t="s">
        <v>453</v>
      </c>
      <c r="H988" s="127" t="s">
        <v>607</v>
      </c>
      <c r="I988" s="127" t="s">
        <v>608</v>
      </c>
      <c r="J988" s="128">
        <v>550000</v>
      </c>
      <c r="K988" s="127" t="s">
        <v>550</v>
      </c>
      <c r="L988" s="151">
        <v>553105</v>
      </c>
      <c r="M988" s="128">
        <v>0</v>
      </c>
      <c r="N988" s="127" t="s">
        <v>552</v>
      </c>
      <c r="O988" s="127" t="s">
        <v>457</v>
      </c>
      <c r="P988" s="128">
        <v>-10753.65</v>
      </c>
      <c r="Q988" s="128">
        <v>0</v>
      </c>
      <c r="R988" s="128">
        <v>0</v>
      </c>
      <c r="S988" s="128">
        <v>0</v>
      </c>
      <c r="T988" s="128">
        <v>-10753.65</v>
      </c>
      <c r="U988" s="128">
        <v>0</v>
      </c>
      <c r="V988" s="128">
        <v>-10753.65</v>
      </c>
      <c r="W988" s="128">
        <v>0</v>
      </c>
      <c r="X988" s="128">
        <v>0</v>
      </c>
      <c r="Y988" s="128">
        <v>0</v>
      </c>
      <c r="Z988" s="128">
        <v>-10753.65</v>
      </c>
      <c r="AA988" s="128">
        <v>0</v>
      </c>
      <c r="AB988" s="126">
        <f t="shared" si="108"/>
        <v>1.075365E-3</v>
      </c>
      <c r="AC988" s="122" t="s">
        <v>1838</v>
      </c>
      <c r="AD988" s="123">
        <f t="shared" si="109"/>
        <v>1.0656308230000002</v>
      </c>
    </row>
    <row r="989" spans="1:30" ht="12.75" hidden="1" customHeight="1">
      <c r="A989" s="125" t="str">
        <f t="shared" si="105"/>
        <v>LIC172Custody Fee</v>
      </c>
      <c r="B989" s="125">
        <f>+IFERROR(VLOOKUP(L989,'TB mapping'!A:D,4,0),0)</f>
        <v>0</v>
      </c>
      <c r="C989" s="125">
        <f>+IFERROR(VLOOKUP(L989,'TB mapping'!A:C,3,0),0)</f>
        <v>6.3</v>
      </c>
      <c r="D989" s="125" t="str">
        <f t="shared" si="106"/>
        <v>LIC1720</v>
      </c>
      <c r="E989" s="125" t="str">
        <f t="shared" si="107"/>
        <v>LIC1726.3</v>
      </c>
      <c r="F989" s="158" t="str">
        <f>+VLOOKUP(H989,'code mapping'!A:C,3,0)</f>
        <v>LIC172</v>
      </c>
      <c r="G989" s="127" t="s">
        <v>453</v>
      </c>
      <c r="H989" s="127" t="s">
        <v>607</v>
      </c>
      <c r="I989" s="127" t="s">
        <v>608</v>
      </c>
      <c r="J989" s="128">
        <v>550000</v>
      </c>
      <c r="K989" s="127" t="s">
        <v>550</v>
      </c>
      <c r="L989" s="151">
        <v>553107</v>
      </c>
      <c r="M989" s="128">
        <v>0</v>
      </c>
      <c r="N989" s="127" t="s">
        <v>553</v>
      </c>
      <c r="O989" s="127" t="s">
        <v>457</v>
      </c>
      <c r="P989" s="128">
        <v>-50682.06</v>
      </c>
      <c r="Q989" s="128">
        <v>0</v>
      </c>
      <c r="R989" s="128">
        <v>0</v>
      </c>
      <c r="S989" s="128">
        <v>0</v>
      </c>
      <c r="T989" s="128">
        <v>-50682.06</v>
      </c>
      <c r="U989" s="128">
        <v>0</v>
      </c>
      <c r="V989" s="128">
        <v>-50682.06</v>
      </c>
      <c r="W989" s="128">
        <v>0</v>
      </c>
      <c r="X989" s="128">
        <v>0</v>
      </c>
      <c r="Y989" s="128">
        <v>0</v>
      </c>
      <c r="Z989" s="128">
        <v>-50682.06</v>
      </c>
      <c r="AA989" s="128">
        <v>0</v>
      </c>
      <c r="AB989" s="126">
        <f t="shared" si="108"/>
        <v>5.0682059999999996E-3</v>
      </c>
      <c r="AC989" s="122" t="s">
        <v>1838</v>
      </c>
      <c r="AD989" s="123">
        <f t="shared" si="109"/>
        <v>1.0656308230000002</v>
      </c>
    </row>
    <row r="990" spans="1:30" ht="12.75" hidden="1" customHeight="1">
      <c r="A990" s="125" t="str">
        <f t="shared" si="105"/>
        <v>LIC172Expense Allocation Account</v>
      </c>
      <c r="B990" s="125">
        <f>+IFERROR(VLOOKUP(L990,'TB mapping'!A:D,4,0),0)</f>
        <v>0</v>
      </c>
      <c r="C990" s="125">
        <f>+IFERROR(VLOOKUP(L990,'TB mapping'!A:C,3,0),0)</f>
        <v>6.3</v>
      </c>
      <c r="D990" s="125" t="str">
        <f t="shared" si="106"/>
        <v>LIC1720</v>
      </c>
      <c r="E990" s="125" t="str">
        <f t="shared" si="107"/>
        <v>LIC1726.3</v>
      </c>
      <c r="F990" s="158" t="str">
        <f>+VLOOKUP(H990,'code mapping'!A:C,3,0)</f>
        <v>LIC172</v>
      </c>
      <c r="G990" s="127" t="s">
        <v>453</v>
      </c>
      <c r="H990" s="127" t="s">
        <v>607</v>
      </c>
      <c r="I990" s="127" t="s">
        <v>608</v>
      </c>
      <c r="J990" s="128">
        <v>550000</v>
      </c>
      <c r="K990" s="127" t="s">
        <v>550</v>
      </c>
      <c r="L990" s="151">
        <v>553111</v>
      </c>
      <c r="M990" s="128">
        <v>0</v>
      </c>
      <c r="N990" s="127" t="s">
        <v>554</v>
      </c>
      <c r="O990" s="127" t="s">
        <v>457</v>
      </c>
      <c r="P990" s="128">
        <v>0</v>
      </c>
      <c r="Q990" s="128">
        <v>175466.13</v>
      </c>
      <c r="R990" s="128">
        <v>0</v>
      </c>
      <c r="S990" s="128">
        <v>0</v>
      </c>
      <c r="T990" s="128">
        <v>0</v>
      </c>
      <c r="U990" s="128">
        <v>175466.13</v>
      </c>
      <c r="V990" s="128">
        <v>0</v>
      </c>
      <c r="W990" s="128">
        <v>175466.13</v>
      </c>
      <c r="X990" s="128">
        <v>0</v>
      </c>
      <c r="Y990" s="128">
        <v>0</v>
      </c>
      <c r="Z990" s="128">
        <v>0</v>
      </c>
      <c r="AA990" s="128">
        <v>175466.13</v>
      </c>
      <c r="AB990" s="126">
        <f t="shared" si="108"/>
        <v>-1.7546612999999999E-2</v>
      </c>
      <c r="AC990" s="122" t="s">
        <v>1838</v>
      </c>
      <c r="AD990" s="123">
        <f t="shared" si="109"/>
        <v>1.0656308230000002</v>
      </c>
    </row>
    <row r="991" spans="1:30" ht="12.75" hidden="1" customHeight="1">
      <c r="A991" s="125" t="str">
        <f t="shared" si="105"/>
        <v>LIC172Trustee Fee</v>
      </c>
      <c r="B991" s="125">
        <f>+IFERROR(VLOOKUP(L991,'TB mapping'!A:D,4,0),0)</f>
        <v>6.2</v>
      </c>
      <c r="C991" s="125">
        <f>+IFERROR(VLOOKUP(L991,'TB mapping'!A:C,3,0),0)</f>
        <v>6.3</v>
      </c>
      <c r="D991" s="125" t="str">
        <f t="shared" si="106"/>
        <v>LIC1726.2</v>
      </c>
      <c r="E991" s="125" t="str">
        <f t="shared" si="107"/>
        <v>LIC1726.3</v>
      </c>
      <c r="F991" s="158" t="str">
        <f>+VLOOKUP(H991,'code mapping'!A:C,3,0)</f>
        <v>LIC172</v>
      </c>
      <c r="G991" s="127" t="s">
        <v>453</v>
      </c>
      <c r="H991" s="127" t="s">
        <v>607</v>
      </c>
      <c r="I991" s="127" t="s">
        <v>608</v>
      </c>
      <c r="J991" s="128">
        <v>550000</v>
      </c>
      <c r="K991" s="127" t="s">
        <v>550</v>
      </c>
      <c r="L991" s="151">
        <v>553131</v>
      </c>
      <c r="M991" s="128">
        <v>0</v>
      </c>
      <c r="N991" s="127" t="s">
        <v>555</v>
      </c>
      <c r="O991" s="127" t="s">
        <v>457</v>
      </c>
      <c r="P991" s="128">
        <v>-4997.5600000000004</v>
      </c>
      <c r="Q991" s="128">
        <v>0</v>
      </c>
      <c r="R991" s="128">
        <v>0</v>
      </c>
      <c r="S991" s="128">
        <v>0</v>
      </c>
      <c r="T991" s="128">
        <v>-4997.5600000000004</v>
      </c>
      <c r="U991" s="128">
        <v>0</v>
      </c>
      <c r="V991" s="128">
        <v>-4997.5600000000004</v>
      </c>
      <c r="W991" s="128">
        <v>0</v>
      </c>
      <c r="X991" s="128">
        <v>0</v>
      </c>
      <c r="Y991" s="128">
        <v>0</v>
      </c>
      <c r="Z991" s="128">
        <v>-4997.5600000000004</v>
      </c>
      <c r="AA991" s="128">
        <v>0</v>
      </c>
      <c r="AB991" s="126">
        <f t="shared" si="108"/>
        <v>4.9975600000000007E-4</v>
      </c>
      <c r="AC991" s="122" t="s">
        <v>1838</v>
      </c>
      <c r="AD991" s="123">
        <f t="shared" si="109"/>
        <v>1.0656308230000002</v>
      </c>
    </row>
    <row r="992" spans="1:30" ht="12.75" hidden="1" customHeight="1">
      <c r="A992" s="125" t="str">
        <f t="shared" si="105"/>
        <v>LIC172Investor Education Fund Exps</v>
      </c>
      <c r="B992" s="125">
        <f>+IFERROR(VLOOKUP(L992,'TB mapping'!A:D,4,0),0)</f>
        <v>0</v>
      </c>
      <c r="C992" s="125">
        <f>+IFERROR(VLOOKUP(L992,'TB mapping'!A:C,3,0),0)</f>
        <v>6.3</v>
      </c>
      <c r="D992" s="125" t="str">
        <f t="shared" si="106"/>
        <v>LIC1720</v>
      </c>
      <c r="E992" s="125" t="str">
        <f t="shared" si="107"/>
        <v>LIC1726.3</v>
      </c>
      <c r="F992" s="158" t="str">
        <f>+VLOOKUP(H992,'code mapping'!A:C,3,0)</f>
        <v>LIC172</v>
      </c>
      <c r="G992" s="127" t="s">
        <v>453</v>
      </c>
      <c r="H992" s="127" t="s">
        <v>607</v>
      </c>
      <c r="I992" s="127" t="s">
        <v>608</v>
      </c>
      <c r="J992" s="128">
        <v>550000</v>
      </c>
      <c r="K992" s="127" t="s">
        <v>550</v>
      </c>
      <c r="L992" s="151">
        <v>553171</v>
      </c>
      <c r="M992" s="128">
        <v>0</v>
      </c>
      <c r="N992" s="127" t="s">
        <v>557</v>
      </c>
      <c r="O992" s="127" t="s">
        <v>457</v>
      </c>
      <c r="P992" s="128">
        <v>-51832.66</v>
      </c>
      <c r="Q992" s="128">
        <v>0</v>
      </c>
      <c r="R992" s="128">
        <v>0</v>
      </c>
      <c r="S992" s="128">
        <v>0</v>
      </c>
      <c r="T992" s="128">
        <v>-51832.66</v>
      </c>
      <c r="U992" s="128">
        <v>0</v>
      </c>
      <c r="V992" s="128">
        <v>-51832.66</v>
      </c>
      <c r="W992" s="128">
        <v>0</v>
      </c>
      <c r="X992" s="128">
        <v>0</v>
      </c>
      <c r="Y992" s="128">
        <v>0</v>
      </c>
      <c r="Z992" s="128">
        <v>-51832.66</v>
      </c>
      <c r="AA992" s="128">
        <v>0</v>
      </c>
      <c r="AB992" s="126">
        <f t="shared" si="108"/>
        <v>5.1832660000000006E-3</v>
      </c>
      <c r="AC992" s="122" t="s">
        <v>1838</v>
      </c>
      <c r="AD992" s="123">
        <f t="shared" si="109"/>
        <v>1.0656308230000002</v>
      </c>
    </row>
    <row r="993" spans="1:30" ht="12.75" hidden="1" customHeight="1">
      <c r="A993" s="125" t="str">
        <f t="shared" si="105"/>
        <v>LIC172Service Tax on Management Fees</v>
      </c>
      <c r="B993" s="125">
        <f>+IFERROR(VLOOKUP(L993,'TB mapping'!A:D,4,0),0)</f>
        <v>6.1</v>
      </c>
      <c r="C993" s="125">
        <f>+IFERROR(VLOOKUP(L993,'TB mapping'!A:C,3,0),0)</f>
        <v>6.3</v>
      </c>
      <c r="D993" s="125" t="str">
        <f t="shared" si="106"/>
        <v>LIC1726.1</v>
      </c>
      <c r="E993" s="125" t="str">
        <f t="shared" si="107"/>
        <v>LIC1726.3</v>
      </c>
      <c r="F993" s="158" t="str">
        <f>+VLOOKUP(H993,'code mapping'!A:C,3,0)</f>
        <v>LIC172</v>
      </c>
      <c r="G993" s="127" t="s">
        <v>453</v>
      </c>
      <c r="H993" s="127" t="s">
        <v>607</v>
      </c>
      <c r="I993" s="127" t="s">
        <v>608</v>
      </c>
      <c r="J993" s="128">
        <v>550000</v>
      </c>
      <c r="K993" s="127" t="s">
        <v>550</v>
      </c>
      <c r="L993" s="151">
        <v>553172</v>
      </c>
      <c r="M993" s="128">
        <v>0</v>
      </c>
      <c r="N993" s="127" t="s">
        <v>558</v>
      </c>
      <c r="O993" s="127" t="s">
        <v>457</v>
      </c>
      <c r="P993" s="128">
        <v>-182099.91</v>
      </c>
      <c r="Q993" s="128">
        <v>0</v>
      </c>
      <c r="R993" s="128">
        <v>0</v>
      </c>
      <c r="S993" s="128">
        <v>0</v>
      </c>
      <c r="T993" s="128">
        <v>-182099.91</v>
      </c>
      <c r="U993" s="128">
        <v>0</v>
      </c>
      <c r="V993" s="128">
        <v>-182099.91</v>
      </c>
      <c r="W993" s="128">
        <v>0</v>
      </c>
      <c r="X993" s="128">
        <v>0</v>
      </c>
      <c r="Y993" s="128">
        <v>0</v>
      </c>
      <c r="Z993" s="128">
        <v>-182099.91</v>
      </c>
      <c r="AA993" s="128">
        <v>0</v>
      </c>
      <c r="AB993" s="126">
        <f t="shared" si="108"/>
        <v>1.8209991000000002E-2</v>
      </c>
      <c r="AC993" s="122" t="s">
        <v>1838</v>
      </c>
      <c r="AD993" s="123">
        <f t="shared" si="109"/>
        <v>1.0656308230000002</v>
      </c>
    </row>
    <row r="994" spans="1:30" ht="12.75" hidden="1" customHeight="1">
      <c r="A994" s="125" t="str">
        <f t="shared" si="105"/>
        <v>LIC172CCIL Expenses</v>
      </c>
      <c r="B994" s="125">
        <f>+IFERROR(VLOOKUP(L994,'TB mapping'!A:D,4,0),0)</f>
        <v>0</v>
      </c>
      <c r="C994" s="125">
        <f>+IFERROR(VLOOKUP(L994,'TB mapping'!A:C,3,0),0)</f>
        <v>6.3</v>
      </c>
      <c r="D994" s="125" t="str">
        <f t="shared" si="106"/>
        <v>LIC1720</v>
      </c>
      <c r="E994" s="125" t="str">
        <f t="shared" si="107"/>
        <v>LIC1726.3</v>
      </c>
      <c r="F994" s="158" t="str">
        <f>+VLOOKUP(H994,'code mapping'!A:C,3,0)</f>
        <v>LIC172</v>
      </c>
      <c r="G994" s="127" t="s">
        <v>453</v>
      </c>
      <c r="H994" s="127" t="s">
        <v>607</v>
      </c>
      <c r="I994" s="127" t="s">
        <v>608</v>
      </c>
      <c r="J994" s="128">
        <v>550000</v>
      </c>
      <c r="K994" s="127" t="s">
        <v>550</v>
      </c>
      <c r="L994" s="151">
        <v>553176</v>
      </c>
      <c r="M994" s="128">
        <v>0</v>
      </c>
      <c r="N994" s="127" t="s">
        <v>559</v>
      </c>
      <c r="O994" s="127" t="s">
        <v>457</v>
      </c>
      <c r="P994" s="128">
        <v>-3503.46</v>
      </c>
      <c r="Q994" s="128">
        <v>0</v>
      </c>
      <c r="R994" s="128">
        <v>0</v>
      </c>
      <c r="S994" s="128">
        <v>0</v>
      </c>
      <c r="T994" s="128">
        <v>-3503.46</v>
      </c>
      <c r="U994" s="128">
        <v>0</v>
      </c>
      <c r="V994" s="128">
        <v>-3503.46</v>
      </c>
      <c r="W994" s="128">
        <v>0</v>
      </c>
      <c r="X994" s="128">
        <v>0</v>
      </c>
      <c r="Y994" s="128">
        <v>0</v>
      </c>
      <c r="Z994" s="128">
        <v>-3503.46</v>
      </c>
      <c r="AA994" s="128">
        <v>0</v>
      </c>
      <c r="AB994" s="126">
        <f t="shared" si="108"/>
        <v>3.5034600000000002E-4</v>
      </c>
      <c r="AC994" s="122" t="s">
        <v>1838</v>
      </c>
      <c r="AD994" s="123">
        <f t="shared" si="109"/>
        <v>1.0656308230000002</v>
      </c>
    </row>
    <row r="995" spans="1:30" ht="12.75" hidden="1" customHeight="1">
      <c r="A995" s="125" t="str">
        <f t="shared" si="105"/>
        <v>LIC172Out of Pocket Expenses - R&amp;T</v>
      </c>
      <c r="B995" s="125">
        <f>+IFERROR(VLOOKUP(L995,'TB mapping'!A:D,4,0),0)</f>
        <v>0</v>
      </c>
      <c r="C995" s="125">
        <f>+IFERROR(VLOOKUP(L995,'TB mapping'!A:C,3,0),0)</f>
        <v>6.3</v>
      </c>
      <c r="D995" s="125" t="str">
        <f t="shared" si="106"/>
        <v>LIC1720</v>
      </c>
      <c r="E995" s="125" t="str">
        <f t="shared" si="107"/>
        <v>LIC1726.3</v>
      </c>
      <c r="F995" s="158" t="str">
        <f>+VLOOKUP(H995,'code mapping'!A:C,3,0)</f>
        <v>LIC172</v>
      </c>
      <c r="G995" s="127" t="s">
        <v>453</v>
      </c>
      <c r="H995" s="127" t="s">
        <v>607</v>
      </c>
      <c r="I995" s="127" t="s">
        <v>608</v>
      </c>
      <c r="J995" s="128">
        <v>550000</v>
      </c>
      <c r="K995" s="127" t="s">
        <v>550</v>
      </c>
      <c r="L995" s="151">
        <v>553180</v>
      </c>
      <c r="M995" s="128">
        <v>0</v>
      </c>
      <c r="N995" s="127" t="s">
        <v>560</v>
      </c>
      <c r="O995" s="127" t="s">
        <v>457</v>
      </c>
      <c r="P995" s="128">
        <v>-10856.33</v>
      </c>
      <c r="Q995" s="128">
        <v>0</v>
      </c>
      <c r="R995" s="128">
        <v>0</v>
      </c>
      <c r="S995" s="128">
        <v>0</v>
      </c>
      <c r="T995" s="128">
        <v>-10856.33</v>
      </c>
      <c r="U995" s="128">
        <v>0</v>
      </c>
      <c r="V995" s="128">
        <v>-10856.33</v>
      </c>
      <c r="W995" s="128">
        <v>0</v>
      </c>
      <c r="X995" s="128">
        <v>0</v>
      </c>
      <c r="Y995" s="128">
        <v>0</v>
      </c>
      <c r="Z995" s="128">
        <v>-10856.33</v>
      </c>
      <c r="AA995" s="128">
        <v>0</v>
      </c>
      <c r="AB995" s="126">
        <f t="shared" si="108"/>
        <v>1.0856329999999999E-3</v>
      </c>
      <c r="AC995" s="122" t="s">
        <v>1838</v>
      </c>
      <c r="AD995" s="123">
        <f t="shared" si="109"/>
        <v>1.0656308230000002</v>
      </c>
    </row>
    <row r="996" spans="1:30" ht="12.75" hidden="1" customHeight="1">
      <c r="A996" s="125" t="str">
        <f t="shared" si="105"/>
        <v>LIC172Other Expenses</v>
      </c>
      <c r="B996" s="125">
        <f>+IFERROR(VLOOKUP(L996,'TB mapping'!A:D,4,0),0)</f>
        <v>0</v>
      </c>
      <c r="C996" s="125">
        <f>+IFERROR(VLOOKUP(L996,'TB mapping'!A:C,3,0),0)</f>
        <v>6.3</v>
      </c>
      <c r="D996" s="125" t="str">
        <f t="shared" si="106"/>
        <v>LIC1720</v>
      </c>
      <c r="E996" s="125" t="str">
        <f t="shared" si="107"/>
        <v>LIC1726.3</v>
      </c>
      <c r="F996" s="158" t="str">
        <f>+VLOOKUP(H996,'code mapping'!A:C,3,0)</f>
        <v>LIC172</v>
      </c>
      <c r="G996" s="127" t="s">
        <v>453</v>
      </c>
      <c r="H996" s="127" t="s">
        <v>607</v>
      </c>
      <c r="I996" s="127" t="s">
        <v>608</v>
      </c>
      <c r="J996" s="128">
        <v>550000</v>
      </c>
      <c r="K996" s="127" t="s">
        <v>550</v>
      </c>
      <c r="L996" s="151">
        <v>553190</v>
      </c>
      <c r="M996" s="128">
        <v>0</v>
      </c>
      <c r="N996" s="127" t="s">
        <v>561</v>
      </c>
      <c r="O996" s="127" t="s">
        <v>457</v>
      </c>
      <c r="P996" s="128">
        <v>-118394.78</v>
      </c>
      <c r="Q996" s="128">
        <v>0</v>
      </c>
      <c r="R996" s="128">
        <v>0</v>
      </c>
      <c r="S996" s="128">
        <v>0</v>
      </c>
      <c r="T996" s="128">
        <v>-118394.78</v>
      </c>
      <c r="U996" s="128">
        <v>0</v>
      </c>
      <c r="V996" s="128">
        <v>-118394.78</v>
      </c>
      <c r="W996" s="128">
        <v>0</v>
      </c>
      <c r="X996" s="128">
        <v>0</v>
      </c>
      <c r="Y996" s="128">
        <v>0</v>
      </c>
      <c r="Z996" s="128">
        <v>-118394.78</v>
      </c>
      <c r="AA996" s="128">
        <v>0</v>
      </c>
      <c r="AB996" s="126">
        <f t="shared" si="108"/>
        <v>1.1839478000000001E-2</v>
      </c>
      <c r="AC996" s="122" t="s">
        <v>1838</v>
      </c>
      <c r="AD996" s="123">
        <f t="shared" si="109"/>
        <v>1.0656308230000002</v>
      </c>
    </row>
    <row r="997" spans="1:30" ht="12.75" hidden="1" customHeight="1">
      <c r="A997" s="125" t="str">
        <f t="shared" si="105"/>
        <v>LIC172Other Expenses-RG</v>
      </c>
      <c r="B997" s="125">
        <f>+IFERROR(VLOOKUP(L997,'TB mapping'!A:D,4,0),0)</f>
        <v>0</v>
      </c>
      <c r="C997" s="125">
        <f>+IFERROR(VLOOKUP(L997,'TB mapping'!A:C,3,0),0)</f>
        <v>6.3</v>
      </c>
      <c r="D997" s="125" t="str">
        <f t="shared" si="106"/>
        <v>LIC1720</v>
      </c>
      <c r="E997" s="125" t="str">
        <f t="shared" si="107"/>
        <v>LIC1726.3</v>
      </c>
      <c r="F997" s="158" t="str">
        <f>+VLOOKUP(H997,'code mapping'!A:C,3,0)</f>
        <v>LIC172</v>
      </c>
      <c r="G997" s="127" t="s">
        <v>453</v>
      </c>
      <c r="H997" s="127" t="s">
        <v>607</v>
      </c>
      <c r="I997" s="127" t="s">
        <v>608</v>
      </c>
      <c r="J997" s="128">
        <v>550000</v>
      </c>
      <c r="K997" s="127" t="s">
        <v>550</v>
      </c>
      <c r="L997" s="151">
        <v>553191</v>
      </c>
      <c r="M997" s="128">
        <v>0</v>
      </c>
      <c r="N997" s="127" t="s">
        <v>562</v>
      </c>
      <c r="O997" s="127" t="s">
        <v>457</v>
      </c>
      <c r="P997" s="128">
        <v>-229913.97</v>
      </c>
      <c r="Q997" s="128">
        <v>0</v>
      </c>
      <c r="R997" s="128">
        <v>0</v>
      </c>
      <c r="S997" s="128">
        <v>0</v>
      </c>
      <c r="T997" s="128">
        <v>-229913.97</v>
      </c>
      <c r="U997" s="128">
        <v>0</v>
      </c>
      <c r="V997" s="128">
        <v>-229913.97</v>
      </c>
      <c r="W997" s="128">
        <v>0</v>
      </c>
      <c r="X997" s="128">
        <v>0</v>
      </c>
      <c r="Y997" s="128">
        <v>0</v>
      </c>
      <c r="Z997" s="128">
        <v>-229913.97</v>
      </c>
      <c r="AA997" s="128">
        <v>0</v>
      </c>
      <c r="AB997" s="126">
        <f t="shared" si="108"/>
        <v>2.2991397E-2</v>
      </c>
      <c r="AC997" s="122" t="s">
        <v>1838</v>
      </c>
      <c r="AD997" s="123">
        <f t="shared" si="109"/>
        <v>1.0656308230000002</v>
      </c>
    </row>
    <row r="998" spans="1:30" ht="12.75" hidden="1" customHeight="1">
      <c r="A998" s="125" t="str">
        <f t="shared" si="105"/>
        <v>LIC172Other Expenses-RD</v>
      </c>
      <c r="B998" s="125">
        <f>+IFERROR(VLOOKUP(L998,'TB mapping'!A:D,4,0),0)</f>
        <v>0</v>
      </c>
      <c r="C998" s="125">
        <f>+IFERROR(VLOOKUP(L998,'TB mapping'!A:C,3,0),0)</f>
        <v>6.3</v>
      </c>
      <c r="D998" s="125" t="str">
        <f t="shared" si="106"/>
        <v>LIC1720</v>
      </c>
      <c r="E998" s="125" t="str">
        <f t="shared" si="107"/>
        <v>LIC1726.3</v>
      </c>
      <c r="F998" s="158" t="str">
        <f>+VLOOKUP(H998,'code mapping'!A:C,3,0)</f>
        <v>LIC172</v>
      </c>
      <c r="G998" s="127" t="s">
        <v>453</v>
      </c>
      <c r="H998" s="127" t="s">
        <v>607</v>
      </c>
      <c r="I998" s="127" t="s">
        <v>608</v>
      </c>
      <c r="J998" s="128">
        <v>550000</v>
      </c>
      <c r="K998" s="127" t="s">
        <v>550</v>
      </c>
      <c r="L998" s="151">
        <v>553192</v>
      </c>
      <c r="M998" s="128">
        <v>0</v>
      </c>
      <c r="N998" s="127" t="s">
        <v>563</v>
      </c>
      <c r="O998" s="127" t="s">
        <v>457</v>
      </c>
      <c r="P998" s="128">
        <v>-7699.41</v>
      </c>
      <c r="Q998" s="128">
        <v>0</v>
      </c>
      <c r="R998" s="128">
        <v>0</v>
      </c>
      <c r="S998" s="128">
        <v>0</v>
      </c>
      <c r="T998" s="128">
        <v>-7699.41</v>
      </c>
      <c r="U998" s="128">
        <v>0</v>
      </c>
      <c r="V998" s="128">
        <v>-7699.41</v>
      </c>
      <c r="W998" s="128">
        <v>0</v>
      </c>
      <c r="X998" s="128">
        <v>0</v>
      </c>
      <c r="Y998" s="128">
        <v>0</v>
      </c>
      <c r="Z998" s="128">
        <v>-7699.41</v>
      </c>
      <c r="AA998" s="128">
        <v>0</v>
      </c>
      <c r="AB998" s="126">
        <f t="shared" si="108"/>
        <v>7.6994100000000001E-4</v>
      </c>
      <c r="AC998" s="122" t="s">
        <v>1838</v>
      </c>
      <c r="AD998" s="123">
        <f t="shared" si="109"/>
        <v>1.0656308230000002</v>
      </c>
    </row>
    <row r="999" spans="1:30" ht="12.75" hidden="1" customHeight="1">
      <c r="A999" s="125" t="str">
        <f t="shared" si="105"/>
        <v>LIC172Other Exp - Brok - Indirect</v>
      </c>
      <c r="B999" s="125">
        <f>+IFERROR(VLOOKUP(L999,'TB mapping'!A:D,4,0),0)</f>
        <v>0</v>
      </c>
      <c r="C999" s="125">
        <f>+IFERROR(VLOOKUP(L999,'TB mapping'!A:C,3,0),0)</f>
        <v>6.3</v>
      </c>
      <c r="D999" s="125" t="str">
        <f t="shared" si="106"/>
        <v>LIC1720</v>
      </c>
      <c r="E999" s="125" t="str">
        <f t="shared" si="107"/>
        <v>LIC1726.3</v>
      </c>
      <c r="F999" s="158" t="str">
        <f>+VLOOKUP(H999,'code mapping'!A:C,3,0)</f>
        <v>LIC172</v>
      </c>
      <c r="G999" s="127" t="s">
        <v>453</v>
      </c>
      <c r="H999" s="127" t="s">
        <v>607</v>
      </c>
      <c r="I999" s="127" t="s">
        <v>608</v>
      </c>
      <c r="J999" s="128">
        <v>550000</v>
      </c>
      <c r="K999" s="127" t="s">
        <v>550</v>
      </c>
      <c r="L999" s="151">
        <v>553202</v>
      </c>
      <c r="M999" s="128">
        <v>0</v>
      </c>
      <c r="N999" s="127" t="s">
        <v>564</v>
      </c>
      <c r="O999" s="127" t="s">
        <v>457</v>
      </c>
      <c r="P999" s="128">
        <v>-2041518.79</v>
      </c>
      <c r="Q999" s="128">
        <v>0</v>
      </c>
      <c r="R999" s="128">
        <v>0</v>
      </c>
      <c r="S999" s="128">
        <v>0</v>
      </c>
      <c r="T999" s="128">
        <v>-2041518.79</v>
      </c>
      <c r="U999" s="128">
        <v>0</v>
      </c>
      <c r="V999" s="128">
        <v>-2041518.79</v>
      </c>
      <c r="W999" s="128">
        <v>0</v>
      </c>
      <c r="X999" s="128">
        <v>0</v>
      </c>
      <c r="Y999" s="128">
        <v>0</v>
      </c>
      <c r="Z999" s="128">
        <v>-2041518.79</v>
      </c>
      <c r="AA999" s="128">
        <v>0</v>
      </c>
      <c r="AB999" s="126">
        <f t="shared" si="108"/>
        <v>0.20415187900000001</v>
      </c>
      <c r="AC999" s="122" t="s">
        <v>1838</v>
      </c>
      <c r="AD999" s="123">
        <f t="shared" si="109"/>
        <v>1.0656308230000002</v>
      </c>
    </row>
    <row r="1000" spans="1:30" ht="12.75" hidden="1" customHeight="1">
      <c r="A1000" s="125" t="str">
        <f t="shared" si="105"/>
        <v>LIC172Brokerage/Dist Exps</v>
      </c>
      <c r="B1000" s="125">
        <f>+IFERROR(VLOOKUP(L1000,'TB mapping'!A:D,4,0),0)</f>
        <v>0</v>
      </c>
      <c r="C1000" s="125">
        <f>+IFERROR(VLOOKUP(L1000,'TB mapping'!A:C,3,0),0)</f>
        <v>6.3</v>
      </c>
      <c r="D1000" s="125" t="str">
        <f t="shared" si="106"/>
        <v>LIC1720</v>
      </c>
      <c r="E1000" s="125" t="str">
        <f t="shared" si="107"/>
        <v>LIC1726.3</v>
      </c>
      <c r="F1000" s="158" t="str">
        <f>+VLOOKUP(H1000,'code mapping'!A:C,3,0)</f>
        <v>LIC172</v>
      </c>
      <c r="G1000" s="127" t="s">
        <v>453</v>
      </c>
      <c r="H1000" s="127" t="s">
        <v>607</v>
      </c>
      <c r="I1000" s="127" t="s">
        <v>608</v>
      </c>
      <c r="J1000" s="128">
        <v>550000</v>
      </c>
      <c r="K1000" s="127" t="s">
        <v>550</v>
      </c>
      <c r="L1000" s="151">
        <v>553208</v>
      </c>
      <c r="M1000" s="128">
        <v>0</v>
      </c>
      <c r="N1000" s="127" t="s">
        <v>565</v>
      </c>
      <c r="O1000" s="127" t="s">
        <v>457</v>
      </c>
      <c r="P1000" s="128">
        <v>0</v>
      </c>
      <c r="Q1000" s="128">
        <v>1152227.47</v>
      </c>
      <c r="R1000" s="128">
        <v>0</v>
      </c>
      <c r="S1000" s="128">
        <v>0</v>
      </c>
      <c r="T1000" s="128">
        <v>0</v>
      </c>
      <c r="U1000" s="128">
        <v>1152227.47</v>
      </c>
      <c r="V1000" s="128">
        <v>0</v>
      </c>
      <c r="W1000" s="128">
        <v>1152227.47</v>
      </c>
      <c r="X1000" s="128">
        <v>0</v>
      </c>
      <c r="Y1000" s="128">
        <v>0</v>
      </c>
      <c r="Z1000" s="128">
        <v>0</v>
      </c>
      <c r="AA1000" s="128">
        <v>1152227.47</v>
      </c>
      <c r="AB1000" s="126">
        <f t="shared" si="108"/>
        <v>-0.115222747</v>
      </c>
      <c r="AC1000" s="122" t="s">
        <v>1838</v>
      </c>
      <c r="AD1000" s="123">
        <f t="shared" si="109"/>
        <v>1.0656308230000002</v>
      </c>
    </row>
    <row r="1001" spans="1:30" ht="12.75" hidden="1" customHeight="1">
      <c r="A1001" s="125" t="str">
        <f t="shared" si="105"/>
        <v>LIC172Internal Audit Fee</v>
      </c>
      <c r="B1001" s="125">
        <f>+IFERROR(VLOOKUP(L1001,'TB mapping'!A:D,4,0),0)</f>
        <v>0</v>
      </c>
      <c r="C1001" s="125">
        <f>+IFERROR(VLOOKUP(L1001,'TB mapping'!A:C,3,0),0)</f>
        <v>6.3</v>
      </c>
      <c r="D1001" s="125" t="str">
        <f t="shared" si="106"/>
        <v>LIC1720</v>
      </c>
      <c r="E1001" s="125" t="str">
        <f t="shared" si="107"/>
        <v>LIC1726.3</v>
      </c>
      <c r="F1001" s="158" t="str">
        <f>+VLOOKUP(H1001,'code mapping'!A:C,3,0)</f>
        <v>LIC172</v>
      </c>
      <c r="G1001" s="127" t="s">
        <v>453</v>
      </c>
      <c r="H1001" s="127" t="s">
        <v>607</v>
      </c>
      <c r="I1001" s="127" t="s">
        <v>608</v>
      </c>
      <c r="J1001" s="128">
        <v>550000</v>
      </c>
      <c r="K1001" s="127" t="s">
        <v>550</v>
      </c>
      <c r="L1001" s="151">
        <v>553213</v>
      </c>
      <c r="M1001" s="128">
        <v>0</v>
      </c>
      <c r="N1001" s="127" t="s">
        <v>566</v>
      </c>
      <c r="O1001" s="127" t="s">
        <v>457</v>
      </c>
      <c r="P1001" s="128">
        <v>-8523.2199999999993</v>
      </c>
      <c r="Q1001" s="128">
        <v>0</v>
      </c>
      <c r="R1001" s="128">
        <v>0</v>
      </c>
      <c r="S1001" s="128">
        <v>0</v>
      </c>
      <c r="T1001" s="128">
        <v>-8523.2199999999993</v>
      </c>
      <c r="U1001" s="128">
        <v>0</v>
      </c>
      <c r="V1001" s="128">
        <v>-8523.2199999999993</v>
      </c>
      <c r="W1001" s="128">
        <v>0</v>
      </c>
      <c r="X1001" s="128">
        <v>0</v>
      </c>
      <c r="Y1001" s="128">
        <v>0</v>
      </c>
      <c r="Z1001" s="128">
        <v>-8523.2199999999993</v>
      </c>
      <c r="AA1001" s="128">
        <v>0</v>
      </c>
      <c r="AB1001" s="126">
        <f t="shared" si="108"/>
        <v>8.5232199999999998E-4</v>
      </c>
      <c r="AC1001" s="122" t="s">
        <v>1838</v>
      </c>
      <c r="AD1001" s="123">
        <f t="shared" si="109"/>
        <v>1.0656308230000002</v>
      </c>
    </row>
    <row r="1002" spans="1:30" ht="12.75" hidden="1" customHeight="1">
      <c r="A1002" s="125" t="str">
        <f t="shared" si="105"/>
        <v>LIC172Other Expenses-GDP</v>
      </c>
      <c r="B1002" s="125">
        <f>+IFERROR(VLOOKUP(L1002,'TB mapping'!A:D,4,0),0)</f>
        <v>0</v>
      </c>
      <c r="C1002" s="125">
        <f>+IFERROR(VLOOKUP(L1002,'TB mapping'!A:C,3,0),0)</f>
        <v>6.3</v>
      </c>
      <c r="D1002" s="125" t="str">
        <f t="shared" si="106"/>
        <v>LIC1720</v>
      </c>
      <c r="E1002" s="125" t="str">
        <f t="shared" si="107"/>
        <v>LIC1726.3</v>
      </c>
      <c r="F1002" s="158" t="str">
        <f>+VLOOKUP(H1002,'code mapping'!A:C,3,0)</f>
        <v>LIC172</v>
      </c>
      <c r="G1002" s="127" t="s">
        <v>453</v>
      </c>
      <c r="H1002" s="127" t="s">
        <v>607</v>
      </c>
      <c r="I1002" s="127" t="s">
        <v>608</v>
      </c>
      <c r="J1002" s="128">
        <v>550000</v>
      </c>
      <c r="K1002" s="127" t="s">
        <v>550</v>
      </c>
      <c r="L1002" s="151">
        <v>553329</v>
      </c>
      <c r="M1002" s="128">
        <v>0</v>
      </c>
      <c r="N1002" s="127" t="s">
        <v>567</v>
      </c>
      <c r="O1002" s="127" t="s">
        <v>457</v>
      </c>
      <c r="P1002" s="128">
        <v>-114056.71</v>
      </c>
      <c r="Q1002" s="128">
        <v>0</v>
      </c>
      <c r="R1002" s="128">
        <v>0</v>
      </c>
      <c r="S1002" s="128">
        <v>0</v>
      </c>
      <c r="T1002" s="128">
        <v>-114056.71</v>
      </c>
      <c r="U1002" s="128">
        <v>0</v>
      </c>
      <c r="V1002" s="128">
        <v>-114056.71</v>
      </c>
      <c r="W1002" s="128">
        <v>0</v>
      </c>
      <c r="X1002" s="128">
        <v>0</v>
      </c>
      <c r="Y1002" s="128">
        <v>0</v>
      </c>
      <c r="Z1002" s="128">
        <v>-114056.71</v>
      </c>
      <c r="AA1002" s="128">
        <v>0</v>
      </c>
      <c r="AB1002" s="126">
        <f t="shared" si="108"/>
        <v>1.1405671000000001E-2</v>
      </c>
      <c r="AC1002" s="122" t="s">
        <v>1838</v>
      </c>
      <c r="AD1002" s="123">
        <f t="shared" si="109"/>
        <v>1.0656308230000002</v>
      </c>
    </row>
    <row r="1003" spans="1:30" ht="12.75" hidden="1" customHeight="1">
      <c r="A1003" s="125" t="str">
        <f t="shared" si="105"/>
        <v>LIC172Other Expenses-DDP</v>
      </c>
      <c r="B1003" s="125">
        <f>+IFERROR(VLOOKUP(L1003,'TB mapping'!A:D,4,0),0)</f>
        <v>0</v>
      </c>
      <c r="C1003" s="125">
        <f>+IFERROR(VLOOKUP(L1003,'TB mapping'!A:C,3,0),0)</f>
        <v>6.3</v>
      </c>
      <c r="D1003" s="125" t="str">
        <f t="shared" si="106"/>
        <v>LIC1720</v>
      </c>
      <c r="E1003" s="125" t="str">
        <f t="shared" si="107"/>
        <v>LIC1726.3</v>
      </c>
      <c r="F1003" s="158" t="str">
        <f>+VLOOKUP(H1003,'code mapping'!A:C,3,0)</f>
        <v>LIC172</v>
      </c>
      <c r="G1003" s="127" t="s">
        <v>453</v>
      </c>
      <c r="H1003" s="127" t="s">
        <v>607</v>
      </c>
      <c r="I1003" s="127" t="s">
        <v>608</v>
      </c>
      <c r="J1003" s="128">
        <v>550000</v>
      </c>
      <c r="K1003" s="127" t="s">
        <v>550</v>
      </c>
      <c r="L1003" s="151">
        <v>553330</v>
      </c>
      <c r="M1003" s="128">
        <v>0</v>
      </c>
      <c r="N1003" s="127" t="s">
        <v>568</v>
      </c>
      <c r="O1003" s="127" t="s">
        <v>457</v>
      </c>
      <c r="P1003" s="128">
        <v>-387.87</v>
      </c>
      <c r="Q1003" s="128">
        <v>0</v>
      </c>
      <c r="R1003" s="128">
        <v>0</v>
      </c>
      <c r="S1003" s="128">
        <v>0</v>
      </c>
      <c r="T1003" s="128">
        <v>-387.87</v>
      </c>
      <c r="U1003" s="128">
        <v>0</v>
      </c>
      <c r="V1003" s="128">
        <v>-387.87</v>
      </c>
      <c r="W1003" s="128">
        <v>0</v>
      </c>
      <c r="X1003" s="128">
        <v>0</v>
      </c>
      <c r="Y1003" s="128">
        <v>0</v>
      </c>
      <c r="Z1003" s="128">
        <v>-387.87</v>
      </c>
      <c r="AA1003" s="128">
        <v>0</v>
      </c>
      <c r="AB1003" s="126">
        <f t="shared" si="108"/>
        <v>3.8787E-5</v>
      </c>
      <c r="AC1003" s="122" t="s">
        <v>1838</v>
      </c>
      <c r="AD1003" s="123">
        <f t="shared" si="109"/>
        <v>1.0656308230000002</v>
      </c>
    </row>
    <row r="1004" spans="1:30" ht="12.75" hidden="1" customHeight="1">
      <c r="A1004" s="125" t="str">
        <f t="shared" si="105"/>
        <v>LIC172Inv Educ Fund Expense - Amfi</v>
      </c>
      <c r="B1004" s="125">
        <f>+IFERROR(VLOOKUP(L1004,'TB mapping'!A:D,4,0),0)</f>
        <v>0</v>
      </c>
      <c r="C1004" s="125">
        <f>+IFERROR(VLOOKUP(L1004,'TB mapping'!A:C,3,0),0)</f>
        <v>6.3</v>
      </c>
      <c r="D1004" s="125" t="str">
        <f t="shared" si="106"/>
        <v>LIC1720</v>
      </c>
      <c r="E1004" s="125" t="str">
        <f t="shared" si="107"/>
        <v>LIC1726.3</v>
      </c>
      <c r="F1004" s="158" t="str">
        <f>+VLOOKUP(H1004,'code mapping'!A:C,3,0)</f>
        <v>LIC172</v>
      </c>
      <c r="G1004" s="127" t="s">
        <v>453</v>
      </c>
      <c r="H1004" s="127" t="s">
        <v>607</v>
      </c>
      <c r="I1004" s="127" t="s">
        <v>608</v>
      </c>
      <c r="J1004" s="128">
        <v>550000</v>
      </c>
      <c r="K1004" s="127" t="s">
        <v>550</v>
      </c>
      <c r="L1004" s="151">
        <v>554526</v>
      </c>
      <c r="M1004" s="128">
        <v>0</v>
      </c>
      <c r="N1004" s="127" t="s">
        <v>569</v>
      </c>
      <c r="O1004" s="127" t="s">
        <v>457</v>
      </c>
      <c r="P1004" s="128">
        <v>-51832.66</v>
      </c>
      <c r="Q1004" s="128">
        <v>0</v>
      </c>
      <c r="R1004" s="128">
        <v>0</v>
      </c>
      <c r="S1004" s="128">
        <v>0</v>
      </c>
      <c r="T1004" s="128">
        <v>-51832.66</v>
      </c>
      <c r="U1004" s="128">
        <v>0</v>
      </c>
      <c r="V1004" s="128">
        <v>-51832.66</v>
      </c>
      <c r="W1004" s="128">
        <v>0</v>
      </c>
      <c r="X1004" s="128">
        <v>0</v>
      </c>
      <c r="Y1004" s="128">
        <v>0</v>
      </c>
      <c r="Z1004" s="128">
        <v>-51832.66</v>
      </c>
      <c r="AA1004" s="128">
        <v>0</v>
      </c>
      <c r="AB1004" s="126">
        <f t="shared" si="108"/>
        <v>5.1832660000000006E-3</v>
      </c>
      <c r="AC1004" s="122" t="s">
        <v>1838</v>
      </c>
      <c r="AD1004" s="123">
        <f t="shared" si="109"/>
        <v>1.0656308230000002</v>
      </c>
    </row>
    <row r="1005" spans="1:30" ht="12.75" hidden="1" customHeight="1">
      <c r="A1005" s="125" t="str">
        <f t="shared" si="105"/>
        <v>LIC172Client Servicing Expenes</v>
      </c>
      <c r="B1005" s="125">
        <f>+IFERROR(VLOOKUP(L1005,'TB mapping'!A:D,4,0),0)</f>
        <v>0</v>
      </c>
      <c r="C1005" s="125">
        <f>+IFERROR(VLOOKUP(L1005,'TB mapping'!A:C,3,0),0)</f>
        <v>6.3</v>
      </c>
      <c r="D1005" s="125" t="str">
        <f t="shared" si="106"/>
        <v>LIC1720</v>
      </c>
      <c r="E1005" s="125" t="str">
        <f t="shared" si="107"/>
        <v>LIC1726.3</v>
      </c>
      <c r="F1005" s="158" t="str">
        <f>+VLOOKUP(H1005,'code mapping'!A:C,3,0)</f>
        <v>LIC172</v>
      </c>
      <c r="G1005" s="127" t="s">
        <v>453</v>
      </c>
      <c r="H1005" s="127" t="s">
        <v>607</v>
      </c>
      <c r="I1005" s="127" t="s">
        <v>608</v>
      </c>
      <c r="J1005" s="128">
        <v>550000</v>
      </c>
      <c r="K1005" s="127" t="s">
        <v>550</v>
      </c>
      <c r="L1005" s="151">
        <v>555157</v>
      </c>
      <c r="M1005" s="128">
        <v>0</v>
      </c>
      <c r="N1005" s="127" t="s">
        <v>571</v>
      </c>
      <c r="O1005" s="127" t="s">
        <v>457</v>
      </c>
      <c r="P1005" s="128">
        <v>-3050661.06</v>
      </c>
      <c r="Q1005" s="128">
        <v>0</v>
      </c>
      <c r="R1005" s="128">
        <v>0</v>
      </c>
      <c r="S1005" s="128">
        <v>0</v>
      </c>
      <c r="T1005" s="128">
        <v>-3050661.06</v>
      </c>
      <c r="U1005" s="128">
        <v>0</v>
      </c>
      <c r="V1005" s="128">
        <v>-3050661.06</v>
      </c>
      <c r="W1005" s="128">
        <v>0</v>
      </c>
      <c r="X1005" s="128">
        <v>0</v>
      </c>
      <c r="Y1005" s="128">
        <v>0</v>
      </c>
      <c r="Z1005" s="128">
        <v>-3050661.06</v>
      </c>
      <c r="AA1005" s="128">
        <v>0</v>
      </c>
      <c r="AB1005" s="126">
        <f t="shared" si="108"/>
        <v>0.305066106</v>
      </c>
      <c r="AC1005" s="122" t="s">
        <v>1838</v>
      </c>
      <c r="AD1005" s="123">
        <f t="shared" si="109"/>
        <v>1.0656308230000002</v>
      </c>
    </row>
    <row r="1006" spans="1:30" ht="12.75" hidden="1" customHeight="1">
      <c r="A1006" s="125" t="str">
        <f t="shared" si="105"/>
        <v>LIC172Management Fee-Reclassfication</v>
      </c>
      <c r="B1006" s="125">
        <f>+IFERROR(VLOOKUP(L1006,'TB mapping'!A:D,4,0),0)</f>
        <v>6.1</v>
      </c>
      <c r="C1006" s="125">
        <f>+IFERROR(VLOOKUP(L1006,'TB mapping'!A:C,3,0),0)</f>
        <v>6.3</v>
      </c>
      <c r="D1006" s="125" t="str">
        <f t="shared" si="106"/>
        <v>LIC1726.1</v>
      </c>
      <c r="E1006" s="125" t="str">
        <f t="shared" si="107"/>
        <v>LIC1726.3</v>
      </c>
      <c r="F1006" s="158" t="str">
        <f>+VLOOKUP(H1006,'code mapping'!A:C,3,0)</f>
        <v>LIC172</v>
      </c>
      <c r="G1006" s="127" t="s">
        <v>453</v>
      </c>
      <c r="H1006" s="127" t="s">
        <v>607</v>
      </c>
      <c r="I1006" s="127" t="s">
        <v>608</v>
      </c>
      <c r="J1006" s="128">
        <v>550000</v>
      </c>
      <c r="K1006" s="127" t="s">
        <v>550</v>
      </c>
      <c r="L1006" s="151">
        <v>555274</v>
      </c>
      <c r="M1006" s="128">
        <v>0</v>
      </c>
      <c r="N1006" s="127" t="s">
        <v>583</v>
      </c>
      <c r="O1006" s="127" t="s">
        <v>457</v>
      </c>
      <c r="P1006" s="128">
        <v>-360169.96</v>
      </c>
      <c r="Q1006" s="128">
        <v>0</v>
      </c>
      <c r="R1006" s="128">
        <v>0</v>
      </c>
      <c r="S1006" s="128">
        <v>0</v>
      </c>
      <c r="T1006" s="128">
        <v>-360169.96</v>
      </c>
      <c r="U1006" s="128">
        <v>0</v>
      </c>
      <c r="V1006" s="128">
        <v>-360169.96</v>
      </c>
      <c r="W1006" s="128">
        <v>0</v>
      </c>
      <c r="X1006" s="128">
        <v>0</v>
      </c>
      <c r="Y1006" s="128">
        <v>0</v>
      </c>
      <c r="Z1006" s="128">
        <v>-360169.96</v>
      </c>
      <c r="AA1006" s="128">
        <v>0</v>
      </c>
      <c r="AB1006" s="126">
        <f t="shared" si="108"/>
        <v>3.6016996000000003E-2</v>
      </c>
      <c r="AC1006" s="122" t="s">
        <v>1838</v>
      </c>
      <c r="AD1006" s="123">
        <f t="shared" si="109"/>
        <v>1.0656308230000002</v>
      </c>
    </row>
    <row r="1007" spans="1:30" ht="12.75" hidden="1" customHeight="1">
      <c r="A1007" s="125" t="str">
        <f t="shared" si="105"/>
        <v>LIC172Brokerage_Indirect_Reclassify</v>
      </c>
      <c r="B1007" s="125">
        <f>+IFERROR(VLOOKUP(L1007,'TB mapping'!A:D,4,0),0)</f>
        <v>0</v>
      </c>
      <c r="C1007" s="125">
        <f>+IFERROR(VLOOKUP(L1007,'TB mapping'!A:C,3,0),0)</f>
        <v>6.3</v>
      </c>
      <c r="D1007" s="125" t="str">
        <f t="shared" si="106"/>
        <v>LIC1720</v>
      </c>
      <c r="E1007" s="125" t="str">
        <f t="shared" si="107"/>
        <v>LIC1726.3</v>
      </c>
      <c r="F1007" s="158" t="str">
        <f>+VLOOKUP(H1007,'code mapping'!A:C,3,0)</f>
        <v>LIC172</v>
      </c>
      <c r="G1007" s="127" t="s">
        <v>453</v>
      </c>
      <c r="H1007" s="127" t="s">
        <v>607</v>
      </c>
      <c r="I1007" s="127" t="s">
        <v>608</v>
      </c>
      <c r="J1007" s="128">
        <v>550000</v>
      </c>
      <c r="K1007" s="127" t="s">
        <v>550</v>
      </c>
      <c r="L1007" s="151">
        <v>555275</v>
      </c>
      <c r="M1007" s="128">
        <v>0</v>
      </c>
      <c r="N1007" s="127" t="s">
        <v>600</v>
      </c>
      <c r="O1007" s="127" t="s">
        <v>457</v>
      </c>
      <c r="P1007" s="128">
        <v>0</v>
      </c>
      <c r="Q1007" s="128">
        <v>100000</v>
      </c>
      <c r="R1007" s="128">
        <v>0</v>
      </c>
      <c r="S1007" s="128">
        <v>0</v>
      </c>
      <c r="T1007" s="128">
        <v>0</v>
      </c>
      <c r="U1007" s="128">
        <v>100000</v>
      </c>
      <c r="V1007" s="128">
        <v>0</v>
      </c>
      <c r="W1007" s="128">
        <v>100000</v>
      </c>
      <c r="X1007" s="128">
        <v>0</v>
      </c>
      <c r="Y1007" s="128">
        <v>0</v>
      </c>
      <c r="Z1007" s="128">
        <v>0</v>
      </c>
      <c r="AA1007" s="128">
        <v>100000</v>
      </c>
      <c r="AB1007" s="126">
        <f t="shared" si="108"/>
        <v>-0.01</v>
      </c>
      <c r="AC1007" s="122" t="s">
        <v>1838</v>
      </c>
      <c r="AD1007" s="123">
        <f t="shared" si="109"/>
        <v>1.0656308230000002</v>
      </c>
    </row>
    <row r="1008" spans="1:30" ht="12.75" hidden="1" customHeight="1">
      <c r="A1008" s="125" t="str">
        <f t="shared" si="105"/>
        <v>LIC172CGST on Reclassify of Exp</v>
      </c>
      <c r="B1008" s="125">
        <f>+IFERROR(VLOOKUP(L1008,'TB mapping'!A:D,4,0),0)</f>
        <v>0</v>
      </c>
      <c r="C1008" s="125">
        <f>+IFERROR(VLOOKUP(L1008,'TB mapping'!A:C,3,0),0)</f>
        <v>6.3</v>
      </c>
      <c r="D1008" s="125" t="str">
        <f t="shared" si="106"/>
        <v>LIC1720</v>
      </c>
      <c r="E1008" s="125" t="str">
        <f t="shared" si="107"/>
        <v>LIC1726.3</v>
      </c>
      <c r="F1008" s="158" t="str">
        <f>+VLOOKUP(H1008,'code mapping'!A:C,3,0)</f>
        <v>LIC172</v>
      </c>
      <c r="G1008" s="127" t="s">
        <v>453</v>
      </c>
      <c r="H1008" s="127" t="s">
        <v>607</v>
      </c>
      <c r="I1008" s="127" t="s">
        <v>608</v>
      </c>
      <c r="J1008" s="128">
        <v>550000</v>
      </c>
      <c r="K1008" s="127" t="s">
        <v>550</v>
      </c>
      <c r="L1008" s="151">
        <v>555276</v>
      </c>
      <c r="M1008" s="128">
        <v>0</v>
      </c>
      <c r="N1008" s="127" t="s">
        <v>572</v>
      </c>
      <c r="O1008" s="127" t="s">
        <v>457</v>
      </c>
      <c r="P1008" s="128">
        <v>-17161.02</v>
      </c>
      <c r="Q1008" s="128">
        <v>0</v>
      </c>
      <c r="R1008" s="128">
        <v>0</v>
      </c>
      <c r="S1008" s="128">
        <v>0</v>
      </c>
      <c r="T1008" s="128">
        <v>-17161.02</v>
      </c>
      <c r="U1008" s="128">
        <v>0</v>
      </c>
      <c r="V1008" s="128">
        <v>-17161.02</v>
      </c>
      <c r="W1008" s="128">
        <v>0</v>
      </c>
      <c r="X1008" s="128">
        <v>0</v>
      </c>
      <c r="Y1008" s="128">
        <v>0</v>
      </c>
      <c r="Z1008" s="128">
        <v>-17161.02</v>
      </c>
      <c r="AA1008" s="128">
        <v>0</v>
      </c>
      <c r="AB1008" s="126">
        <f t="shared" si="108"/>
        <v>1.7161019999999999E-3</v>
      </c>
      <c r="AC1008" s="122" t="s">
        <v>1838</v>
      </c>
      <c r="AD1008" s="123">
        <f t="shared" si="109"/>
        <v>1.0656308230000002</v>
      </c>
    </row>
    <row r="1009" spans="1:30" ht="12.75" hidden="1" customHeight="1">
      <c r="A1009" s="125" t="str">
        <f t="shared" si="105"/>
        <v>LIC172SGST on Reclassify of Exp</v>
      </c>
      <c r="B1009" s="125">
        <f>+IFERROR(VLOOKUP(L1009,'TB mapping'!A:D,4,0),0)</f>
        <v>0</v>
      </c>
      <c r="C1009" s="125">
        <f>+IFERROR(VLOOKUP(L1009,'TB mapping'!A:C,3,0),0)</f>
        <v>6.3</v>
      </c>
      <c r="D1009" s="125" t="str">
        <f t="shared" si="106"/>
        <v>LIC1720</v>
      </c>
      <c r="E1009" s="125" t="str">
        <f t="shared" si="107"/>
        <v>LIC1726.3</v>
      </c>
      <c r="F1009" s="158" t="str">
        <f>+VLOOKUP(H1009,'code mapping'!A:C,3,0)</f>
        <v>LIC172</v>
      </c>
      <c r="G1009" s="127" t="s">
        <v>453</v>
      </c>
      <c r="H1009" s="127" t="s">
        <v>607</v>
      </c>
      <c r="I1009" s="127" t="s">
        <v>608</v>
      </c>
      <c r="J1009" s="128">
        <v>550000</v>
      </c>
      <c r="K1009" s="127" t="s">
        <v>550</v>
      </c>
      <c r="L1009" s="151">
        <v>555277</v>
      </c>
      <c r="M1009" s="128">
        <v>0</v>
      </c>
      <c r="N1009" s="127" t="s">
        <v>573</v>
      </c>
      <c r="O1009" s="127" t="s">
        <v>457</v>
      </c>
      <c r="P1009" s="128">
        <v>-17161.02</v>
      </c>
      <c r="Q1009" s="128">
        <v>0</v>
      </c>
      <c r="R1009" s="128">
        <v>0</v>
      </c>
      <c r="S1009" s="128">
        <v>0</v>
      </c>
      <c r="T1009" s="128">
        <v>-17161.02</v>
      </c>
      <c r="U1009" s="128">
        <v>0</v>
      </c>
      <c r="V1009" s="128">
        <v>-17161.02</v>
      </c>
      <c r="W1009" s="128">
        <v>0</v>
      </c>
      <c r="X1009" s="128">
        <v>0</v>
      </c>
      <c r="Y1009" s="128">
        <v>0</v>
      </c>
      <c r="Z1009" s="128">
        <v>-17161.02</v>
      </c>
      <c r="AA1009" s="128">
        <v>0</v>
      </c>
      <c r="AB1009" s="126">
        <f t="shared" si="108"/>
        <v>1.7161019999999999E-3</v>
      </c>
      <c r="AC1009" s="122" t="s">
        <v>1838</v>
      </c>
      <c r="AD1009" s="123">
        <f t="shared" si="109"/>
        <v>1.0656308230000002</v>
      </c>
    </row>
    <row r="1010" spans="1:30" ht="12.75" hidden="1" customHeight="1">
      <c r="A1010" s="125" t="str">
        <f t="shared" si="105"/>
        <v>LIC172Other Expense-Reclassfication</v>
      </c>
      <c r="B1010" s="125">
        <f>+IFERROR(VLOOKUP(L1010,'TB mapping'!A:D,4,0),0)</f>
        <v>0</v>
      </c>
      <c r="C1010" s="125">
        <f>+IFERROR(VLOOKUP(L1010,'TB mapping'!A:C,3,0),0)</f>
        <v>0</v>
      </c>
      <c r="D1010" s="125" t="str">
        <f t="shared" si="106"/>
        <v>LIC1720</v>
      </c>
      <c r="E1010" s="125" t="str">
        <f t="shared" si="107"/>
        <v>LIC1720</v>
      </c>
      <c r="F1010" s="158" t="str">
        <f>+VLOOKUP(H1010,'code mapping'!A:C,3,0)</f>
        <v>LIC172</v>
      </c>
      <c r="G1010" s="127" t="s">
        <v>453</v>
      </c>
      <c r="H1010" s="127" t="s">
        <v>607</v>
      </c>
      <c r="I1010" s="127" t="s">
        <v>608</v>
      </c>
      <c r="J1010" s="128">
        <v>550000</v>
      </c>
      <c r="K1010" s="127" t="s">
        <v>550</v>
      </c>
      <c r="L1010" s="151">
        <v>555280</v>
      </c>
      <c r="M1010" s="128">
        <v>0</v>
      </c>
      <c r="N1010" s="127" t="s">
        <v>1590</v>
      </c>
      <c r="O1010" s="127" t="s">
        <v>457</v>
      </c>
      <c r="P1010" s="128">
        <v>0</v>
      </c>
      <c r="Q1010" s="128">
        <v>100000</v>
      </c>
      <c r="R1010" s="128">
        <v>0</v>
      </c>
      <c r="S1010" s="128">
        <v>0</v>
      </c>
      <c r="T1010" s="128">
        <v>0</v>
      </c>
      <c r="U1010" s="128">
        <v>100000</v>
      </c>
      <c r="V1010" s="128">
        <v>0</v>
      </c>
      <c r="W1010" s="128">
        <v>100000</v>
      </c>
      <c r="X1010" s="128">
        <v>0</v>
      </c>
      <c r="Y1010" s="128">
        <v>0</v>
      </c>
      <c r="Z1010" s="128">
        <v>0</v>
      </c>
      <c r="AA1010" s="128">
        <v>100000</v>
      </c>
      <c r="AB1010" s="126">
        <f t="shared" si="108"/>
        <v>-0.01</v>
      </c>
      <c r="AC1010" s="122" t="s">
        <v>1838</v>
      </c>
      <c r="AD1010" s="123">
        <f>SUMIF(C:C,C1010,AB:AB)</f>
        <v>1983.9723217250009</v>
      </c>
    </row>
    <row r="1011" spans="1:30" ht="12.75" hidden="1" customHeight="1">
      <c r="A1011" s="125" t="str">
        <f t="shared" si="105"/>
        <v>LIC172CGST on Mfees</v>
      </c>
      <c r="B1011" s="125">
        <f>+IFERROR(VLOOKUP(L1011,'TB mapping'!A:D,4,0),0)</f>
        <v>6.1</v>
      </c>
      <c r="C1011" s="125">
        <f>+IFERROR(VLOOKUP(L1011,'TB mapping'!A:C,3,0),0)</f>
        <v>6.3</v>
      </c>
      <c r="D1011" s="125" t="str">
        <f t="shared" si="106"/>
        <v>LIC1726.1</v>
      </c>
      <c r="E1011" s="125" t="str">
        <f t="shared" si="107"/>
        <v>LIC1726.3</v>
      </c>
      <c r="F1011" s="158" t="str">
        <f>+VLOOKUP(H1011,'code mapping'!A:C,3,0)</f>
        <v>LIC172</v>
      </c>
      <c r="G1011" s="127" t="s">
        <v>453</v>
      </c>
      <c r="H1011" s="127" t="s">
        <v>607</v>
      </c>
      <c r="I1011" s="127" t="s">
        <v>608</v>
      </c>
      <c r="J1011" s="128">
        <v>550000</v>
      </c>
      <c r="K1011" s="127" t="s">
        <v>550</v>
      </c>
      <c r="L1011" s="151">
        <v>555597</v>
      </c>
      <c r="M1011" s="128">
        <v>0</v>
      </c>
      <c r="N1011" s="127" t="s">
        <v>574</v>
      </c>
      <c r="O1011" s="127" t="s">
        <v>457</v>
      </c>
      <c r="P1011" s="128">
        <v>-358485.16</v>
      </c>
      <c r="Q1011" s="128">
        <v>0</v>
      </c>
      <c r="R1011" s="128">
        <v>0</v>
      </c>
      <c r="S1011" s="128">
        <v>0</v>
      </c>
      <c r="T1011" s="128">
        <v>-358485.16</v>
      </c>
      <c r="U1011" s="128">
        <v>0</v>
      </c>
      <c r="V1011" s="128">
        <v>-358485.16</v>
      </c>
      <c r="W1011" s="128">
        <v>0</v>
      </c>
      <c r="X1011" s="128">
        <v>0</v>
      </c>
      <c r="Y1011" s="128">
        <v>0</v>
      </c>
      <c r="Z1011" s="128">
        <v>-358485.16</v>
      </c>
      <c r="AA1011" s="128">
        <v>0</v>
      </c>
      <c r="AB1011" s="126">
        <f t="shared" si="108"/>
        <v>3.5848515999999997E-2</v>
      </c>
      <c r="AC1011" s="122" t="s">
        <v>1838</v>
      </c>
      <c r="AD1011" s="123">
        <f t="shared" ref="AD1011:AD1019" si="110">SUMIF(E:E,E1011,AB:AB)</f>
        <v>1.0656308230000002</v>
      </c>
    </row>
    <row r="1012" spans="1:30" ht="12.75" hidden="1" customHeight="1">
      <c r="A1012" s="125" t="str">
        <f t="shared" si="105"/>
        <v>LIC172SGST on Mfees</v>
      </c>
      <c r="B1012" s="125">
        <f>+IFERROR(VLOOKUP(L1012,'TB mapping'!A:D,4,0),0)</f>
        <v>6.1</v>
      </c>
      <c r="C1012" s="125">
        <f>+IFERROR(VLOOKUP(L1012,'TB mapping'!A:C,3,0),0)</f>
        <v>6.3</v>
      </c>
      <c r="D1012" s="125" t="str">
        <f t="shared" si="106"/>
        <v>LIC1726.1</v>
      </c>
      <c r="E1012" s="125" t="str">
        <f t="shared" si="107"/>
        <v>LIC1726.3</v>
      </c>
      <c r="F1012" s="158" t="str">
        <f>+VLOOKUP(H1012,'code mapping'!A:C,3,0)</f>
        <v>LIC172</v>
      </c>
      <c r="G1012" s="127" t="s">
        <v>453</v>
      </c>
      <c r="H1012" s="127" t="s">
        <v>607</v>
      </c>
      <c r="I1012" s="127" t="s">
        <v>608</v>
      </c>
      <c r="J1012" s="128">
        <v>550000</v>
      </c>
      <c r="K1012" s="127" t="s">
        <v>550</v>
      </c>
      <c r="L1012" s="151">
        <v>555598</v>
      </c>
      <c r="M1012" s="128">
        <v>0</v>
      </c>
      <c r="N1012" s="127" t="s">
        <v>575</v>
      </c>
      <c r="O1012" s="127" t="s">
        <v>457</v>
      </c>
      <c r="P1012" s="128">
        <v>-358485.13</v>
      </c>
      <c r="Q1012" s="128">
        <v>0</v>
      </c>
      <c r="R1012" s="128">
        <v>0</v>
      </c>
      <c r="S1012" s="128">
        <v>0</v>
      </c>
      <c r="T1012" s="128">
        <v>-358485.13</v>
      </c>
      <c r="U1012" s="128">
        <v>0</v>
      </c>
      <c r="V1012" s="128">
        <v>-358485.13</v>
      </c>
      <c r="W1012" s="128">
        <v>0</v>
      </c>
      <c r="X1012" s="128">
        <v>0</v>
      </c>
      <c r="Y1012" s="128">
        <v>0</v>
      </c>
      <c r="Z1012" s="128">
        <v>-358485.13</v>
      </c>
      <c r="AA1012" s="128">
        <v>0</v>
      </c>
      <c r="AB1012" s="126">
        <f t="shared" si="108"/>
        <v>3.5848512999999999E-2</v>
      </c>
      <c r="AC1012" s="122" t="s">
        <v>1838</v>
      </c>
      <c r="AD1012" s="123">
        <f t="shared" si="110"/>
        <v>1.0656308230000002</v>
      </c>
    </row>
    <row r="1013" spans="1:30" ht="12.75" hidden="1" customHeight="1">
      <c r="A1013" s="125" t="str">
        <f t="shared" si="105"/>
        <v>LIC172CGST on Mfees -GDP</v>
      </c>
      <c r="B1013" s="125">
        <f>+IFERROR(VLOOKUP(L1013,'TB mapping'!A:D,4,0),0)</f>
        <v>6.1</v>
      </c>
      <c r="C1013" s="125">
        <f>+IFERROR(VLOOKUP(L1013,'TB mapping'!A:C,3,0),0)</f>
        <v>6.3</v>
      </c>
      <c r="D1013" s="125" t="str">
        <f t="shared" si="106"/>
        <v>LIC1726.1</v>
      </c>
      <c r="E1013" s="125" t="str">
        <f t="shared" si="107"/>
        <v>LIC1726.3</v>
      </c>
      <c r="F1013" s="158" t="str">
        <f>+VLOOKUP(H1013,'code mapping'!A:C,3,0)</f>
        <v>LIC172</v>
      </c>
      <c r="G1013" s="127" t="s">
        <v>453</v>
      </c>
      <c r="H1013" s="127" t="s">
        <v>607</v>
      </c>
      <c r="I1013" s="127" t="s">
        <v>608</v>
      </c>
      <c r="J1013" s="128">
        <v>550000</v>
      </c>
      <c r="K1013" s="127" t="s">
        <v>550</v>
      </c>
      <c r="L1013" s="151">
        <v>555599</v>
      </c>
      <c r="M1013" s="128">
        <v>0</v>
      </c>
      <c r="N1013" s="127" t="s">
        <v>576</v>
      </c>
      <c r="O1013" s="127" t="s">
        <v>457</v>
      </c>
      <c r="P1013" s="128">
        <v>0</v>
      </c>
      <c r="Q1013" s="128">
        <v>0.03</v>
      </c>
      <c r="R1013" s="128">
        <v>0</v>
      </c>
      <c r="S1013" s="128">
        <v>0</v>
      </c>
      <c r="T1013" s="128">
        <v>0</v>
      </c>
      <c r="U1013" s="128">
        <v>0.03</v>
      </c>
      <c r="V1013" s="128">
        <v>0</v>
      </c>
      <c r="W1013" s="128">
        <v>0.03</v>
      </c>
      <c r="X1013" s="128">
        <v>0</v>
      </c>
      <c r="Y1013" s="128">
        <v>0</v>
      </c>
      <c r="Z1013" s="128">
        <v>0</v>
      </c>
      <c r="AA1013" s="128">
        <v>0.03</v>
      </c>
      <c r="AB1013" s="126">
        <f t="shared" si="108"/>
        <v>-3E-9</v>
      </c>
      <c r="AC1013" s="122" t="s">
        <v>1838</v>
      </c>
      <c r="AD1013" s="123">
        <f t="shared" si="110"/>
        <v>1.0656308230000002</v>
      </c>
    </row>
    <row r="1014" spans="1:30" ht="12.75" hidden="1" customHeight="1">
      <c r="A1014" s="125" t="str">
        <f t="shared" si="105"/>
        <v>LIC172Operating Expenses</v>
      </c>
      <c r="B1014" s="125">
        <f>+IFERROR(VLOOKUP(L1014,'TB mapping'!A:D,4,0),0)</f>
        <v>0</v>
      </c>
      <c r="C1014" s="125">
        <f>+IFERROR(VLOOKUP(L1014,'TB mapping'!A:C,3,0),0)</f>
        <v>6.3</v>
      </c>
      <c r="D1014" s="125" t="str">
        <f t="shared" si="106"/>
        <v>LIC1720</v>
      </c>
      <c r="E1014" s="125" t="str">
        <f t="shared" si="107"/>
        <v>LIC1726.3</v>
      </c>
      <c r="F1014" s="158" t="str">
        <f>+VLOOKUP(H1014,'code mapping'!A:C,3,0)</f>
        <v>LIC172</v>
      </c>
      <c r="G1014" s="127" t="s">
        <v>453</v>
      </c>
      <c r="H1014" s="127" t="s">
        <v>607</v>
      </c>
      <c r="I1014" s="127" t="s">
        <v>608</v>
      </c>
      <c r="J1014" s="128">
        <v>550000</v>
      </c>
      <c r="K1014" s="127" t="s">
        <v>550</v>
      </c>
      <c r="L1014" s="151">
        <v>556421</v>
      </c>
      <c r="M1014" s="128">
        <v>0</v>
      </c>
      <c r="N1014" s="127" t="s">
        <v>578</v>
      </c>
      <c r="O1014" s="127" t="s">
        <v>457</v>
      </c>
      <c r="P1014" s="128">
        <v>-1157.52</v>
      </c>
      <c r="Q1014" s="128">
        <v>0</v>
      </c>
      <c r="R1014" s="128">
        <v>0</v>
      </c>
      <c r="S1014" s="128">
        <v>0</v>
      </c>
      <c r="T1014" s="128">
        <v>-1157.52</v>
      </c>
      <c r="U1014" s="128">
        <v>0</v>
      </c>
      <c r="V1014" s="128">
        <v>-1157.52</v>
      </c>
      <c r="W1014" s="128">
        <v>0</v>
      </c>
      <c r="X1014" s="128">
        <v>0</v>
      </c>
      <c r="Y1014" s="128">
        <v>0</v>
      </c>
      <c r="Z1014" s="128">
        <v>-1157.52</v>
      </c>
      <c r="AA1014" s="128">
        <v>0</v>
      </c>
      <c r="AB1014" s="126">
        <f t="shared" si="108"/>
        <v>1.15752E-4</v>
      </c>
      <c r="AC1014" s="122" t="s">
        <v>1838</v>
      </c>
      <c r="AD1014" s="123">
        <f t="shared" si="110"/>
        <v>1.0656308230000002</v>
      </c>
    </row>
    <row r="1015" spans="1:30" ht="12.75" hidden="1" customHeight="1">
      <c r="A1015" s="125" t="str">
        <f t="shared" si="105"/>
        <v>LIC172Management Fee</v>
      </c>
      <c r="B1015" s="125">
        <f>+IFERROR(VLOOKUP(L1015,'TB mapping'!A:D,4,0),0)</f>
        <v>6.1</v>
      </c>
      <c r="C1015" s="125">
        <f>+IFERROR(VLOOKUP(L1015,'TB mapping'!A:C,3,0),0)</f>
        <v>6.3</v>
      </c>
      <c r="D1015" s="125" t="str">
        <f t="shared" si="106"/>
        <v>LIC1726.1</v>
      </c>
      <c r="E1015" s="125" t="str">
        <f t="shared" si="107"/>
        <v>LIC1726.3</v>
      </c>
      <c r="F1015" s="158" t="str">
        <f>+VLOOKUP(H1015,'code mapping'!A:C,3,0)</f>
        <v>LIC172</v>
      </c>
      <c r="G1015" s="127" t="s">
        <v>453</v>
      </c>
      <c r="H1015" s="127" t="s">
        <v>607</v>
      </c>
      <c r="I1015" s="127" t="s">
        <v>608</v>
      </c>
      <c r="J1015" s="128">
        <v>555100</v>
      </c>
      <c r="K1015" s="127" t="s">
        <v>579</v>
      </c>
      <c r="L1015" s="151">
        <v>555100</v>
      </c>
      <c r="M1015" s="128">
        <v>0</v>
      </c>
      <c r="N1015" s="127" t="s">
        <v>580</v>
      </c>
      <c r="O1015" s="127" t="s">
        <v>457</v>
      </c>
      <c r="P1015" s="128">
        <v>-1923198.79</v>
      </c>
      <c r="Q1015" s="128">
        <v>0</v>
      </c>
      <c r="R1015" s="128">
        <v>0</v>
      </c>
      <c r="S1015" s="128">
        <v>0</v>
      </c>
      <c r="T1015" s="128">
        <v>-1923198.79</v>
      </c>
      <c r="U1015" s="128">
        <v>0</v>
      </c>
      <c r="V1015" s="128">
        <v>-1923198.79</v>
      </c>
      <c r="W1015" s="128">
        <v>0</v>
      </c>
      <c r="X1015" s="128">
        <v>0</v>
      </c>
      <c r="Y1015" s="128">
        <v>0</v>
      </c>
      <c r="Z1015" s="128">
        <v>-1923198.79</v>
      </c>
      <c r="AA1015" s="128">
        <v>0</v>
      </c>
      <c r="AB1015" s="126">
        <f t="shared" si="108"/>
        <v>0.192319879</v>
      </c>
      <c r="AC1015" s="122" t="s">
        <v>1838</v>
      </c>
      <c r="AD1015" s="123">
        <f t="shared" si="110"/>
        <v>1.0656308230000002</v>
      </c>
    </row>
    <row r="1016" spans="1:30" ht="12.75" hidden="1" customHeight="1">
      <c r="A1016" s="125" t="str">
        <f t="shared" si="105"/>
        <v>LIC172Management Fees-RG</v>
      </c>
      <c r="B1016" s="125">
        <f>+IFERROR(VLOOKUP(L1016,'TB mapping'!A:D,4,0),0)</f>
        <v>6.1</v>
      </c>
      <c r="C1016" s="125">
        <f>+IFERROR(VLOOKUP(L1016,'TB mapping'!A:C,3,0),0)</f>
        <v>6.3</v>
      </c>
      <c r="D1016" s="125" t="str">
        <f t="shared" si="106"/>
        <v>LIC1726.1</v>
      </c>
      <c r="E1016" s="125" t="str">
        <f t="shared" si="107"/>
        <v>LIC1726.3</v>
      </c>
      <c r="F1016" s="158" t="str">
        <f>+VLOOKUP(H1016,'code mapping'!A:C,3,0)</f>
        <v>LIC172</v>
      </c>
      <c r="G1016" s="127" t="s">
        <v>453</v>
      </c>
      <c r="H1016" s="127" t="s">
        <v>607</v>
      </c>
      <c r="I1016" s="127" t="s">
        <v>608</v>
      </c>
      <c r="J1016" s="128">
        <v>555100</v>
      </c>
      <c r="K1016" s="127" t="s">
        <v>579</v>
      </c>
      <c r="L1016" s="151">
        <v>555191</v>
      </c>
      <c r="M1016" s="128">
        <v>0</v>
      </c>
      <c r="N1016" s="127" t="s">
        <v>581</v>
      </c>
      <c r="O1016" s="127" t="s">
        <v>457</v>
      </c>
      <c r="P1016" s="128">
        <v>-2027375.23</v>
      </c>
      <c r="Q1016" s="128">
        <v>0</v>
      </c>
      <c r="R1016" s="128">
        <v>0</v>
      </c>
      <c r="S1016" s="128">
        <v>0</v>
      </c>
      <c r="T1016" s="128">
        <v>-2027375.23</v>
      </c>
      <c r="U1016" s="128">
        <v>0</v>
      </c>
      <c r="V1016" s="128">
        <v>-2027375.23</v>
      </c>
      <c r="W1016" s="128">
        <v>0</v>
      </c>
      <c r="X1016" s="128">
        <v>0</v>
      </c>
      <c r="Y1016" s="128">
        <v>0</v>
      </c>
      <c r="Z1016" s="128">
        <v>-2027375.23</v>
      </c>
      <c r="AA1016" s="128">
        <v>0</v>
      </c>
      <c r="AB1016" s="126">
        <f t="shared" si="108"/>
        <v>0.202737523</v>
      </c>
      <c r="AC1016" s="122" t="s">
        <v>1838</v>
      </c>
      <c r="AD1016" s="123">
        <f t="shared" si="110"/>
        <v>1.0656308230000002</v>
      </c>
    </row>
    <row r="1017" spans="1:30" ht="12.75" hidden="1" customHeight="1">
      <c r="A1017" s="125" t="str">
        <f t="shared" ref="A1017:A1080" si="111">+F1017&amp;N1017</f>
        <v>LIC172Management Fees-RD</v>
      </c>
      <c r="B1017" s="125">
        <f>+IFERROR(VLOOKUP(L1017,'TB mapping'!A:D,4,0),0)</f>
        <v>6.1</v>
      </c>
      <c r="C1017" s="125">
        <f>+IFERROR(VLOOKUP(L1017,'TB mapping'!A:C,3,0),0)</f>
        <v>6.3</v>
      </c>
      <c r="D1017" s="125" t="str">
        <f t="shared" ref="D1017:D1080" si="112">+F1017&amp;B1017</f>
        <v>LIC1726.1</v>
      </c>
      <c r="E1017" s="125" t="str">
        <f t="shared" ref="E1017:E1080" si="113">+F1017&amp;C1017</f>
        <v>LIC1726.3</v>
      </c>
      <c r="F1017" s="158" t="str">
        <f>+VLOOKUP(H1017,'code mapping'!A:C,3,0)</f>
        <v>LIC172</v>
      </c>
      <c r="G1017" s="127" t="s">
        <v>453</v>
      </c>
      <c r="H1017" s="127" t="s">
        <v>607</v>
      </c>
      <c r="I1017" s="127" t="s">
        <v>608</v>
      </c>
      <c r="J1017" s="128">
        <v>555100</v>
      </c>
      <c r="K1017" s="127" t="s">
        <v>579</v>
      </c>
      <c r="L1017" s="151">
        <v>555192</v>
      </c>
      <c r="M1017" s="128">
        <v>0</v>
      </c>
      <c r="N1017" s="127" t="s">
        <v>582</v>
      </c>
      <c r="O1017" s="127" t="s">
        <v>457</v>
      </c>
      <c r="P1017" s="128">
        <v>-67893.11</v>
      </c>
      <c r="Q1017" s="128">
        <v>0</v>
      </c>
      <c r="R1017" s="128">
        <v>0</v>
      </c>
      <c r="S1017" s="128">
        <v>0</v>
      </c>
      <c r="T1017" s="128">
        <v>-67893.11</v>
      </c>
      <c r="U1017" s="128">
        <v>0</v>
      </c>
      <c r="V1017" s="128">
        <v>-67893.11</v>
      </c>
      <c r="W1017" s="128">
        <v>0</v>
      </c>
      <c r="X1017" s="128">
        <v>0</v>
      </c>
      <c r="Y1017" s="128">
        <v>0</v>
      </c>
      <c r="Z1017" s="128">
        <v>-67893.11</v>
      </c>
      <c r="AA1017" s="128">
        <v>0</v>
      </c>
      <c r="AB1017" s="126">
        <f t="shared" ref="AB1017:AB1080" si="114">SUM(-Z1017-AA1017)/10^7</f>
        <v>6.7893110000000001E-3</v>
      </c>
      <c r="AC1017" s="122" t="s">
        <v>1838</v>
      </c>
      <c r="AD1017" s="123">
        <f t="shared" si="110"/>
        <v>1.0656308230000002</v>
      </c>
    </row>
    <row r="1018" spans="1:30" ht="12.75" hidden="1" customHeight="1">
      <c r="A1018" s="125" t="str">
        <f t="shared" si="111"/>
        <v>LIC172Management Fees-GDP</v>
      </c>
      <c r="B1018" s="125">
        <f>+IFERROR(VLOOKUP(L1018,'TB mapping'!A:D,4,0),0)</f>
        <v>6.1</v>
      </c>
      <c r="C1018" s="125">
        <f>+IFERROR(VLOOKUP(L1018,'TB mapping'!A:C,3,0),0)</f>
        <v>6.3</v>
      </c>
      <c r="D1018" s="125" t="str">
        <f t="shared" si="112"/>
        <v>LIC1726.1</v>
      </c>
      <c r="E1018" s="125" t="str">
        <f t="shared" si="113"/>
        <v>LIC1726.3</v>
      </c>
      <c r="F1018" s="158" t="str">
        <f>+VLOOKUP(H1018,'code mapping'!A:C,3,0)</f>
        <v>LIC172</v>
      </c>
      <c r="G1018" s="127" t="s">
        <v>453</v>
      </c>
      <c r="H1018" s="127" t="s">
        <v>607</v>
      </c>
      <c r="I1018" s="127" t="s">
        <v>608</v>
      </c>
      <c r="J1018" s="128">
        <v>555100</v>
      </c>
      <c r="K1018" s="127" t="s">
        <v>579</v>
      </c>
      <c r="L1018" s="151">
        <v>555329</v>
      </c>
      <c r="M1018" s="128">
        <v>0</v>
      </c>
      <c r="N1018" s="127" t="s">
        <v>584</v>
      </c>
      <c r="O1018" s="127" t="s">
        <v>457</v>
      </c>
      <c r="P1018" s="128">
        <v>-1005749.11</v>
      </c>
      <c r="Q1018" s="128">
        <v>0</v>
      </c>
      <c r="R1018" s="128">
        <v>0</v>
      </c>
      <c r="S1018" s="128">
        <v>0</v>
      </c>
      <c r="T1018" s="128">
        <v>-1005749.11</v>
      </c>
      <c r="U1018" s="128">
        <v>0</v>
      </c>
      <c r="V1018" s="128">
        <v>-1005749.11</v>
      </c>
      <c r="W1018" s="128">
        <v>0</v>
      </c>
      <c r="X1018" s="128">
        <v>0</v>
      </c>
      <c r="Y1018" s="128">
        <v>0</v>
      </c>
      <c r="Z1018" s="128">
        <v>-1005749.11</v>
      </c>
      <c r="AA1018" s="128">
        <v>0</v>
      </c>
      <c r="AB1018" s="126">
        <f t="shared" si="114"/>
        <v>0.100574911</v>
      </c>
      <c r="AC1018" s="122" t="s">
        <v>1838</v>
      </c>
      <c r="AD1018" s="123">
        <f t="shared" si="110"/>
        <v>1.0656308230000002</v>
      </c>
    </row>
    <row r="1019" spans="1:30" ht="12.75" hidden="1" customHeight="1">
      <c r="A1019" s="125" t="str">
        <f t="shared" si="111"/>
        <v>LIC172Management Fees-DDP</v>
      </c>
      <c r="B1019" s="125">
        <f>+IFERROR(VLOOKUP(L1019,'TB mapping'!A:D,4,0),0)</f>
        <v>6.1</v>
      </c>
      <c r="C1019" s="125">
        <f>+IFERROR(VLOOKUP(L1019,'TB mapping'!A:C,3,0),0)</f>
        <v>6.3</v>
      </c>
      <c r="D1019" s="125" t="str">
        <f t="shared" si="112"/>
        <v>LIC1726.1</v>
      </c>
      <c r="E1019" s="125" t="str">
        <f t="shared" si="113"/>
        <v>LIC1726.3</v>
      </c>
      <c r="F1019" s="158" t="str">
        <f>+VLOOKUP(H1019,'code mapping'!A:C,3,0)</f>
        <v>LIC172</v>
      </c>
      <c r="G1019" s="127" t="s">
        <v>453</v>
      </c>
      <c r="H1019" s="127" t="s">
        <v>607</v>
      </c>
      <c r="I1019" s="127" t="s">
        <v>608</v>
      </c>
      <c r="J1019" s="128">
        <v>555100</v>
      </c>
      <c r="K1019" s="127" t="s">
        <v>579</v>
      </c>
      <c r="L1019" s="151">
        <v>555330</v>
      </c>
      <c r="M1019" s="128">
        <v>0</v>
      </c>
      <c r="N1019" s="127" t="s">
        <v>585</v>
      </c>
      <c r="O1019" s="127" t="s">
        <v>457</v>
      </c>
      <c r="P1019" s="128">
        <v>-3420.24</v>
      </c>
      <c r="Q1019" s="128">
        <v>0</v>
      </c>
      <c r="R1019" s="128">
        <v>0</v>
      </c>
      <c r="S1019" s="128">
        <v>0</v>
      </c>
      <c r="T1019" s="128">
        <v>-3420.24</v>
      </c>
      <c r="U1019" s="128">
        <v>0</v>
      </c>
      <c r="V1019" s="128">
        <v>-3420.24</v>
      </c>
      <c r="W1019" s="128">
        <v>0</v>
      </c>
      <c r="X1019" s="128">
        <v>0</v>
      </c>
      <c r="Y1019" s="128">
        <v>0</v>
      </c>
      <c r="Z1019" s="128">
        <v>-3420.24</v>
      </c>
      <c r="AA1019" s="128">
        <v>0</v>
      </c>
      <c r="AB1019" s="126">
        <f t="shared" si="114"/>
        <v>3.4202399999999996E-4</v>
      </c>
      <c r="AC1019" s="122" t="s">
        <v>1838</v>
      </c>
      <c r="AD1019" s="123">
        <f t="shared" si="110"/>
        <v>1.0656308230000002</v>
      </c>
    </row>
    <row r="1020" spans="1:30" ht="12.75" hidden="1" customHeight="1">
      <c r="A1020" s="125" t="str">
        <f t="shared" si="111"/>
        <v>LIC173Investment - Equities</v>
      </c>
      <c r="B1020" s="125">
        <f>+IFERROR(VLOOKUP(L1020,'TB mapping'!A:D,4,0),0)</f>
        <v>0</v>
      </c>
      <c r="C1020" s="125">
        <f>+IFERROR(VLOOKUP(L1020,'TB mapping'!A:C,3,0),0)</f>
        <v>0</v>
      </c>
      <c r="D1020" s="125" t="str">
        <f t="shared" si="112"/>
        <v>LIC1730</v>
      </c>
      <c r="E1020" s="125" t="str">
        <f t="shared" si="113"/>
        <v>LIC1730</v>
      </c>
      <c r="F1020" s="158" t="str">
        <f>+VLOOKUP(H1020,'code mapping'!A:C,3,0)</f>
        <v>LIC173</v>
      </c>
      <c r="G1020" s="127" t="s">
        <v>453</v>
      </c>
      <c r="H1020" s="127" t="s">
        <v>614</v>
      </c>
      <c r="I1020" s="127" t="s">
        <v>615</v>
      </c>
      <c r="J1020" s="128">
        <v>101000</v>
      </c>
      <c r="K1020" s="127" t="s">
        <v>591</v>
      </c>
      <c r="L1020" s="151">
        <v>101100</v>
      </c>
      <c r="M1020" s="128">
        <v>0</v>
      </c>
      <c r="N1020" s="127" t="s">
        <v>592</v>
      </c>
      <c r="O1020" s="127" t="s">
        <v>457</v>
      </c>
      <c r="P1020" s="128">
        <v>-84584350.010000005</v>
      </c>
      <c r="Q1020" s="128">
        <v>0</v>
      </c>
      <c r="R1020" s="128">
        <v>0</v>
      </c>
      <c r="S1020" s="128">
        <v>0</v>
      </c>
      <c r="T1020" s="128">
        <v>-84584350.010000005</v>
      </c>
      <c r="U1020" s="128">
        <v>0</v>
      </c>
      <c r="V1020" s="128">
        <v>-84584350.010000005</v>
      </c>
      <c r="W1020" s="128">
        <v>0</v>
      </c>
      <c r="X1020" s="128">
        <v>0</v>
      </c>
      <c r="Y1020" s="128">
        <v>0</v>
      </c>
      <c r="Z1020" s="128">
        <v>-84584350.010000005</v>
      </c>
      <c r="AA1020" s="128">
        <v>0</v>
      </c>
      <c r="AB1020" s="126">
        <f t="shared" si="114"/>
        <v>8.4584350009999998</v>
      </c>
      <c r="AC1020" s="122" t="s">
        <v>1838</v>
      </c>
      <c r="AD1020" s="123">
        <f t="shared" ref="AD1020:AD1051" si="115">SUMIF(C:C,C1020,AB:AB)</f>
        <v>1983.9723217250009</v>
      </c>
    </row>
    <row r="1021" spans="1:30" ht="12.75" hidden="1" customHeight="1">
      <c r="A1021" s="125" t="str">
        <f t="shared" si="111"/>
        <v>LIC173Investment - Corp Bond/Debent.</v>
      </c>
      <c r="B1021" s="125">
        <f>+IFERROR(VLOOKUP(L1021,'TB mapping'!A:D,4,0),0)</f>
        <v>0</v>
      </c>
      <c r="C1021" s="125">
        <f>+IFERROR(VLOOKUP(L1021,'TB mapping'!A:C,3,0),0)</f>
        <v>0</v>
      </c>
      <c r="D1021" s="125" t="str">
        <f t="shared" si="112"/>
        <v>LIC1730</v>
      </c>
      <c r="E1021" s="125" t="str">
        <f t="shared" si="113"/>
        <v>LIC1730</v>
      </c>
      <c r="F1021" s="158" t="str">
        <f>+VLOOKUP(H1021,'code mapping'!A:C,3,0)</f>
        <v>LIC173</v>
      </c>
      <c r="G1021" s="127" t="s">
        <v>453</v>
      </c>
      <c r="H1021" s="127" t="s">
        <v>614</v>
      </c>
      <c r="I1021" s="127" t="s">
        <v>615</v>
      </c>
      <c r="J1021" s="128">
        <v>102000</v>
      </c>
      <c r="K1021" s="127" t="s">
        <v>455</v>
      </c>
      <c r="L1021" s="151">
        <v>102120</v>
      </c>
      <c r="M1021" s="128">
        <v>0</v>
      </c>
      <c r="N1021" s="127" t="s">
        <v>456</v>
      </c>
      <c r="O1021" s="127" t="s">
        <v>457</v>
      </c>
      <c r="P1021" s="128">
        <v>-101589560</v>
      </c>
      <c r="Q1021" s="128">
        <v>0</v>
      </c>
      <c r="R1021" s="128">
        <v>0</v>
      </c>
      <c r="S1021" s="128">
        <v>0</v>
      </c>
      <c r="T1021" s="128">
        <v>-101589560</v>
      </c>
      <c r="U1021" s="128">
        <v>0</v>
      </c>
      <c r="V1021" s="128">
        <v>-101589560</v>
      </c>
      <c r="W1021" s="128">
        <v>0</v>
      </c>
      <c r="X1021" s="128">
        <v>0</v>
      </c>
      <c r="Y1021" s="128">
        <v>0</v>
      </c>
      <c r="Z1021" s="128">
        <v>-101589560</v>
      </c>
      <c r="AA1021" s="128">
        <v>0</v>
      </c>
      <c r="AB1021" s="126">
        <f t="shared" si="114"/>
        <v>10.158956</v>
      </c>
      <c r="AC1021" s="122" t="s">
        <v>1838</v>
      </c>
      <c r="AD1021" s="123">
        <f t="shared" si="115"/>
        <v>1983.9723217250009</v>
      </c>
    </row>
    <row r="1022" spans="1:30" ht="12.75" hidden="1" customHeight="1">
      <c r="A1022" s="125" t="str">
        <f t="shared" si="111"/>
        <v>LIC173Investment - Zero Coupon Bond</v>
      </c>
      <c r="B1022" s="125">
        <f>+IFERROR(VLOOKUP(L1022,'TB mapping'!A:D,4,0),0)</f>
        <v>0</v>
      </c>
      <c r="C1022" s="125">
        <f>+IFERROR(VLOOKUP(L1022,'TB mapping'!A:C,3,0),0)</f>
        <v>0</v>
      </c>
      <c r="D1022" s="125" t="str">
        <f t="shared" si="112"/>
        <v>LIC1730</v>
      </c>
      <c r="E1022" s="125" t="str">
        <f t="shared" si="113"/>
        <v>LIC1730</v>
      </c>
      <c r="F1022" s="158" t="str">
        <f>+VLOOKUP(H1022,'code mapping'!A:C,3,0)</f>
        <v>LIC173</v>
      </c>
      <c r="G1022" s="127" t="s">
        <v>453</v>
      </c>
      <c r="H1022" s="127" t="s">
        <v>614</v>
      </c>
      <c r="I1022" s="127" t="s">
        <v>615</v>
      </c>
      <c r="J1022" s="128">
        <v>102000</v>
      </c>
      <c r="K1022" s="127" t="s">
        <v>455</v>
      </c>
      <c r="L1022" s="151">
        <v>102145</v>
      </c>
      <c r="M1022" s="128">
        <v>0</v>
      </c>
      <c r="N1022" s="127" t="s">
        <v>609</v>
      </c>
      <c r="O1022" s="127" t="s">
        <v>457</v>
      </c>
      <c r="P1022" s="128">
        <v>-81000000</v>
      </c>
      <c r="Q1022" s="128">
        <v>0</v>
      </c>
      <c r="R1022" s="128">
        <v>0</v>
      </c>
      <c r="S1022" s="128">
        <v>0</v>
      </c>
      <c r="T1022" s="128">
        <v>-81000000</v>
      </c>
      <c r="U1022" s="128">
        <v>0</v>
      </c>
      <c r="V1022" s="128">
        <v>-81000000</v>
      </c>
      <c r="W1022" s="128">
        <v>0</v>
      </c>
      <c r="X1022" s="128">
        <v>0</v>
      </c>
      <c r="Y1022" s="128">
        <v>0</v>
      </c>
      <c r="Z1022" s="128">
        <v>-81000000</v>
      </c>
      <c r="AA1022" s="128">
        <v>0</v>
      </c>
      <c r="AB1022" s="126">
        <f t="shared" si="114"/>
        <v>8.1</v>
      </c>
      <c r="AC1022" s="122" t="s">
        <v>1838</v>
      </c>
      <c r="AD1022" s="123">
        <f t="shared" si="115"/>
        <v>1983.9723217250009</v>
      </c>
    </row>
    <row r="1023" spans="1:30" ht="12.75" hidden="1" customHeight="1">
      <c r="A1023" s="125" t="str">
        <f t="shared" si="111"/>
        <v>LIC173Investment - CBLO</v>
      </c>
      <c r="B1023" s="125">
        <f>+IFERROR(VLOOKUP(L1023,'TB mapping'!A:D,4,0),0)</f>
        <v>0</v>
      </c>
      <c r="C1023" s="125">
        <f>+IFERROR(VLOOKUP(L1023,'TB mapping'!A:C,3,0),0)</f>
        <v>0</v>
      </c>
      <c r="D1023" s="125" t="str">
        <f t="shared" si="112"/>
        <v>LIC1730</v>
      </c>
      <c r="E1023" s="125" t="str">
        <f t="shared" si="113"/>
        <v>LIC1730</v>
      </c>
      <c r="F1023" s="158" t="str">
        <f>+VLOOKUP(H1023,'code mapping'!A:C,3,0)</f>
        <v>LIC173</v>
      </c>
      <c r="G1023" s="127" t="s">
        <v>453</v>
      </c>
      <c r="H1023" s="127" t="s">
        <v>614</v>
      </c>
      <c r="I1023" s="127" t="s">
        <v>615</v>
      </c>
      <c r="J1023" s="128">
        <v>110000</v>
      </c>
      <c r="K1023" s="127" t="s">
        <v>462</v>
      </c>
      <c r="L1023" s="151">
        <v>110100</v>
      </c>
      <c r="M1023" s="128">
        <v>0</v>
      </c>
      <c r="N1023" s="127" t="s">
        <v>463</v>
      </c>
      <c r="O1023" s="127" t="s">
        <v>457</v>
      </c>
      <c r="P1023" s="128">
        <v>-26927880.170000002</v>
      </c>
      <c r="Q1023" s="128">
        <v>0</v>
      </c>
      <c r="R1023" s="128">
        <v>0</v>
      </c>
      <c r="S1023" s="128">
        <v>0</v>
      </c>
      <c r="T1023" s="128">
        <v>-26927880.170000002</v>
      </c>
      <c r="U1023" s="128">
        <v>0</v>
      </c>
      <c r="V1023" s="128">
        <v>-26927880.170000002</v>
      </c>
      <c r="W1023" s="128">
        <v>0</v>
      </c>
      <c r="X1023" s="128">
        <v>0</v>
      </c>
      <c r="Y1023" s="128">
        <v>0</v>
      </c>
      <c r="Z1023" s="128">
        <v>-26927880.170000002</v>
      </c>
      <c r="AA1023" s="128">
        <v>0</v>
      </c>
      <c r="AB1023" s="126">
        <f t="shared" si="114"/>
        <v>2.6927880170000003</v>
      </c>
      <c r="AC1023" s="122" t="s">
        <v>1838</v>
      </c>
      <c r="AD1023" s="123">
        <f t="shared" si="115"/>
        <v>1983.9723217250009</v>
      </c>
    </row>
    <row r="1024" spans="1:30" ht="12.75" hidden="1" customHeight="1">
      <c r="A1024" s="125" t="str">
        <f t="shared" si="111"/>
        <v>LIC173Dividend Receivable</v>
      </c>
      <c r="B1024" s="125">
        <f>+IFERROR(VLOOKUP(L1024,'TB mapping'!A:D,4,0),0)</f>
        <v>0</v>
      </c>
      <c r="C1024" s="125">
        <f>+IFERROR(VLOOKUP(L1024,'TB mapping'!A:C,3,0),0)</f>
        <v>0</v>
      </c>
      <c r="D1024" s="125" t="str">
        <f t="shared" si="112"/>
        <v>LIC1730</v>
      </c>
      <c r="E1024" s="125" t="str">
        <f t="shared" si="113"/>
        <v>LIC1730</v>
      </c>
      <c r="F1024" s="158" t="str">
        <f>+VLOOKUP(H1024,'code mapping'!A:C,3,0)</f>
        <v>LIC173</v>
      </c>
      <c r="G1024" s="127" t="s">
        <v>453</v>
      </c>
      <c r="H1024" s="127" t="s">
        <v>614</v>
      </c>
      <c r="I1024" s="127" t="s">
        <v>615</v>
      </c>
      <c r="J1024" s="128">
        <v>132000</v>
      </c>
      <c r="K1024" s="127" t="s">
        <v>466</v>
      </c>
      <c r="L1024" s="151">
        <v>132100</v>
      </c>
      <c r="M1024" s="128">
        <v>0</v>
      </c>
      <c r="N1024" s="127" t="s">
        <v>593</v>
      </c>
      <c r="O1024" s="127" t="s">
        <v>457</v>
      </c>
      <c r="P1024" s="128">
        <v>-41470.800000000003</v>
      </c>
      <c r="Q1024" s="128">
        <v>0</v>
      </c>
      <c r="R1024" s="128">
        <v>0</v>
      </c>
      <c r="S1024" s="128">
        <v>0</v>
      </c>
      <c r="T1024" s="128">
        <v>-41470.800000000003</v>
      </c>
      <c r="U1024" s="128">
        <v>0</v>
      </c>
      <c r="V1024" s="128">
        <v>-41470.800000000003</v>
      </c>
      <c r="W1024" s="128">
        <v>0</v>
      </c>
      <c r="X1024" s="128">
        <v>0</v>
      </c>
      <c r="Y1024" s="128">
        <v>0</v>
      </c>
      <c r="Z1024" s="128">
        <v>-41470.800000000003</v>
      </c>
      <c r="AA1024" s="128">
        <v>0</v>
      </c>
      <c r="AB1024" s="126">
        <f t="shared" si="114"/>
        <v>4.14708E-3</v>
      </c>
      <c r="AC1024" s="122" t="s">
        <v>1838</v>
      </c>
      <c r="AD1024" s="123">
        <f t="shared" si="115"/>
        <v>1983.9723217250009</v>
      </c>
    </row>
    <row r="1025" spans="1:30" ht="12.75" hidden="1" customHeight="1">
      <c r="A1025" s="125" t="str">
        <f t="shared" si="111"/>
        <v>LIC173CCIL Settlement A/C</v>
      </c>
      <c r="B1025" s="125">
        <f>+IFERROR(VLOOKUP(L1025,'TB mapping'!A:D,4,0),0)</f>
        <v>0</v>
      </c>
      <c r="C1025" s="125">
        <f>+IFERROR(VLOOKUP(L1025,'TB mapping'!A:C,3,0),0)</f>
        <v>0</v>
      </c>
      <c r="D1025" s="125" t="str">
        <f t="shared" si="112"/>
        <v>LIC1730</v>
      </c>
      <c r="E1025" s="125" t="str">
        <f t="shared" si="113"/>
        <v>LIC1730</v>
      </c>
      <c r="F1025" s="158" t="str">
        <f>+VLOOKUP(H1025,'code mapping'!A:C,3,0)</f>
        <v>LIC173</v>
      </c>
      <c r="G1025" s="127" t="s">
        <v>453</v>
      </c>
      <c r="H1025" s="127" t="s">
        <v>614</v>
      </c>
      <c r="I1025" s="127" t="s">
        <v>615</v>
      </c>
      <c r="J1025" s="128">
        <v>140000</v>
      </c>
      <c r="K1025" s="127" t="s">
        <v>472</v>
      </c>
      <c r="L1025" s="151">
        <v>132237</v>
      </c>
      <c r="M1025" s="128">
        <v>0</v>
      </c>
      <c r="N1025" s="127" t="s">
        <v>473</v>
      </c>
      <c r="O1025" s="127" t="s">
        <v>457</v>
      </c>
      <c r="P1025" s="128">
        <v>0</v>
      </c>
      <c r="Q1025" s="128">
        <v>0.02</v>
      </c>
      <c r="R1025" s="128">
        <v>0</v>
      </c>
      <c r="S1025" s="128">
        <v>0</v>
      </c>
      <c r="T1025" s="128">
        <v>0</v>
      </c>
      <c r="U1025" s="128">
        <v>0.02</v>
      </c>
      <c r="V1025" s="128">
        <v>0</v>
      </c>
      <c r="W1025" s="128">
        <v>0.02</v>
      </c>
      <c r="X1025" s="128">
        <v>0</v>
      </c>
      <c r="Y1025" s="128">
        <v>0</v>
      </c>
      <c r="Z1025" s="128">
        <v>0</v>
      </c>
      <c r="AA1025" s="128">
        <v>0.02</v>
      </c>
      <c r="AB1025" s="126">
        <f t="shared" si="114"/>
        <v>-2.0000000000000001E-9</v>
      </c>
      <c r="AC1025" s="122" t="s">
        <v>1838</v>
      </c>
      <c r="AD1025" s="123">
        <f t="shared" si="115"/>
        <v>1983.9723217250009</v>
      </c>
    </row>
    <row r="1026" spans="1:30" ht="12.75" hidden="1" customHeight="1">
      <c r="A1026" s="125" t="str">
        <f t="shared" si="111"/>
        <v>LIC173HDFC Current Account</v>
      </c>
      <c r="B1026" s="125">
        <f>+IFERROR(VLOOKUP(L1026,'TB mapping'!A:D,4,0),0)</f>
        <v>0</v>
      </c>
      <c r="C1026" s="125">
        <f>+IFERROR(VLOOKUP(L1026,'TB mapping'!A:C,3,0),0)</f>
        <v>0</v>
      </c>
      <c r="D1026" s="125" t="str">
        <f t="shared" si="112"/>
        <v>LIC1730</v>
      </c>
      <c r="E1026" s="125" t="str">
        <f t="shared" si="113"/>
        <v>LIC1730</v>
      </c>
      <c r="F1026" s="158" t="str">
        <f>+VLOOKUP(H1026,'code mapping'!A:C,3,0)</f>
        <v>LIC173</v>
      </c>
      <c r="G1026" s="127" t="s">
        <v>453</v>
      </c>
      <c r="H1026" s="127" t="s">
        <v>614</v>
      </c>
      <c r="I1026" s="127" t="s">
        <v>615</v>
      </c>
      <c r="J1026" s="128">
        <v>140000</v>
      </c>
      <c r="K1026" s="127" t="s">
        <v>472</v>
      </c>
      <c r="L1026" s="151">
        <v>140330</v>
      </c>
      <c r="M1026" s="128">
        <v>0</v>
      </c>
      <c r="N1026" s="127" t="s">
        <v>475</v>
      </c>
      <c r="O1026" s="127" t="s">
        <v>457</v>
      </c>
      <c r="P1026" s="128">
        <v>0</v>
      </c>
      <c r="Q1026" s="128">
        <v>0.4</v>
      </c>
      <c r="R1026" s="128">
        <v>0</v>
      </c>
      <c r="S1026" s="128">
        <v>0</v>
      </c>
      <c r="T1026" s="128">
        <v>0</v>
      </c>
      <c r="U1026" s="128">
        <v>0.4</v>
      </c>
      <c r="V1026" s="128">
        <v>0</v>
      </c>
      <c r="W1026" s="128">
        <v>0.4</v>
      </c>
      <c r="X1026" s="128">
        <v>0</v>
      </c>
      <c r="Y1026" s="128">
        <v>0</v>
      </c>
      <c r="Z1026" s="128">
        <v>0</v>
      </c>
      <c r="AA1026" s="128">
        <v>0.4</v>
      </c>
      <c r="AB1026" s="126">
        <f t="shared" si="114"/>
        <v>-4.0000000000000001E-8</v>
      </c>
      <c r="AC1026" s="122" t="s">
        <v>1838</v>
      </c>
      <c r="AD1026" s="123">
        <f t="shared" si="115"/>
        <v>1983.9723217250009</v>
      </c>
    </row>
    <row r="1027" spans="1:30" ht="12.75" hidden="1" customHeight="1">
      <c r="A1027" s="125" t="str">
        <f t="shared" si="111"/>
        <v>LIC173HDFC Bank Ltd</v>
      </c>
      <c r="B1027" s="125">
        <f>+IFERROR(VLOOKUP(L1027,'TB mapping'!A:D,4,0),0)</f>
        <v>0</v>
      </c>
      <c r="C1027" s="125">
        <f>+IFERROR(VLOOKUP(L1027,'TB mapping'!A:C,3,0),0)</f>
        <v>0</v>
      </c>
      <c r="D1027" s="125" t="str">
        <f t="shared" si="112"/>
        <v>LIC1730</v>
      </c>
      <c r="E1027" s="125" t="str">
        <f t="shared" si="113"/>
        <v>LIC1730</v>
      </c>
      <c r="F1027" s="158" t="str">
        <f>+VLOOKUP(H1027,'code mapping'!A:C,3,0)</f>
        <v>LIC173</v>
      </c>
      <c r="G1027" s="127" t="s">
        <v>453</v>
      </c>
      <c r="H1027" s="127" t="s">
        <v>614</v>
      </c>
      <c r="I1027" s="127" t="s">
        <v>615</v>
      </c>
      <c r="J1027" s="128">
        <v>140000</v>
      </c>
      <c r="K1027" s="127" t="s">
        <v>472</v>
      </c>
      <c r="L1027" s="151">
        <v>140372</v>
      </c>
      <c r="M1027" s="128">
        <v>0</v>
      </c>
      <c r="N1027" s="127" t="s">
        <v>476</v>
      </c>
      <c r="O1027" s="127" t="s">
        <v>457</v>
      </c>
      <c r="P1027" s="128">
        <v>-2.6</v>
      </c>
      <c r="Q1027" s="128">
        <v>0</v>
      </c>
      <c r="R1027" s="128">
        <v>0</v>
      </c>
      <c r="S1027" s="128">
        <v>0</v>
      </c>
      <c r="T1027" s="128">
        <v>-2.6</v>
      </c>
      <c r="U1027" s="128">
        <v>0</v>
      </c>
      <c r="V1027" s="128">
        <v>-2.6</v>
      </c>
      <c r="W1027" s="128">
        <v>0</v>
      </c>
      <c r="X1027" s="128">
        <v>0</v>
      </c>
      <c r="Y1027" s="128">
        <v>0</v>
      </c>
      <c r="Z1027" s="128">
        <v>-2.6</v>
      </c>
      <c r="AA1027" s="128">
        <v>0</v>
      </c>
      <c r="AB1027" s="126">
        <f t="shared" si="114"/>
        <v>2.6E-7</v>
      </c>
      <c r="AC1027" s="122" t="s">
        <v>1838</v>
      </c>
      <c r="AD1027" s="123">
        <f t="shared" si="115"/>
        <v>1983.9723217250009</v>
      </c>
    </row>
    <row r="1028" spans="1:30" ht="12.75" hidden="1" customHeight="1">
      <c r="A1028" s="125" t="str">
        <f t="shared" si="111"/>
        <v>LIC173Standard Chartered Bank- India</v>
      </c>
      <c r="B1028" s="125">
        <f>+IFERROR(VLOOKUP(L1028,'TB mapping'!A:D,4,0),0)</f>
        <v>0</v>
      </c>
      <c r="C1028" s="125">
        <f>+IFERROR(VLOOKUP(L1028,'TB mapping'!A:C,3,0),0)</f>
        <v>0</v>
      </c>
      <c r="D1028" s="125" t="str">
        <f t="shared" si="112"/>
        <v>LIC1730</v>
      </c>
      <c r="E1028" s="125" t="str">
        <f t="shared" si="113"/>
        <v>LIC1730</v>
      </c>
      <c r="F1028" s="158" t="str">
        <f>+VLOOKUP(H1028,'code mapping'!A:C,3,0)</f>
        <v>LIC173</v>
      </c>
      <c r="G1028" s="127" t="s">
        <v>453</v>
      </c>
      <c r="H1028" s="127" t="s">
        <v>614</v>
      </c>
      <c r="I1028" s="127" t="s">
        <v>615</v>
      </c>
      <c r="J1028" s="128">
        <v>140000</v>
      </c>
      <c r="K1028" s="127" t="s">
        <v>472</v>
      </c>
      <c r="L1028" s="151">
        <v>140500</v>
      </c>
      <c r="M1028" s="128">
        <v>0</v>
      </c>
      <c r="N1028" s="127" t="s">
        <v>477</v>
      </c>
      <c r="O1028" s="127" t="s">
        <v>457</v>
      </c>
      <c r="P1028" s="128">
        <v>-18070.29</v>
      </c>
      <c r="Q1028" s="128">
        <v>0</v>
      </c>
      <c r="R1028" s="128">
        <v>0</v>
      </c>
      <c r="S1028" s="128">
        <v>0</v>
      </c>
      <c r="T1028" s="128">
        <v>-18070.29</v>
      </c>
      <c r="U1028" s="128">
        <v>0</v>
      </c>
      <c r="V1028" s="128">
        <v>-18070.29</v>
      </c>
      <c r="W1028" s="128">
        <v>0</v>
      </c>
      <c r="X1028" s="128">
        <v>0</v>
      </c>
      <c r="Y1028" s="128">
        <v>0</v>
      </c>
      <c r="Z1028" s="128">
        <v>-18070.29</v>
      </c>
      <c r="AA1028" s="128">
        <v>0</v>
      </c>
      <c r="AB1028" s="126">
        <f t="shared" si="114"/>
        <v>1.8070290000000001E-3</v>
      </c>
      <c r="AC1028" s="122" t="s">
        <v>1838</v>
      </c>
      <c r="AD1028" s="123">
        <f t="shared" si="115"/>
        <v>1983.9723217250009</v>
      </c>
    </row>
    <row r="1029" spans="1:30" ht="12.75" hidden="1" customHeight="1">
      <c r="A1029" s="125" t="str">
        <f t="shared" si="111"/>
        <v>LIC173Int Accrual - Corporate Bonds</v>
      </c>
      <c r="B1029" s="125">
        <f>+IFERROR(VLOOKUP(L1029,'TB mapping'!A:D,4,0),0)</f>
        <v>0</v>
      </c>
      <c r="C1029" s="125">
        <f>+IFERROR(VLOOKUP(L1029,'TB mapping'!A:C,3,0),0)</f>
        <v>0</v>
      </c>
      <c r="D1029" s="125" t="str">
        <f t="shared" si="112"/>
        <v>LIC1730</v>
      </c>
      <c r="E1029" s="125" t="str">
        <f t="shared" si="113"/>
        <v>LIC1730</v>
      </c>
      <c r="F1029" s="158" t="str">
        <f>+VLOOKUP(H1029,'code mapping'!A:C,3,0)</f>
        <v>LIC173</v>
      </c>
      <c r="G1029" s="127" t="s">
        <v>453</v>
      </c>
      <c r="H1029" s="127" t="s">
        <v>614</v>
      </c>
      <c r="I1029" s="127" t="s">
        <v>615</v>
      </c>
      <c r="J1029" s="128">
        <v>152000</v>
      </c>
      <c r="K1029" s="127" t="s">
        <v>478</v>
      </c>
      <c r="L1029" s="151">
        <v>152120</v>
      </c>
      <c r="M1029" s="128">
        <v>0</v>
      </c>
      <c r="N1029" s="127" t="s">
        <v>479</v>
      </c>
      <c r="O1029" s="127" t="s">
        <v>457</v>
      </c>
      <c r="P1029" s="128">
        <v>-1492524.65</v>
      </c>
      <c r="Q1029" s="128">
        <v>0</v>
      </c>
      <c r="R1029" s="128">
        <v>0</v>
      </c>
      <c r="S1029" s="128">
        <v>0</v>
      </c>
      <c r="T1029" s="128">
        <v>-1492524.65</v>
      </c>
      <c r="U1029" s="128">
        <v>0</v>
      </c>
      <c r="V1029" s="128">
        <v>-1492524.65</v>
      </c>
      <c r="W1029" s="128">
        <v>0</v>
      </c>
      <c r="X1029" s="128">
        <v>0</v>
      </c>
      <c r="Y1029" s="128">
        <v>0</v>
      </c>
      <c r="Z1029" s="128">
        <v>-1492524.65</v>
      </c>
      <c r="AA1029" s="128">
        <v>0</v>
      </c>
      <c r="AB1029" s="126">
        <f t="shared" si="114"/>
        <v>0.149252465</v>
      </c>
      <c r="AC1029" s="122" t="s">
        <v>1838</v>
      </c>
      <c r="AD1029" s="123">
        <f t="shared" si="115"/>
        <v>1983.9723217250009</v>
      </c>
    </row>
    <row r="1030" spans="1:30" ht="12.75" hidden="1" customHeight="1">
      <c r="A1030" s="125" t="str">
        <f t="shared" si="111"/>
        <v>LIC173Amort Receivable-ZCB</v>
      </c>
      <c r="B1030" s="125">
        <f>+IFERROR(VLOOKUP(L1030,'TB mapping'!A:D,4,0),0)</f>
        <v>0</v>
      </c>
      <c r="C1030" s="125">
        <f>+IFERROR(VLOOKUP(L1030,'TB mapping'!A:C,3,0),0)</f>
        <v>0</v>
      </c>
      <c r="D1030" s="125" t="str">
        <f t="shared" si="112"/>
        <v>LIC1730</v>
      </c>
      <c r="E1030" s="125" t="str">
        <f t="shared" si="113"/>
        <v>LIC1730</v>
      </c>
      <c r="F1030" s="158" t="str">
        <f>+VLOOKUP(H1030,'code mapping'!A:C,3,0)</f>
        <v>LIC173</v>
      </c>
      <c r="G1030" s="127" t="s">
        <v>453</v>
      </c>
      <c r="H1030" s="127" t="s">
        <v>614</v>
      </c>
      <c r="I1030" s="127" t="s">
        <v>615</v>
      </c>
      <c r="J1030" s="128">
        <v>152000</v>
      </c>
      <c r="K1030" s="127" t="s">
        <v>478</v>
      </c>
      <c r="L1030" s="151">
        <v>152145</v>
      </c>
      <c r="M1030" s="128">
        <v>0</v>
      </c>
      <c r="N1030" s="127" t="s">
        <v>610</v>
      </c>
      <c r="O1030" s="127" t="s">
        <v>457</v>
      </c>
      <c r="P1030" s="128">
        <v>-19399583.98</v>
      </c>
      <c r="Q1030" s="128">
        <v>0</v>
      </c>
      <c r="R1030" s="128">
        <v>0</v>
      </c>
      <c r="S1030" s="128">
        <v>0</v>
      </c>
      <c r="T1030" s="128">
        <v>-19399583.98</v>
      </c>
      <c r="U1030" s="128">
        <v>0</v>
      </c>
      <c r="V1030" s="128">
        <v>-19399583.98</v>
      </c>
      <c r="W1030" s="128">
        <v>0</v>
      </c>
      <c r="X1030" s="128">
        <v>0</v>
      </c>
      <c r="Y1030" s="128">
        <v>0</v>
      </c>
      <c r="Z1030" s="128">
        <v>-19399583.98</v>
      </c>
      <c r="AA1030" s="128">
        <v>0</v>
      </c>
      <c r="AB1030" s="126">
        <f t="shared" si="114"/>
        <v>1.9399583980000001</v>
      </c>
      <c r="AC1030" s="122" t="s">
        <v>1838</v>
      </c>
      <c r="AD1030" s="123">
        <f t="shared" si="115"/>
        <v>1983.9723217250009</v>
      </c>
    </row>
    <row r="1031" spans="1:30" ht="12.75" hidden="1" customHeight="1">
      <c r="A1031" s="125" t="str">
        <f t="shared" si="111"/>
        <v>LIC173Amort Receivable - CBLO</v>
      </c>
      <c r="B1031" s="125">
        <f>+IFERROR(VLOOKUP(L1031,'TB mapping'!A:D,4,0),0)</f>
        <v>0</v>
      </c>
      <c r="C1031" s="125">
        <f>+IFERROR(VLOOKUP(L1031,'TB mapping'!A:C,3,0),0)</f>
        <v>0</v>
      </c>
      <c r="D1031" s="125" t="str">
        <f t="shared" si="112"/>
        <v>LIC1730</v>
      </c>
      <c r="E1031" s="125" t="str">
        <f t="shared" si="113"/>
        <v>LIC1730</v>
      </c>
      <c r="F1031" s="158" t="str">
        <f>+VLOOKUP(H1031,'code mapping'!A:C,3,0)</f>
        <v>LIC173</v>
      </c>
      <c r="G1031" s="127" t="s">
        <v>453</v>
      </c>
      <c r="H1031" s="127" t="s">
        <v>614</v>
      </c>
      <c r="I1031" s="127" t="s">
        <v>615</v>
      </c>
      <c r="J1031" s="128">
        <v>152000</v>
      </c>
      <c r="K1031" s="127" t="s">
        <v>478</v>
      </c>
      <c r="L1031" s="151">
        <v>152232</v>
      </c>
      <c r="M1031" s="128">
        <v>0</v>
      </c>
      <c r="N1031" s="127" t="s">
        <v>482</v>
      </c>
      <c r="O1031" s="127" t="s">
        <v>457</v>
      </c>
      <c r="P1031" s="128">
        <v>-12046.68</v>
      </c>
      <c r="Q1031" s="128">
        <v>0</v>
      </c>
      <c r="R1031" s="128">
        <v>0</v>
      </c>
      <c r="S1031" s="128">
        <v>0</v>
      </c>
      <c r="T1031" s="128">
        <v>-12046.68</v>
      </c>
      <c r="U1031" s="128">
        <v>0</v>
      </c>
      <c r="V1031" s="128">
        <v>-12046.68</v>
      </c>
      <c r="W1031" s="128">
        <v>0</v>
      </c>
      <c r="X1031" s="128">
        <v>0</v>
      </c>
      <c r="Y1031" s="128">
        <v>0</v>
      </c>
      <c r="Z1031" s="128">
        <v>-12046.68</v>
      </c>
      <c r="AA1031" s="128">
        <v>0</v>
      </c>
      <c r="AB1031" s="126">
        <f t="shared" si="114"/>
        <v>1.2046680000000001E-3</v>
      </c>
      <c r="AC1031" s="122" t="s">
        <v>1838</v>
      </c>
      <c r="AD1031" s="123">
        <f t="shared" si="115"/>
        <v>1983.9723217250009</v>
      </c>
    </row>
    <row r="1032" spans="1:30" ht="12.75" hidden="1" customHeight="1">
      <c r="A1032" s="125" t="str">
        <f t="shared" si="111"/>
        <v>LIC173Prov Unr P/L - Equities</v>
      </c>
      <c r="B1032" s="125">
        <f>+IFERROR(VLOOKUP(L1032,'TB mapping'!A:D,4,0),0)</f>
        <v>0</v>
      </c>
      <c r="C1032" s="125">
        <f>+IFERROR(VLOOKUP(L1032,'TB mapping'!A:C,3,0),0)</f>
        <v>0</v>
      </c>
      <c r="D1032" s="125" t="str">
        <f t="shared" si="112"/>
        <v>LIC1730</v>
      </c>
      <c r="E1032" s="125" t="str">
        <f t="shared" si="113"/>
        <v>LIC1730</v>
      </c>
      <c r="F1032" s="158" t="str">
        <f>+VLOOKUP(H1032,'code mapping'!A:C,3,0)</f>
        <v>LIC173</v>
      </c>
      <c r="G1032" s="127" t="s">
        <v>453</v>
      </c>
      <c r="H1032" s="127" t="s">
        <v>614</v>
      </c>
      <c r="I1032" s="127" t="s">
        <v>615</v>
      </c>
      <c r="J1032" s="128">
        <v>160000</v>
      </c>
      <c r="K1032" s="127" t="s">
        <v>483</v>
      </c>
      <c r="L1032" s="151">
        <v>161100</v>
      </c>
      <c r="M1032" s="128">
        <v>0</v>
      </c>
      <c r="N1032" s="127" t="s">
        <v>595</v>
      </c>
      <c r="O1032" s="127" t="s">
        <v>457</v>
      </c>
      <c r="P1032" s="128">
        <v>-12826581.289999999</v>
      </c>
      <c r="Q1032" s="128">
        <v>0</v>
      </c>
      <c r="R1032" s="128">
        <v>0</v>
      </c>
      <c r="S1032" s="128">
        <v>0</v>
      </c>
      <c r="T1032" s="128">
        <v>-12826581.289999999</v>
      </c>
      <c r="U1032" s="128">
        <v>0</v>
      </c>
      <c r="V1032" s="128">
        <v>-12826581.289999999</v>
      </c>
      <c r="W1032" s="128">
        <v>0</v>
      </c>
      <c r="X1032" s="128">
        <v>0</v>
      </c>
      <c r="Y1032" s="128">
        <v>0</v>
      </c>
      <c r="Z1032" s="128">
        <v>-12826581.289999999</v>
      </c>
      <c r="AA1032" s="128">
        <v>0</v>
      </c>
      <c r="AB1032" s="126">
        <f t="shared" si="114"/>
        <v>1.2826581289999999</v>
      </c>
      <c r="AC1032" s="122" t="s">
        <v>1838</v>
      </c>
      <c r="AD1032" s="123">
        <f t="shared" si="115"/>
        <v>1983.9723217250009</v>
      </c>
    </row>
    <row r="1033" spans="1:30" ht="12.75" hidden="1" customHeight="1">
      <c r="A1033" s="125" t="str">
        <f t="shared" si="111"/>
        <v>LIC173Prov Unr P/L - CorpBond/Debent</v>
      </c>
      <c r="B1033" s="125">
        <f>+IFERROR(VLOOKUP(L1033,'TB mapping'!A:D,4,0),0)</f>
        <v>0</v>
      </c>
      <c r="C1033" s="125">
        <f>+IFERROR(VLOOKUP(L1033,'TB mapping'!A:C,3,0),0)</f>
        <v>0</v>
      </c>
      <c r="D1033" s="125" t="str">
        <f t="shared" si="112"/>
        <v>LIC1730</v>
      </c>
      <c r="E1033" s="125" t="str">
        <f t="shared" si="113"/>
        <v>LIC1730</v>
      </c>
      <c r="F1033" s="158" t="str">
        <f>+VLOOKUP(H1033,'code mapping'!A:C,3,0)</f>
        <v>LIC173</v>
      </c>
      <c r="G1033" s="127" t="s">
        <v>453</v>
      </c>
      <c r="H1033" s="127" t="s">
        <v>614</v>
      </c>
      <c r="I1033" s="127" t="s">
        <v>615</v>
      </c>
      <c r="J1033" s="128">
        <v>160000</v>
      </c>
      <c r="K1033" s="127" t="s">
        <v>483</v>
      </c>
      <c r="L1033" s="151">
        <v>162120</v>
      </c>
      <c r="M1033" s="128">
        <v>0</v>
      </c>
      <c r="N1033" s="127" t="s">
        <v>484</v>
      </c>
      <c r="O1033" s="127" t="s">
        <v>457</v>
      </c>
      <c r="P1033" s="128">
        <v>0</v>
      </c>
      <c r="Q1033" s="128">
        <v>448445</v>
      </c>
      <c r="R1033" s="128">
        <v>0</v>
      </c>
      <c r="S1033" s="128">
        <v>0</v>
      </c>
      <c r="T1033" s="128">
        <v>0</v>
      </c>
      <c r="U1033" s="128">
        <v>448445</v>
      </c>
      <c r="V1033" s="128">
        <v>0</v>
      </c>
      <c r="W1033" s="128">
        <v>448445</v>
      </c>
      <c r="X1033" s="128">
        <v>0</v>
      </c>
      <c r="Y1033" s="128">
        <v>0</v>
      </c>
      <c r="Z1033" s="128">
        <v>0</v>
      </c>
      <c r="AA1033" s="128">
        <v>448445</v>
      </c>
      <c r="AB1033" s="126">
        <f t="shared" si="114"/>
        <v>-4.4844500000000002E-2</v>
      </c>
      <c r="AC1033" s="122" t="s">
        <v>1838</v>
      </c>
      <c r="AD1033" s="123">
        <f t="shared" si="115"/>
        <v>1983.9723217250009</v>
      </c>
    </row>
    <row r="1034" spans="1:30" ht="12.75" hidden="1" customHeight="1">
      <c r="A1034" s="125" t="str">
        <f t="shared" si="111"/>
        <v>LIC173Prov Unr P/L -ZCB</v>
      </c>
      <c r="B1034" s="125">
        <f>+IFERROR(VLOOKUP(L1034,'TB mapping'!A:D,4,0),0)</f>
        <v>0</v>
      </c>
      <c r="C1034" s="125">
        <f>+IFERROR(VLOOKUP(L1034,'TB mapping'!A:C,3,0),0)</f>
        <v>0</v>
      </c>
      <c r="D1034" s="125" t="str">
        <f t="shared" si="112"/>
        <v>LIC1730</v>
      </c>
      <c r="E1034" s="125" t="str">
        <f t="shared" si="113"/>
        <v>LIC1730</v>
      </c>
      <c r="F1034" s="158" t="str">
        <f>+VLOOKUP(H1034,'code mapping'!A:C,3,0)</f>
        <v>LIC173</v>
      </c>
      <c r="G1034" s="127" t="s">
        <v>453</v>
      </c>
      <c r="H1034" s="127" t="s">
        <v>614</v>
      </c>
      <c r="I1034" s="127" t="s">
        <v>615</v>
      </c>
      <c r="J1034" s="128">
        <v>160000</v>
      </c>
      <c r="K1034" s="127" t="s">
        <v>483</v>
      </c>
      <c r="L1034" s="151">
        <v>162145</v>
      </c>
      <c r="M1034" s="128">
        <v>0</v>
      </c>
      <c r="N1034" s="127" t="s">
        <v>611</v>
      </c>
      <c r="O1034" s="127" t="s">
        <v>457</v>
      </c>
      <c r="P1034" s="128">
        <v>0</v>
      </c>
      <c r="Q1034" s="128">
        <v>659839.98</v>
      </c>
      <c r="R1034" s="128">
        <v>0</v>
      </c>
      <c r="S1034" s="128">
        <v>0</v>
      </c>
      <c r="T1034" s="128">
        <v>0</v>
      </c>
      <c r="U1034" s="128">
        <v>659839.98</v>
      </c>
      <c r="V1034" s="128">
        <v>0</v>
      </c>
      <c r="W1034" s="128">
        <v>659839.98</v>
      </c>
      <c r="X1034" s="128">
        <v>0</v>
      </c>
      <c r="Y1034" s="128">
        <v>0</v>
      </c>
      <c r="Z1034" s="128">
        <v>0</v>
      </c>
      <c r="AA1034" s="128">
        <v>659839.98</v>
      </c>
      <c r="AB1034" s="126">
        <f t="shared" si="114"/>
        <v>-6.5983998000000002E-2</v>
      </c>
      <c r="AC1034" s="122" t="s">
        <v>1838</v>
      </c>
      <c r="AD1034" s="123">
        <f t="shared" si="115"/>
        <v>1983.9723217250009</v>
      </c>
    </row>
    <row r="1035" spans="1:30" ht="12.75" hidden="1" customHeight="1">
      <c r="A1035" s="125" t="str">
        <f t="shared" si="111"/>
        <v>LIC173Audit Fee-Payable</v>
      </c>
      <c r="B1035" s="125">
        <f>+IFERROR(VLOOKUP(L1035,'TB mapping'!A:D,4,0),0)</f>
        <v>0</v>
      </c>
      <c r="C1035" s="125">
        <f>+IFERROR(VLOOKUP(L1035,'TB mapping'!A:C,3,0),0)</f>
        <v>0</v>
      </c>
      <c r="D1035" s="125" t="str">
        <f t="shared" si="112"/>
        <v>LIC1730</v>
      </c>
      <c r="E1035" s="125" t="str">
        <f t="shared" si="113"/>
        <v>LIC1730</v>
      </c>
      <c r="F1035" s="158" t="str">
        <f>+VLOOKUP(H1035,'code mapping'!A:C,3,0)</f>
        <v>LIC173</v>
      </c>
      <c r="G1035" s="127" t="s">
        <v>453</v>
      </c>
      <c r="H1035" s="127" t="s">
        <v>614</v>
      </c>
      <c r="I1035" s="127" t="s">
        <v>615</v>
      </c>
      <c r="J1035" s="128">
        <v>212000</v>
      </c>
      <c r="K1035" s="127" t="s">
        <v>487</v>
      </c>
      <c r="L1035" s="151">
        <v>212194</v>
      </c>
      <c r="M1035" s="128">
        <v>0</v>
      </c>
      <c r="N1035" s="127" t="s">
        <v>496</v>
      </c>
      <c r="O1035" s="127" t="s">
        <v>457</v>
      </c>
      <c r="P1035" s="128">
        <v>-237.3</v>
      </c>
      <c r="Q1035" s="128">
        <v>0</v>
      </c>
      <c r="R1035" s="128">
        <v>0</v>
      </c>
      <c r="S1035" s="128">
        <v>0</v>
      </c>
      <c r="T1035" s="128">
        <v>-237.3</v>
      </c>
      <c r="U1035" s="128">
        <v>0</v>
      </c>
      <c r="V1035" s="128">
        <v>-237.3</v>
      </c>
      <c r="W1035" s="128">
        <v>0</v>
      </c>
      <c r="X1035" s="128">
        <v>0</v>
      </c>
      <c r="Y1035" s="128">
        <v>0</v>
      </c>
      <c r="Z1035" s="128">
        <v>-237.3</v>
      </c>
      <c r="AA1035" s="128">
        <v>0</v>
      </c>
      <c r="AB1035" s="126">
        <f t="shared" si="114"/>
        <v>2.3730000000000001E-5</v>
      </c>
      <c r="AC1035" s="122" t="s">
        <v>1838</v>
      </c>
      <c r="AD1035" s="123">
        <f t="shared" si="115"/>
        <v>1983.9723217250009</v>
      </c>
    </row>
    <row r="1036" spans="1:30" ht="12.75" hidden="1" customHeight="1">
      <c r="A1036" s="125" t="str">
        <f t="shared" si="111"/>
        <v>LIC173Other Exp- Payable</v>
      </c>
      <c r="B1036" s="125">
        <f>+IFERROR(VLOOKUP(L1036,'TB mapping'!A:D,4,0),0)</f>
        <v>0</v>
      </c>
      <c r="C1036" s="125">
        <f>+IFERROR(VLOOKUP(L1036,'TB mapping'!A:C,3,0),0)</f>
        <v>0</v>
      </c>
      <c r="D1036" s="125" t="str">
        <f t="shared" si="112"/>
        <v>LIC1730</v>
      </c>
      <c r="E1036" s="125" t="str">
        <f t="shared" si="113"/>
        <v>LIC1730</v>
      </c>
      <c r="F1036" s="158" t="str">
        <f>+VLOOKUP(H1036,'code mapping'!A:C,3,0)</f>
        <v>LIC173</v>
      </c>
      <c r="G1036" s="127" t="s">
        <v>453</v>
      </c>
      <c r="H1036" s="127" t="s">
        <v>614</v>
      </c>
      <c r="I1036" s="127" t="s">
        <v>615</v>
      </c>
      <c r="J1036" s="128">
        <v>212000</v>
      </c>
      <c r="K1036" s="127" t="s">
        <v>487</v>
      </c>
      <c r="L1036" s="151">
        <v>212220</v>
      </c>
      <c r="M1036" s="128">
        <v>0</v>
      </c>
      <c r="N1036" s="127" t="s">
        <v>497</v>
      </c>
      <c r="O1036" s="127" t="s">
        <v>457</v>
      </c>
      <c r="P1036" s="128">
        <v>0</v>
      </c>
      <c r="Q1036" s="128">
        <v>274314.68</v>
      </c>
      <c r="R1036" s="128">
        <v>0</v>
      </c>
      <c r="S1036" s="128">
        <v>0</v>
      </c>
      <c r="T1036" s="128">
        <v>0</v>
      </c>
      <c r="U1036" s="128">
        <v>274314.68</v>
      </c>
      <c r="V1036" s="128">
        <v>0</v>
      </c>
      <c r="W1036" s="128">
        <v>274314.68</v>
      </c>
      <c r="X1036" s="128">
        <v>0</v>
      </c>
      <c r="Y1036" s="128">
        <v>0</v>
      </c>
      <c r="Z1036" s="128">
        <v>0</v>
      </c>
      <c r="AA1036" s="128">
        <v>274314.68</v>
      </c>
      <c r="AB1036" s="126">
        <f t="shared" si="114"/>
        <v>-2.7431468000000001E-2</v>
      </c>
      <c r="AC1036" s="122" t="s">
        <v>1838</v>
      </c>
      <c r="AD1036" s="123">
        <f t="shared" si="115"/>
        <v>1983.9723217250009</v>
      </c>
    </row>
    <row r="1037" spans="1:30" ht="12.75" hidden="1" customHeight="1">
      <c r="A1037" s="125" t="str">
        <f t="shared" si="111"/>
        <v>LIC173Expense Allocation-Liab'ity Ac</v>
      </c>
      <c r="B1037" s="125">
        <f>+IFERROR(VLOOKUP(L1037,'TB mapping'!A:D,4,0),0)</f>
        <v>0</v>
      </c>
      <c r="C1037" s="125">
        <f>+IFERROR(VLOOKUP(L1037,'TB mapping'!A:C,3,0),0)</f>
        <v>0</v>
      </c>
      <c r="D1037" s="125" t="str">
        <f t="shared" si="112"/>
        <v>LIC1730</v>
      </c>
      <c r="E1037" s="125" t="str">
        <f t="shared" si="113"/>
        <v>LIC1730</v>
      </c>
      <c r="F1037" s="158" t="str">
        <f>+VLOOKUP(H1037,'code mapping'!A:C,3,0)</f>
        <v>LIC173</v>
      </c>
      <c r="G1037" s="127" t="s">
        <v>453</v>
      </c>
      <c r="H1037" s="127" t="s">
        <v>614</v>
      </c>
      <c r="I1037" s="127" t="s">
        <v>615</v>
      </c>
      <c r="J1037" s="128">
        <v>212000</v>
      </c>
      <c r="K1037" s="127" t="s">
        <v>487</v>
      </c>
      <c r="L1037" s="151">
        <v>212223</v>
      </c>
      <c r="M1037" s="128">
        <v>0</v>
      </c>
      <c r="N1037" s="127" t="s">
        <v>498</v>
      </c>
      <c r="O1037" s="127" t="s">
        <v>457</v>
      </c>
      <c r="P1037" s="128">
        <v>-119605.11</v>
      </c>
      <c r="Q1037" s="128">
        <v>0</v>
      </c>
      <c r="R1037" s="128">
        <v>0</v>
      </c>
      <c r="S1037" s="128">
        <v>0</v>
      </c>
      <c r="T1037" s="128">
        <v>-119605.11</v>
      </c>
      <c r="U1037" s="128">
        <v>0</v>
      </c>
      <c r="V1037" s="128">
        <v>-119605.11</v>
      </c>
      <c r="W1037" s="128">
        <v>0</v>
      </c>
      <c r="X1037" s="128">
        <v>0</v>
      </c>
      <c r="Y1037" s="128">
        <v>0</v>
      </c>
      <c r="Z1037" s="128">
        <v>-119605.11</v>
      </c>
      <c r="AA1037" s="128">
        <v>0</v>
      </c>
      <c r="AB1037" s="126">
        <f t="shared" si="114"/>
        <v>1.1960511E-2</v>
      </c>
      <c r="AC1037" s="122" t="s">
        <v>1838</v>
      </c>
      <c r="AD1037" s="123">
        <f t="shared" si="115"/>
        <v>1983.9723217250009</v>
      </c>
    </row>
    <row r="1038" spans="1:30" ht="12.75" hidden="1" customHeight="1">
      <c r="A1038" s="125" t="str">
        <f t="shared" si="111"/>
        <v>LIC173Investor Education Payable</v>
      </c>
      <c r="B1038" s="125">
        <f>+IFERROR(VLOOKUP(L1038,'TB mapping'!A:D,4,0),0)</f>
        <v>0</v>
      </c>
      <c r="C1038" s="125">
        <f>+IFERROR(VLOOKUP(L1038,'TB mapping'!A:C,3,0),0)</f>
        <v>0</v>
      </c>
      <c r="D1038" s="125" t="str">
        <f t="shared" si="112"/>
        <v>LIC1730</v>
      </c>
      <c r="E1038" s="125" t="str">
        <f t="shared" si="113"/>
        <v>LIC1730</v>
      </c>
      <c r="F1038" s="158" t="str">
        <f>+VLOOKUP(H1038,'code mapping'!A:C,3,0)</f>
        <v>LIC173</v>
      </c>
      <c r="G1038" s="127" t="s">
        <v>453</v>
      </c>
      <c r="H1038" s="127" t="s">
        <v>614</v>
      </c>
      <c r="I1038" s="127" t="s">
        <v>615</v>
      </c>
      <c r="J1038" s="128">
        <v>212000</v>
      </c>
      <c r="K1038" s="127" t="s">
        <v>487</v>
      </c>
      <c r="L1038" s="151">
        <v>212240</v>
      </c>
      <c r="M1038" s="128">
        <v>0</v>
      </c>
      <c r="N1038" s="127" t="s">
        <v>500</v>
      </c>
      <c r="O1038" s="127" t="s">
        <v>457</v>
      </c>
      <c r="P1038" s="128">
        <v>0</v>
      </c>
      <c r="Q1038" s="128">
        <v>2778.05</v>
      </c>
      <c r="R1038" s="128">
        <v>0</v>
      </c>
      <c r="S1038" s="128">
        <v>0</v>
      </c>
      <c r="T1038" s="128">
        <v>0</v>
      </c>
      <c r="U1038" s="128">
        <v>2778.05</v>
      </c>
      <c r="V1038" s="128">
        <v>0</v>
      </c>
      <c r="W1038" s="128">
        <v>2778.05</v>
      </c>
      <c r="X1038" s="128">
        <v>0</v>
      </c>
      <c r="Y1038" s="128">
        <v>0</v>
      </c>
      <c r="Z1038" s="128">
        <v>0</v>
      </c>
      <c r="AA1038" s="128">
        <v>2778.05</v>
      </c>
      <c r="AB1038" s="126">
        <f t="shared" si="114"/>
        <v>-2.77805E-4</v>
      </c>
      <c r="AC1038" s="122" t="s">
        <v>1838</v>
      </c>
      <c r="AD1038" s="123">
        <f t="shared" si="115"/>
        <v>1983.9723217250009</v>
      </c>
    </row>
    <row r="1039" spans="1:30" ht="12.75" hidden="1" customHeight="1">
      <c r="A1039" s="125" t="str">
        <f t="shared" si="111"/>
        <v>LIC173Transaction Charges Payable</v>
      </c>
      <c r="B1039" s="125">
        <f>+IFERROR(VLOOKUP(L1039,'TB mapping'!A:D,4,0),0)</f>
        <v>0</v>
      </c>
      <c r="C1039" s="125">
        <f>+IFERROR(VLOOKUP(L1039,'TB mapping'!A:C,3,0),0)</f>
        <v>0</v>
      </c>
      <c r="D1039" s="125" t="str">
        <f t="shared" si="112"/>
        <v>LIC1730</v>
      </c>
      <c r="E1039" s="125" t="str">
        <f t="shared" si="113"/>
        <v>LIC1730</v>
      </c>
      <c r="F1039" s="158" t="str">
        <f>+VLOOKUP(H1039,'code mapping'!A:C,3,0)</f>
        <v>LIC173</v>
      </c>
      <c r="G1039" s="127" t="s">
        <v>453</v>
      </c>
      <c r="H1039" s="127" t="s">
        <v>614</v>
      </c>
      <c r="I1039" s="127" t="s">
        <v>615</v>
      </c>
      <c r="J1039" s="128">
        <v>212000</v>
      </c>
      <c r="K1039" s="127" t="s">
        <v>487</v>
      </c>
      <c r="L1039" s="151">
        <v>212247</v>
      </c>
      <c r="M1039" s="128">
        <v>0</v>
      </c>
      <c r="N1039" s="127" t="s">
        <v>501</v>
      </c>
      <c r="O1039" s="127" t="s">
        <v>457</v>
      </c>
      <c r="P1039" s="128">
        <v>0</v>
      </c>
      <c r="Q1039" s="128">
        <v>300</v>
      </c>
      <c r="R1039" s="128">
        <v>0</v>
      </c>
      <c r="S1039" s="128">
        <v>0</v>
      </c>
      <c r="T1039" s="128">
        <v>0</v>
      </c>
      <c r="U1039" s="128">
        <v>300</v>
      </c>
      <c r="V1039" s="128">
        <v>0</v>
      </c>
      <c r="W1039" s="128">
        <v>300</v>
      </c>
      <c r="X1039" s="128">
        <v>0</v>
      </c>
      <c r="Y1039" s="128">
        <v>0</v>
      </c>
      <c r="Z1039" s="128">
        <v>0</v>
      </c>
      <c r="AA1039" s="128">
        <v>300</v>
      </c>
      <c r="AB1039" s="126">
        <f t="shared" si="114"/>
        <v>-3.0000000000000001E-5</v>
      </c>
      <c r="AC1039" s="122" t="s">
        <v>1838</v>
      </c>
      <c r="AD1039" s="123">
        <f t="shared" si="115"/>
        <v>1983.9723217250009</v>
      </c>
    </row>
    <row r="1040" spans="1:30" ht="12.75" hidden="1" customHeight="1">
      <c r="A1040" s="125" t="str">
        <f t="shared" si="111"/>
        <v>LIC173Brokerage &amp; Dist Exp Payable</v>
      </c>
      <c r="B1040" s="125">
        <f>+IFERROR(VLOOKUP(L1040,'TB mapping'!A:D,4,0),0)</f>
        <v>0</v>
      </c>
      <c r="C1040" s="125">
        <f>+IFERROR(VLOOKUP(L1040,'TB mapping'!A:C,3,0),0)</f>
        <v>0</v>
      </c>
      <c r="D1040" s="125" t="str">
        <f t="shared" si="112"/>
        <v>LIC1730</v>
      </c>
      <c r="E1040" s="125" t="str">
        <f t="shared" si="113"/>
        <v>LIC1730</v>
      </c>
      <c r="F1040" s="158" t="str">
        <f>+VLOOKUP(H1040,'code mapping'!A:C,3,0)</f>
        <v>LIC173</v>
      </c>
      <c r="G1040" s="127" t="s">
        <v>453</v>
      </c>
      <c r="H1040" s="127" t="s">
        <v>614</v>
      </c>
      <c r="I1040" s="127" t="s">
        <v>615</v>
      </c>
      <c r="J1040" s="128">
        <v>212000</v>
      </c>
      <c r="K1040" s="127" t="s">
        <v>487</v>
      </c>
      <c r="L1040" s="151">
        <v>212255</v>
      </c>
      <c r="M1040" s="128">
        <v>0</v>
      </c>
      <c r="N1040" s="127" t="s">
        <v>503</v>
      </c>
      <c r="O1040" s="127" t="s">
        <v>457</v>
      </c>
      <c r="P1040" s="128">
        <v>0</v>
      </c>
      <c r="Q1040" s="128">
        <v>339802.01</v>
      </c>
      <c r="R1040" s="128">
        <v>0</v>
      </c>
      <c r="S1040" s="128">
        <v>0</v>
      </c>
      <c r="T1040" s="128">
        <v>0</v>
      </c>
      <c r="U1040" s="128">
        <v>339802.01</v>
      </c>
      <c r="V1040" s="128">
        <v>0</v>
      </c>
      <c r="W1040" s="128">
        <v>339802.01</v>
      </c>
      <c r="X1040" s="128">
        <v>0</v>
      </c>
      <c r="Y1040" s="128">
        <v>0</v>
      </c>
      <c r="Z1040" s="128">
        <v>0</v>
      </c>
      <c r="AA1040" s="128">
        <v>339802.01</v>
      </c>
      <c r="AB1040" s="126">
        <f t="shared" si="114"/>
        <v>-3.3980201000000002E-2</v>
      </c>
      <c r="AC1040" s="122" t="s">
        <v>1838</v>
      </c>
      <c r="AD1040" s="123">
        <f t="shared" si="115"/>
        <v>1983.9723217250009</v>
      </c>
    </row>
    <row r="1041" spans="1:30" ht="12.75" hidden="1" customHeight="1">
      <c r="A1041" s="125" t="str">
        <f t="shared" si="111"/>
        <v>LIC173Upfront Brk &amp; Trail Paid-Liab</v>
      </c>
      <c r="B1041" s="125">
        <f>+IFERROR(VLOOKUP(L1041,'TB mapping'!A:D,4,0),0)</f>
        <v>0</v>
      </c>
      <c r="C1041" s="125">
        <f>+IFERROR(VLOOKUP(L1041,'TB mapping'!A:C,3,0),0)</f>
        <v>0</v>
      </c>
      <c r="D1041" s="125" t="str">
        <f t="shared" si="112"/>
        <v>LIC1730</v>
      </c>
      <c r="E1041" s="125" t="str">
        <f t="shared" si="113"/>
        <v>LIC1730</v>
      </c>
      <c r="F1041" s="158" t="str">
        <f>+VLOOKUP(H1041,'code mapping'!A:C,3,0)</f>
        <v>LIC173</v>
      </c>
      <c r="G1041" s="127" t="s">
        <v>453</v>
      </c>
      <c r="H1041" s="127" t="s">
        <v>614</v>
      </c>
      <c r="I1041" s="127" t="s">
        <v>615</v>
      </c>
      <c r="J1041" s="128">
        <v>212000</v>
      </c>
      <c r="K1041" s="127" t="s">
        <v>487</v>
      </c>
      <c r="L1041" s="151">
        <v>212257</v>
      </c>
      <c r="M1041" s="128">
        <v>0</v>
      </c>
      <c r="N1041" s="127" t="s">
        <v>504</v>
      </c>
      <c r="O1041" s="127" t="s">
        <v>457</v>
      </c>
      <c r="P1041" s="128">
        <v>-4772.32</v>
      </c>
      <c r="Q1041" s="128">
        <v>0</v>
      </c>
      <c r="R1041" s="128">
        <v>0</v>
      </c>
      <c r="S1041" s="128">
        <v>0</v>
      </c>
      <c r="T1041" s="128">
        <v>-4772.32</v>
      </c>
      <c r="U1041" s="128">
        <v>0</v>
      </c>
      <c r="V1041" s="128">
        <v>-4772.32</v>
      </c>
      <c r="W1041" s="128">
        <v>0</v>
      </c>
      <c r="X1041" s="128">
        <v>0</v>
      </c>
      <c r="Y1041" s="128">
        <v>0</v>
      </c>
      <c r="Z1041" s="128">
        <v>-4772.32</v>
      </c>
      <c r="AA1041" s="128">
        <v>0</v>
      </c>
      <c r="AB1041" s="126">
        <f t="shared" si="114"/>
        <v>4.7723199999999996E-4</v>
      </c>
      <c r="AC1041" s="122" t="s">
        <v>1838</v>
      </c>
      <c r="AD1041" s="123">
        <f t="shared" si="115"/>
        <v>1983.9723217250009</v>
      </c>
    </row>
    <row r="1042" spans="1:30" ht="12.75" hidden="1" customHeight="1">
      <c r="A1042" s="125" t="str">
        <f t="shared" si="111"/>
        <v>LIC173Payable CGST on Mfees</v>
      </c>
      <c r="B1042" s="125">
        <f>+IFERROR(VLOOKUP(L1042,'TB mapping'!A:D,4,0),0)</f>
        <v>0</v>
      </c>
      <c r="C1042" s="125">
        <f>+IFERROR(VLOOKUP(L1042,'TB mapping'!A:C,3,0),0)</f>
        <v>0</v>
      </c>
      <c r="D1042" s="125" t="str">
        <f t="shared" si="112"/>
        <v>LIC1730</v>
      </c>
      <c r="E1042" s="125" t="str">
        <f t="shared" si="113"/>
        <v>LIC1730</v>
      </c>
      <c r="F1042" s="158" t="str">
        <f>+VLOOKUP(H1042,'code mapping'!A:C,3,0)</f>
        <v>LIC173</v>
      </c>
      <c r="G1042" s="127" t="s">
        <v>453</v>
      </c>
      <c r="H1042" s="127" t="s">
        <v>614</v>
      </c>
      <c r="I1042" s="127" t="s">
        <v>615</v>
      </c>
      <c r="J1042" s="128">
        <v>212000</v>
      </c>
      <c r="K1042" s="127" t="s">
        <v>487</v>
      </c>
      <c r="L1042" s="151">
        <v>212271</v>
      </c>
      <c r="M1042" s="128">
        <v>0</v>
      </c>
      <c r="N1042" s="127" t="s">
        <v>505</v>
      </c>
      <c r="O1042" s="127" t="s">
        <v>457</v>
      </c>
      <c r="P1042" s="128">
        <v>0</v>
      </c>
      <c r="Q1042" s="128">
        <v>4424.76</v>
      </c>
      <c r="R1042" s="128">
        <v>0</v>
      </c>
      <c r="S1042" s="128">
        <v>0</v>
      </c>
      <c r="T1042" s="128">
        <v>0</v>
      </c>
      <c r="U1042" s="128">
        <v>4424.76</v>
      </c>
      <c r="V1042" s="128">
        <v>0</v>
      </c>
      <c r="W1042" s="128">
        <v>4424.76</v>
      </c>
      <c r="X1042" s="128">
        <v>0</v>
      </c>
      <c r="Y1042" s="128">
        <v>0</v>
      </c>
      <c r="Z1042" s="128">
        <v>0</v>
      </c>
      <c r="AA1042" s="128">
        <v>4424.76</v>
      </c>
      <c r="AB1042" s="126">
        <f t="shared" si="114"/>
        <v>-4.4247600000000002E-4</v>
      </c>
      <c r="AC1042" s="122" t="s">
        <v>1838</v>
      </c>
      <c r="AD1042" s="123">
        <f t="shared" si="115"/>
        <v>1983.9723217250009</v>
      </c>
    </row>
    <row r="1043" spans="1:30" ht="12.75" hidden="1" customHeight="1">
      <c r="A1043" s="125" t="str">
        <f t="shared" si="111"/>
        <v>LIC173Payable SGST on Mfees</v>
      </c>
      <c r="B1043" s="125">
        <f>+IFERROR(VLOOKUP(L1043,'TB mapping'!A:D,4,0),0)</f>
        <v>0</v>
      </c>
      <c r="C1043" s="125">
        <f>+IFERROR(VLOOKUP(L1043,'TB mapping'!A:C,3,0),0)</f>
        <v>0</v>
      </c>
      <c r="D1043" s="125" t="str">
        <f t="shared" si="112"/>
        <v>LIC1730</v>
      </c>
      <c r="E1043" s="125" t="str">
        <f t="shared" si="113"/>
        <v>LIC1730</v>
      </c>
      <c r="F1043" s="158" t="str">
        <f>+VLOOKUP(H1043,'code mapping'!A:C,3,0)</f>
        <v>LIC173</v>
      </c>
      <c r="G1043" s="127" t="s">
        <v>453</v>
      </c>
      <c r="H1043" s="127" t="s">
        <v>614</v>
      </c>
      <c r="I1043" s="127" t="s">
        <v>615</v>
      </c>
      <c r="J1043" s="128">
        <v>212000</v>
      </c>
      <c r="K1043" s="127" t="s">
        <v>487</v>
      </c>
      <c r="L1043" s="151">
        <v>212272</v>
      </c>
      <c r="M1043" s="128">
        <v>0</v>
      </c>
      <c r="N1043" s="127" t="s">
        <v>506</v>
      </c>
      <c r="O1043" s="127" t="s">
        <v>457</v>
      </c>
      <c r="P1043" s="128">
        <v>0</v>
      </c>
      <c r="Q1043" s="128">
        <v>4424.76</v>
      </c>
      <c r="R1043" s="128">
        <v>0</v>
      </c>
      <c r="S1043" s="128">
        <v>0</v>
      </c>
      <c r="T1043" s="128">
        <v>0</v>
      </c>
      <c r="U1043" s="128">
        <v>4424.76</v>
      </c>
      <c r="V1043" s="128">
        <v>0</v>
      </c>
      <c r="W1043" s="128">
        <v>4424.76</v>
      </c>
      <c r="X1043" s="128">
        <v>0</v>
      </c>
      <c r="Y1043" s="128">
        <v>0</v>
      </c>
      <c r="Z1043" s="128">
        <v>0</v>
      </c>
      <c r="AA1043" s="128">
        <v>4424.76</v>
      </c>
      <c r="AB1043" s="126">
        <f t="shared" si="114"/>
        <v>-4.4247600000000002E-4</v>
      </c>
      <c r="AC1043" s="122" t="s">
        <v>1838</v>
      </c>
      <c r="AD1043" s="123">
        <f t="shared" si="115"/>
        <v>1983.9723217250009</v>
      </c>
    </row>
    <row r="1044" spans="1:30" ht="12.75" hidden="1" customHeight="1">
      <c r="A1044" s="125" t="str">
        <f t="shared" si="111"/>
        <v>LIC173Payable -Inv Educ Fund-AMFI</v>
      </c>
      <c r="B1044" s="125">
        <f>+IFERROR(VLOOKUP(L1044,'TB mapping'!A:D,4,0),0)</f>
        <v>0</v>
      </c>
      <c r="C1044" s="125">
        <f>+IFERROR(VLOOKUP(L1044,'TB mapping'!A:C,3,0),0)</f>
        <v>0</v>
      </c>
      <c r="D1044" s="125" t="str">
        <f t="shared" si="112"/>
        <v>LIC1730</v>
      </c>
      <c r="E1044" s="125" t="str">
        <f t="shared" si="113"/>
        <v>LIC1730</v>
      </c>
      <c r="F1044" s="158" t="str">
        <f>+VLOOKUP(H1044,'code mapping'!A:C,3,0)</f>
        <v>LIC173</v>
      </c>
      <c r="G1044" s="127" t="s">
        <v>453</v>
      </c>
      <c r="H1044" s="127" t="s">
        <v>614</v>
      </c>
      <c r="I1044" s="127" t="s">
        <v>615</v>
      </c>
      <c r="J1044" s="128">
        <v>212000</v>
      </c>
      <c r="K1044" s="127" t="s">
        <v>487</v>
      </c>
      <c r="L1044" s="151">
        <v>213166</v>
      </c>
      <c r="M1044" s="128">
        <v>0</v>
      </c>
      <c r="N1044" s="127" t="s">
        <v>507</v>
      </c>
      <c r="O1044" s="127" t="s">
        <v>457</v>
      </c>
      <c r="P1044" s="128">
        <v>0</v>
      </c>
      <c r="Q1044" s="128">
        <v>2778.05</v>
      </c>
      <c r="R1044" s="128">
        <v>0</v>
      </c>
      <c r="S1044" s="128">
        <v>0</v>
      </c>
      <c r="T1044" s="128">
        <v>0</v>
      </c>
      <c r="U1044" s="128">
        <v>2778.05</v>
      </c>
      <c r="V1044" s="128">
        <v>0</v>
      </c>
      <c r="W1044" s="128">
        <v>2778.05</v>
      </c>
      <c r="X1044" s="128">
        <v>0</v>
      </c>
      <c r="Y1044" s="128">
        <v>0</v>
      </c>
      <c r="Z1044" s="128">
        <v>0</v>
      </c>
      <c r="AA1044" s="128">
        <v>2778.05</v>
      </c>
      <c r="AB1044" s="126">
        <f t="shared" si="114"/>
        <v>-2.77805E-4</v>
      </c>
      <c r="AC1044" s="122" t="s">
        <v>1838</v>
      </c>
      <c r="AD1044" s="123">
        <f t="shared" si="115"/>
        <v>1983.9723217250009</v>
      </c>
    </row>
    <row r="1045" spans="1:30" ht="12.75" hidden="1" customHeight="1">
      <c r="A1045" s="125" t="str">
        <f t="shared" si="111"/>
        <v>LIC173Management Fee Payable</v>
      </c>
      <c r="B1045" s="125">
        <f>+IFERROR(VLOOKUP(L1045,'TB mapping'!A:D,4,0),0)</f>
        <v>0</v>
      </c>
      <c r="C1045" s="125">
        <f>+IFERROR(VLOOKUP(L1045,'TB mapping'!A:C,3,0),0)</f>
        <v>0</v>
      </c>
      <c r="D1045" s="125" t="str">
        <f t="shared" si="112"/>
        <v>LIC1730</v>
      </c>
      <c r="E1045" s="125" t="str">
        <f t="shared" si="113"/>
        <v>LIC1730</v>
      </c>
      <c r="F1045" s="158" t="str">
        <f>+VLOOKUP(H1045,'code mapping'!A:C,3,0)</f>
        <v>LIC173</v>
      </c>
      <c r="G1045" s="127" t="s">
        <v>453</v>
      </c>
      <c r="H1045" s="127" t="s">
        <v>614</v>
      </c>
      <c r="I1045" s="127" t="s">
        <v>615</v>
      </c>
      <c r="J1045" s="128">
        <v>213000</v>
      </c>
      <c r="K1045" s="127" t="s">
        <v>508</v>
      </c>
      <c r="L1045" s="151">
        <v>213500</v>
      </c>
      <c r="M1045" s="128">
        <v>0</v>
      </c>
      <c r="N1045" s="127" t="s">
        <v>509</v>
      </c>
      <c r="O1045" s="127" t="s">
        <v>457</v>
      </c>
      <c r="P1045" s="128">
        <v>0</v>
      </c>
      <c r="Q1045" s="128">
        <v>49159.76</v>
      </c>
      <c r="R1045" s="128">
        <v>0</v>
      </c>
      <c r="S1045" s="128">
        <v>0</v>
      </c>
      <c r="T1045" s="128">
        <v>0</v>
      </c>
      <c r="U1045" s="128">
        <v>49159.76</v>
      </c>
      <c r="V1045" s="128">
        <v>0</v>
      </c>
      <c r="W1045" s="128">
        <v>49159.76</v>
      </c>
      <c r="X1045" s="128">
        <v>0</v>
      </c>
      <c r="Y1045" s="128">
        <v>0</v>
      </c>
      <c r="Z1045" s="128">
        <v>0</v>
      </c>
      <c r="AA1045" s="128">
        <v>49159.76</v>
      </c>
      <c r="AB1045" s="126">
        <f t="shared" si="114"/>
        <v>-4.9159759999999999E-3</v>
      </c>
      <c r="AC1045" s="122" t="s">
        <v>1838</v>
      </c>
      <c r="AD1045" s="123">
        <f t="shared" si="115"/>
        <v>1983.9723217250009</v>
      </c>
    </row>
    <row r="1046" spans="1:30" ht="12.75" hidden="1" customHeight="1">
      <c r="A1046" s="125" t="str">
        <f t="shared" si="111"/>
        <v>LIC173Other Adjustment A/c.</v>
      </c>
      <c r="B1046" s="125">
        <f>+IFERROR(VLOOKUP(L1046,'TB mapping'!A:D,4,0),0)</f>
        <v>0</v>
      </c>
      <c r="C1046" s="125">
        <f>+IFERROR(VLOOKUP(L1046,'TB mapping'!A:C,3,0),0)</f>
        <v>0</v>
      </c>
      <c r="D1046" s="125" t="str">
        <f t="shared" si="112"/>
        <v>LIC1730</v>
      </c>
      <c r="E1046" s="125" t="str">
        <f t="shared" si="113"/>
        <v>LIC1730</v>
      </c>
      <c r="F1046" s="158" t="str">
        <f>+VLOOKUP(H1046,'code mapping'!A:C,3,0)</f>
        <v>LIC173</v>
      </c>
      <c r="G1046" s="127" t="s">
        <v>453</v>
      </c>
      <c r="H1046" s="127" t="s">
        <v>614</v>
      </c>
      <c r="I1046" s="127" t="s">
        <v>615</v>
      </c>
      <c r="J1046" s="128">
        <v>220000</v>
      </c>
      <c r="K1046" s="127" t="s">
        <v>510</v>
      </c>
      <c r="L1046" s="151">
        <v>190000</v>
      </c>
      <c r="M1046" s="128">
        <v>0</v>
      </c>
      <c r="N1046" s="127" t="s">
        <v>511</v>
      </c>
      <c r="O1046" s="127" t="s">
        <v>457</v>
      </c>
      <c r="P1046" s="128">
        <v>-0.47</v>
      </c>
      <c r="Q1046" s="128">
        <v>0</v>
      </c>
      <c r="R1046" s="128">
        <v>0</v>
      </c>
      <c r="S1046" s="128">
        <v>0</v>
      </c>
      <c r="T1046" s="128">
        <v>-0.47</v>
      </c>
      <c r="U1046" s="128">
        <v>0</v>
      </c>
      <c r="V1046" s="128">
        <v>-0.47</v>
      </c>
      <c r="W1046" s="128">
        <v>0</v>
      </c>
      <c r="X1046" s="128">
        <v>0</v>
      </c>
      <c r="Y1046" s="128">
        <v>0</v>
      </c>
      <c r="Z1046" s="128">
        <v>-0.47</v>
      </c>
      <c r="AA1046" s="128">
        <v>0</v>
      </c>
      <c r="AB1046" s="126">
        <f t="shared" si="114"/>
        <v>4.6999999999999997E-8</v>
      </c>
      <c r="AC1046" s="122" t="s">
        <v>1838</v>
      </c>
      <c r="AD1046" s="123">
        <f t="shared" si="115"/>
        <v>1983.9723217250009</v>
      </c>
    </row>
    <row r="1047" spans="1:30" ht="12.75" hidden="1" customHeight="1">
      <c r="A1047" s="125" t="str">
        <f t="shared" si="111"/>
        <v>LIC173Prov For Withholding Brokerage</v>
      </c>
      <c r="B1047" s="125">
        <f>+IFERROR(VLOOKUP(L1047,'TB mapping'!A:D,4,0),0)</f>
        <v>0</v>
      </c>
      <c r="C1047" s="125">
        <f>+IFERROR(VLOOKUP(L1047,'TB mapping'!A:C,3,0),0)</f>
        <v>0</v>
      </c>
      <c r="D1047" s="125" t="str">
        <f t="shared" si="112"/>
        <v>LIC1730</v>
      </c>
      <c r="E1047" s="125" t="str">
        <f t="shared" si="113"/>
        <v>LIC1730</v>
      </c>
      <c r="F1047" s="158" t="str">
        <f>+VLOOKUP(H1047,'code mapping'!A:C,3,0)</f>
        <v>LIC173</v>
      </c>
      <c r="G1047" s="127" t="s">
        <v>453</v>
      </c>
      <c r="H1047" s="127" t="s">
        <v>614</v>
      </c>
      <c r="I1047" s="127" t="s">
        <v>615</v>
      </c>
      <c r="J1047" s="128">
        <v>220000</v>
      </c>
      <c r="K1047" s="127" t="s">
        <v>510</v>
      </c>
      <c r="L1047" s="151">
        <v>210162</v>
      </c>
      <c r="M1047" s="128">
        <v>0</v>
      </c>
      <c r="N1047" s="127" t="s">
        <v>512</v>
      </c>
      <c r="O1047" s="127" t="s">
        <v>457</v>
      </c>
      <c r="P1047" s="128">
        <v>0</v>
      </c>
      <c r="Q1047" s="128">
        <v>13424.65</v>
      </c>
      <c r="R1047" s="128">
        <v>0</v>
      </c>
      <c r="S1047" s="128">
        <v>0</v>
      </c>
      <c r="T1047" s="128">
        <v>0</v>
      </c>
      <c r="U1047" s="128">
        <v>13424.65</v>
      </c>
      <c r="V1047" s="128">
        <v>0</v>
      </c>
      <c r="W1047" s="128">
        <v>13424.65</v>
      </c>
      <c r="X1047" s="128">
        <v>0</v>
      </c>
      <c r="Y1047" s="128">
        <v>0</v>
      </c>
      <c r="Z1047" s="128">
        <v>0</v>
      </c>
      <c r="AA1047" s="128">
        <v>13424.65</v>
      </c>
      <c r="AB1047" s="126">
        <f t="shared" si="114"/>
        <v>-1.3424649999999999E-3</v>
      </c>
      <c r="AC1047" s="122" t="s">
        <v>1838</v>
      </c>
      <c r="AD1047" s="123">
        <f t="shared" si="115"/>
        <v>1983.9723217250009</v>
      </c>
    </row>
    <row r="1048" spans="1:30" ht="12.75" hidden="1" customHeight="1">
      <c r="A1048" s="125" t="str">
        <f t="shared" si="111"/>
        <v>LIC173Prov  Withholding Brok 2016-17</v>
      </c>
      <c r="B1048" s="125">
        <f>+IFERROR(VLOOKUP(L1048,'TB mapping'!A:D,4,0),0)</f>
        <v>0</v>
      </c>
      <c r="C1048" s="125">
        <f>+IFERROR(VLOOKUP(L1048,'TB mapping'!A:C,3,0),0)</f>
        <v>0</v>
      </c>
      <c r="D1048" s="125" t="str">
        <f t="shared" si="112"/>
        <v>LIC1730</v>
      </c>
      <c r="E1048" s="125" t="str">
        <f t="shared" si="113"/>
        <v>LIC1730</v>
      </c>
      <c r="F1048" s="158" t="str">
        <f>+VLOOKUP(H1048,'code mapping'!A:C,3,0)</f>
        <v>LIC173</v>
      </c>
      <c r="G1048" s="127" t="s">
        <v>453</v>
      </c>
      <c r="H1048" s="127" t="s">
        <v>614</v>
      </c>
      <c r="I1048" s="127" t="s">
        <v>615</v>
      </c>
      <c r="J1048" s="128">
        <v>220000</v>
      </c>
      <c r="K1048" s="127" t="s">
        <v>510</v>
      </c>
      <c r="L1048" s="151">
        <v>210163</v>
      </c>
      <c r="M1048" s="128">
        <v>0</v>
      </c>
      <c r="N1048" s="127" t="s">
        <v>513</v>
      </c>
      <c r="O1048" s="127" t="s">
        <v>457</v>
      </c>
      <c r="P1048" s="128">
        <v>0</v>
      </c>
      <c r="Q1048" s="128">
        <v>47223.8</v>
      </c>
      <c r="R1048" s="128">
        <v>0</v>
      </c>
      <c r="S1048" s="128">
        <v>0</v>
      </c>
      <c r="T1048" s="128">
        <v>0</v>
      </c>
      <c r="U1048" s="128">
        <v>47223.8</v>
      </c>
      <c r="V1048" s="128">
        <v>0</v>
      </c>
      <c r="W1048" s="128">
        <v>47223.8</v>
      </c>
      <c r="X1048" s="128">
        <v>0</v>
      </c>
      <c r="Y1048" s="128">
        <v>0</v>
      </c>
      <c r="Z1048" s="128">
        <v>0</v>
      </c>
      <c r="AA1048" s="128">
        <v>47223.8</v>
      </c>
      <c r="AB1048" s="126">
        <f t="shared" si="114"/>
        <v>-4.72238E-3</v>
      </c>
      <c r="AC1048" s="122" t="s">
        <v>1838</v>
      </c>
      <c r="AD1048" s="123">
        <f t="shared" si="115"/>
        <v>1983.9723217250009</v>
      </c>
    </row>
    <row r="1049" spans="1:30" ht="12.75" hidden="1" customHeight="1">
      <c r="A1049" s="125" t="str">
        <f t="shared" si="111"/>
        <v>LIC173Unit Capital</v>
      </c>
      <c r="B1049" s="125">
        <f>+IFERROR(VLOOKUP(L1049,'TB mapping'!A:D,4,0),0)</f>
        <v>0</v>
      </c>
      <c r="C1049" s="125">
        <f>+IFERROR(VLOOKUP(L1049,'TB mapping'!A:C,3,0),0)</f>
        <v>0</v>
      </c>
      <c r="D1049" s="125" t="str">
        <f t="shared" si="112"/>
        <v>LIC1730</v>
      </c>
      <c r="E1049" s="125" t="str">
        <f t="shared" si="113"/>
        <v>LIC1730</v>
      </c>
      <c r="F1049" s="158" t="str">
        <f>+VLOOKUP(H1049,'code mapping'!A:C,3,0)</f>
        <v>LIC173</v>
      </c>
      <c r="G1049" s="127" t="s">
        <v>453</v>
      </c>
      <c r="H1049" s="127" t="s">
        <v>614</v>
      </c>
      <c r="I1049" s="127" t="s">
        <v>615</v>
      </c>
      <c r="J1049" s="128">
        <v>301000</v>
      </c>
      <c r="K1049" s="127" t="s">
        <v>514</v>
      </c>
      <c r="L1049" s="151">
        <v>310000</v>
      </c>
      <c r="M1049" s="128">
        <v>0</v>
      </c>
      <c r="N1049" s="127" t="s">
        <v>515</v>
      </c>
      <c r="O1049" s="127" t="s">
        <v>457</v>
      </c>
      <c r="P1049" s="128">
        <v>0</v>
      </c>
      <c r="Q1049" s="128">
        <v>275230933.07999998</v>
      </c>
      <c r="R1049" s="128">
        <v>0</v>
      </c>
      <c r="S1049" s="128">
        <v>0</v>
      </c>
      <c r="T1049" s="128">
        <v>0</v>
      </c>
      <c r="U1049" s="128">
        <v>275230933.07999998</v>
      </c>
      <c r="V1049" s="128">
        <v>0</v>
      </c>
      <c r="W1049" s="128">
        <v>275230933.07999998</v>
      </c>
      <c r="X1049" s="128">
        <v>0</v>
      </c>
      <c r="Y1049" s="128">
        <v>0</v>
      </c>
      <c r="Z1049" s="128">
        <v>0</v>
      </c>
      <c r="AA1049" s="128">
        <v>275230933.07999998</v>
      </c>
      <c r="AB1049" s="126">
        <f t="shared" si="114"/>
        <v>-27.523093308</v>
      </c>
      <c r="AC1049" s="122" t="s">
        <v>1838</v>
      </c>
      <c r="AD1049" s="123">
        <f t="shared" si="115"/>
        <v>1983.9723217250009</v>
      </c>
    </row>
    <row r="1050" spans="1:30" ht="12.75" hidden="1" customHeight="1">
      <c r="A1050" s="125" t="str">
        <f t="shared" si="111"/>
        <v>LIC173Unit Premium Reserve- RG</v>
      </c>
      <c r="B1050" s="125">
        <f>+IFERROR(VLOOKUP(L1050,'TB mapping'!A:D,4,0),0)</f>
        <v>0</v>
      </c>
      <c r="C1050" s="125">
        <f>+IFERROR(VLOOKUP(L1050,'TB mapping'!A:C,3,0),0)</f>
        <v>0</v>
      </c>
      <c r="D1050" s="125" t="str">
        <f t="shared" si="112"/>
        <v>LIC1730</v>
      </c>
      <c r="E1050" s="125" t="str">
        <f t="shared" si="113"/>
        <v>LIC1730</v>
      </c>
      <c r="F1050" s="158" t="str">
        <f>+VLOOKUP(H1050,'code mapping'!A:C,3,0)</f>
        <v>LIC173</v>
      </c>
      <c r="G1050" s="127" t="s">
        <v>453</v>
      </c>
      <c r="H1050" s="127" t="s">
        <v>614</v>
      </c>
      <c r="I1050" s="127" t="s">
        <v>615</v>
      </c>
      <c r="J1050" s="128">
        <v>303000</v>
      </c>
      <c r="K1050" s="127" t="s">
        <v>516</v>
      </c>
      <c r="L1050" s="151">
        <v>303201</v>
      </c>
      <c r="M1050" s="128">
        <v>0</v>
      </c>
      <c r="N1050" s="127" t="s">
        <v>517</v>
      </c>
      <c r="O1050" s="127" t="s">
        <v>457</v>
      </c>
      <c r="P1050" s="128">
        <v>0</v>
      </c>
      <c r="Q1050" s="128">
        <v>403.75</v>
      </c>
      <c r="R1050" s="128">
        <v>0</v>
      </c>
      <c r="S1050" s="128">
        <v>0</v>
      </c>
      <c r="T1050" s="128">
        <v>0</v>
      </c>
      <c r="U1050" s="128">
        <v>403.75</v>
      </c>
      <c r="V1050" s="128">
        <v>0</v>
      </c>
      <c r="W1050" s="128">
        <v>403.75</v>
      </c>
      <c r="X1050" s="128">
        <v>0</v>
      </c>
      <c r="Y1050" s="128">
        <v>0</v>
      </c>
      <c r="Z1050" s="128">
        <v>0</v>
      </c>
      <c r="AA1050" s="128">
        <v>403.75</v>
      </c>
      <c r="AB1050" s="126">
        <f t="shared" si="114"/>
        <v>-4.0374999999999999E-5</v>
      </c>
      <c r="AC1050" s="122" t="s">
        <v>1838</v>
      </c>
      <c r="AD1050" s="123">
        <f t="shared" si="115"/>
        <v>1983.9723217250009</v>
      </c>
    </row>
    <row r="1051" spans="1:30" ht="12.75" hidden="1" customHeight="1">
      <c r="A1051" s="125" t="str">
        <f t="shared" si="111"/>
        <v>LIC173Net Earnings</v>
      </c>
      <c r="B1051" s="125">
        <f>+IFERROR(VLOOKUP(L1051,'TB mapping'!A:D,4,0),0)</f>
        <v>0</v>
      </c>
      <c r="C1051" s="125">
        <f>+IFERROR(VLOOKUP(L1051,'TB mapping'!A:C,3,0),0)</f>
        <v>0</v>
      </c>
      <c r="D1051" s="125" t="str">
        <f t="shared" si="112"/>
        <v>LIC1730</v>
      </c>
      <c r="E1051" s="125" t="str">
        <f t="shared" si="113"/>
        <v>LIC1730</v>
      </c>
      <c r="F1051" s="158" t="str">
        <f>+VLOOKUP(H1051,'code mapping'!A:C,3,0)</f>
        <v>LIC173</v>
      </c>
      <c r="G1051" s="127" t="s">
        <v>453</v>
      </c>
      <c r="H1051" s="127" t="s">
        <v>614</v>
      </c>
      <c r="I1051" s="127" t="s">
        <v>615</v>
      </c>
      <c r="J1051" s="128">
        <v>303000</v>
      </c>
      <c r="K1051" s="127" t="s">
        <v>516</v>
      </c>
      <c r="L1051" s="151">
        <v>390000</v>
      </c>
      <c r="M1051" s="128">
        <v>0</v>
      </c>
      <c r="N1051" s="127" t="s">
        <v>521</v>
      </c>
      <c r="O1051" s="127" t="s">
        <v>457</v>
      </c>
      <c r="P1051" s="128">
        <v>0</v>
      </c>
      <c r="Q1051" s="128">
        <v>21276884.969999999</v>
      </c>
      <c r="R1051" s="128">
        <v>0</v>
      </c>
      <c r="S1051" s="128">
        <v>0</v>
      </c>
      <c r="T1051" s="128">
        <v>0</v>
      </c>
      <c r="U1051" s="128">
        <v>21276884.969999999</v>
      </c>
      <c r="V1051" s="128">
        <v>0</v>
      </c>
      <c r="W1051" s="128">
        <v>21276884.969999999</v>
      </c>
      <c r="X1051" s="128">
        <v>0</v>
      </c>
      <c r="Y1051" s="128">
        <v>0</v>
      </c>
      <c r="Z1051" s="128">
        <v>0</v>
      </c>
      <c r="AA1051" s="128">
        <v>21276884.969999999</v>
      </c>
      <c r="AB1051" s="126">
        <f t="shared" si="114"/>
        <v>-2.1276884969999998</v>
      </c>
      <c r="AC1051" s="122" t="s">
        <v>1838</v>
      </c>
      <c r="AD1051" s="123">
        <f t="shared" si="115"/>
        <v>1983.9723217250009</v>
      </c>
    </row>
    <row r="1052" spans="1:30" ht="12.75" hidden="1" customHeight="1">
      <c r="A1052" s="125" t="str">
        <f t="shared" si="111"/>
        <v>LIC173R/L G/P - Equities</v>
      </c>
      <c r="B1052" s="125">
        <f>+IFERROR(VLOOKUP(L1052,'TB mapping'!A:D,4,0),0)</f>
        <v>0</v>
      </c>
      <c r="C1052" s="125">
        <f>+IFERROR(VLOOKUP(L1052,'TB mapping'!A:C,3,0),0)</f>
        <v>5.3</v>
      </c>
      <c r="D1052" s="125" t="str">
        <f t="shared" si="112"/>
        <v>LIC1730</v>
      </c>
      <c r="E1052" s="125" t="str">
        <f t="shared" si="113"/>
        <v>LIC1735.3</v>
      </c>
      <c r="F1052" s="158" t="str">
        <f>+VLOOKUP(H1052,'code mapping'!A:C,3,0)</f>
        <v>LIC173</v>
      </c>
      <c r="G1052" s="127" t="s">
        <v>453</v>
      </c>
      <c r="H1052" s="127" t="s">
        <v>614</v>
      </c>
      <c r="I1052" s="127" t="s">
        <v>615</v>
      </c>
      <c r="J1052" s="128">
        <v>410000</v>
      </c>
      <c r="K1052" s="127" t="s">
        <v>522</v>
      </c>
      <c r="L1052" s="151">
        <v>411100</v>
      </c>
      <c r="M1052" s="128">
        <v>0</v>
      </c>
      <c r="N1052" s="127" t="s">
        <v>596</v>
      </c>
      <c r="O1052" s="127" t="s">
        <v>457</v>
      </c>
      <c r="P1052" s="128">
        <v>0</v>
      </c>
      <c r="Q1052" s="128">
        <v>8303674.5199999996</v>
      </c>
      <c r="R1052" s="128">
        <v>0</v>
      </c>
      <c r="S1052" s="128">
        <v>0</v>
      </c>
      <c r="T1052" s="128">
        <v>0</v>
      </c>
      <c r="U1052" s="128">
        <v>8303674.5199999996</v>
      </c>
      <c r="V1052" s="128">
        <v>0</v>
      </c>
      <c r="W1052" s="128">
        <v>8303674.5199999996</v>
      </c>
      <c r="X1052" s="128">
        <v>0</v>
      </c>
      <c r="Y1052" s="128">
        <v>0</v>
      </c>
      <c r="Z1052" s="128">
        <v>0</v>
      </c>
      <c r="AA1052" s="128">
        <v>8303674.5199999996</v>
      </c>
      <c r="AB1052" s="126">
        <f t="shared" si="114"/>
        <v>-0.83036745199999995</v>
      </c>
      <c r="AC1052" s="122" t="s">
        <v>1838</v>
      </c>
      <c r="AD1052" s="123">
        <f>SUMIF(E:E,E1052,AB:AB)</f>
        <v>-0.59857150199999998</v>
      </c>
    </row>
    <row r="1053" spans="1:30" ht="12.75" hidden="1" customHeight="1">
      <c r="A1053" s="125" t="str">
        <f t="shared" si="111"/>
        <v>LIC173UR/L G/P - Equities</v>
      </c>
      <c r="B1053" s="125">
        <f>+IFERROR(VLOOKUP(L1053,'TB mapping'!A:D,4,0),0)</f>
        <v>0</v>
      </c>
      <c r="C1053" s="125" t="str">
        <f>+IFERROR(VLOOKUP(L1053,'TB mapping'!A:C,3,0),0)</f>
        <v>Ignore</v>
      </c>
      <c r="D1053" s="125" t="str">
        <f t="shared" si="112"/>
        <v>LIC1730</v>
      </c>
      <c r="E1053" s="125" t="str">
        <f t="shared" si="113"/>
        <v>LIC173Ignore</v>
      </c>
      <c r="F1053" s="158" t="str">
        <f>+VLOOKUP(H1053,'code mapping'!A:C,3,0)</f>
        <v>LIC173</v>
      </c>
      <c r="G1053" s="127" t="s">
        <v>453</v>
      </c>
      <c r="H1053" s="127" t="s">
        <v>614</v>
      </c>
      <c r="I1053" s="127" t="s">
        <v>615</v>
      </c>
      <c r="J1053" s="128">
        <v>430000</v>
      </c>
      <c r="K1053" s="127" t="s">
        <v>528</v>
      </c>
      <c r="L1053" s="151">
        <v>431100</v>
      </c>
      <c r="M1053" s="128">
        <v>0</v>
      </c>
      <c r="N1053" s="127" t="s">
        <v>597</v>
      </c>
      <c r="O1053" s="127" t="s">
        <v>457</v>
      </c>
      <c r="P1053" s="128">
        <v>0</v>
      </c>
      <c r="Q1053" s="128">
        <v>12826581.289999999</v>
      </c>
      <c r="R1053" s="128">
        <v>0</v>
      </c>
      <c r="S1053" s="128">
        <v>0</v>
      </c>
      <c r="T1053" s="128">
        <v>0</v>
      </c>
      <c r="U1053" s="128">
        <v>12826581.289999999</v>
      </c>
      <c r="V1053" s="128">
        <v>0</v>
      </c>
      <c r="W1053" s="128">
        <v>12826581.289999999</v>
      </c>
      <c r="X1053" s="128">
        <v>0</v>
      </c>
      <c r="Y1053" s="128">
        <v>0</v>
      </c>
      <c r="Z1053" s="128">
        <v>0</v>
      </c>
      <c r="AA1053" s="128">
        <v>12826581.289999999</v>
      </c>
      <c r="AB1053" s="126">
        <f t="shared" si="114"/>
        <v>-1.2826581289999999</v>
      </c>
      <c r="AC1053" s="122" t="s">
        <v>1838</v>
      </c>
      <c r="AD1053" s="123">
        <f>SUMIF(C:C,C1053,AB:AB)</f>
        <v>-291.7660984179999</v>
      </c>
    </row>
    <row r="1054" spans="1:30" ht="12.75" hidden="1" customHeight="1">
      <c r="A1054" s="125" t="str">
        <f t="shared" si="111"/>
        <v>LIC173UR/L G/P - Corp Bond/Debenture</v>
      </c>
      <c r="B1054" s="125">
        <f>+IFERROR(VLOOKUP(L1054,'TB mapping'!A:D,4,0),0)</f>
        <v>0</v>
      </c>
      <c r="C1054" s="125" t="str">
        <f>+IFERROR(VLOOKUP(L1054,'TB mapping'!A:C,3,0),0)</f>
        <v>Ignore</v>
      </c>
      <c r="D1054" s="125" t="str">
        <f t="shared" si="112"/>
        <v>LIC1730</v>
      </c>
      <c r="E1054" s="125" t="str">
        <f t="shared" si="113"/>
        <v>LIC173Ignore</v>
      </c>
      <c r="F1054" s="158" t="str">
        <f>+VLOOKUP(H1054,'code mapping'!A:C,3,0)</f>
        <v>LIC173</v>
      </c>
      <c r="G1054" s="127" t="s">
        <v>453</v>
      </c>
      <c r="H1054" s="127" t="s">
        <v>614</v>
      </c>
      <c r="I1054" s="127" t="s">
        <v>615</v>
      </c>
      <c r="J1054" s="128">
        <v>430000</v>
      </c>
      <c r="K1054" s="127" t="s">
        <v>528</v>
      </c>
      <c r="L1054" s="151">
        <v>432120</v>
      </c>
      <c r="M1054" s="128">
        <v>0</v>
      </c>
      <c r="N1054" s="127" t="s">
        <v>529</v>
      </c>
      <c r="O1054" s="127" t="s">
        <v>457</v>
      </c>
      <c r="P1054" s="128">
        <v>-448445</v>
      </c>
      <c r="Q1054" s="128">
        <v>0</v>
      </c>
      <c r="R1054" s="128">
        <v>0</v>
      </c>
      <c r="S1054" s="128">
        <v>0</v>
      </c>
      <c r="T1054" s="128">
        <v>-448445</v>
      </c>
      <c r="U1054" s="128">
        <v>0</v>
      </c>
      <c r="V1054" s="128">
        <v>-448445</v>
      </c>
      <c r="W1054" s="128">
        <v>0</v>
      </c>
      <c r="X1054" s="128">
        <v>0</v>
      </c>
      <c r="Y1054" s="128">
        <v>0</v>
      </c>
      <c r="Z1054" s="128">
        <v>-448445</v>
      </c>
      <c r="AA1054" s="128">
        <v>0</v>
      </c>
      <c r="AB1054" s="126">
        <f t="shared" si="114"/>
        <v>4.4844500000000002E-2</v>
      </c>
      <c r="AC1054" s="122" t="s">
        <v>1838</v>
      </c>
      <c r="AD1054" s="123">
        <f>SUMIF(C:C,C1054,AB:AB)</f>
        <v>-291.7660984179999</v>
      </c>
    </row>
    <row r="1055" spans="1:30" ht="12.75" hidden="1" customHeight="1">
      <c r="A1055" s="125" t="str">
        <f t="shared" si="111"/>
        <v>LIC173UR/L G/P-ZCB</v>
      </c>
      <c r="B1055" s="125">
        <f>+IFERROR(VLOOKUP(L1055,'TB mapping'!A:D,4,0),0)</f>
        <v>0</v>
      </c>
      <c r="C1055" s="125" t="str">
        <f>+IFERROR(VLOOKUP(L1055,'TB mapping'!A:C,3,0),0)</f>
        <v>Ignore</v>
      </c>
      <c r="D1055" s="125" t="str">
        <f t="shared" si="112"/>
        <v>LIC1730</v>
      </c>
      <c r="E1055" s="125" t="str">
        <f t="shared" si="113"/>
        <v>LIC173Ignore</v>
      </c>
      <c r="F1055" s="158" t="str">
        <f>+VLOOKUP(H1055,'code mapping'!A:C,3,0)</f>
        <v>LIC173</v>
      </c>
      <c r="G1055" s="127" t="s">
        <v>453</v>
      </c>
      <c r="H1055" s="127" t="s">
        <v>614</v>
      </c>
      <c r="I1055" s="127" t="s">
        <v>615</v>
      </c>
      <c r="J1055" s="128">
        <v>430000</v>
      </c>
      <c r="K1055" s="127" t="s">
        <v>528</v>
      </c>
      <c r="L1055" s="151">
        <v>432145</v>
      </c>
      <c r="M1055" s="128">
        <v>0</v>
      </c>
      <c r="N1055" s="127" t="s">
        <v>612</v>
      </c>
      <c r="O1055" s="127" t="s">
        <v>457</v>
      </c>
      <c r="P1055" s="128">
        <v>-659839.98</v>
      </c>
      <c r="Q1055" s="128">
        <v>0</v>
      </c>
      <c r="R1055" s="128">
        <v>0</v>
      </c>
      <c r="S1055" s="128">
        <v>0</v>
      </c>
      <c r="T1055" s="128">
        <v>-659839.98</v>
      </c>
      <c r="U1055" s="128">
        <v>0</v>
      </c>
      <c r="V1055" s="128">
        <v>-659839.98</v>
      </c>
      <c r="W1055" s="128">
        <v>0</v>
      </c>
      <c r="X1055" s="128">
        <v>0</v>
      </c>
      <c r="Y1055" s="128">
        <v>0</v>
      </c>
      <c r="Z1055" s="128">
        <v>-659839.98</v>
      </c>
      <c r="AA1055" s="128">
        <v>0</v>
      </c>
      <c r="AB1055" s="126">
        <f t="shared" si="114"/>
        <v>6.5983998000000002E-2</v>
      </c>
      <c r="AC1055" s="122" t="s">
        <v>1838</v>
      </c>
      <c r="AD1055" s="123">
        <f>SUMIF(C:C,C1055,AB:AB)</f>
        <v>-291.7660984179999</v>
      </c>
    </row>
    <row r="1056" spans="1:30" ht="12.75" hidden="1" customHeight="1">
      <c r="A1056" s="125" t="str">
        <f t="shared" si="111"/>
        <v>LIC173Dividend Income - Equities</v>
      </c>
      <c r="B1056" s="125">
        <f>+IFERROR(VLOOKUP(L1056,'TB mapping'!A:D,4,0),0)</f>
        <v>0</v>
      </c>
      <c r="C1056" s="125">
        <f>+IFERROR(VLOOKUP(L1056,'TB mapping'!A:C,3,0),0)</f>
        <v>5.0999999999999996</v>
      </c>
      <c r="D1056" s="125" t="str">
        <f t="shared" si="112"/>
        <v>LIC1730</v>
      </c>
      <c r="E1056" s="125" t="str">
        <f t="shared" si="113"/>
        <v>LIC1735.1</v>
      </c>
      <c r="F1056" s="158" t="str">
        <f>+VLOOKUP(H1056,'code mapping'!A:C,3,0)</f>
        <v>LIC173</v>
      </c>
      <c r="G1056" s="127" t="s">
        <v>453</v>
      </c>
      <c r="H1056" s="127" t="s">
        <v>614</v>
      </c>
      <c r="I1056" s="127" t="s">
        <v>615</v>
      </c>
      <c r="J1056" s="128">
        <v>450000</v>
      </c>
      <c r="K1056" s="127" t="s">
        <v>532</v>
      </c>
      <c r="L1056" s="151">
        <v>451100</v>
      </c>
      <c r="M1056" s="128">
        <v>0</v>
      </c>
      <c r="N1056" s="127" t="s">
        <v>598</v>
      </c>
      <c r="O1056" s="127" t="s">
        <v>457</v>
      </c>
      <c r="P1056" s="128">
        <v>0</v>
      </c>
      <c r="Q1056" s="128">
        <v>1250898.24</v>
      </c>
      <c r="R1056" s="128">
        <v>0</v>
      </c>
      <c r="S1056" s="128">
        <v>0</v>
      </c>
      <c r="T1056" s="128">
        <v>0</v>
      </c>
      <c r="U1056" s="128">
        <v>1250898.24</v>
      </c>
      <c r="V1056" s="128">
        <v>0</v>
      </c>
      <c r="W1056" s="128">
        <v>1250898.24</v>
      </c>
      <c r="X1056" s="128">
        <v>0</v>
      </c>
      <c r="Y1056" s="128">
        <v>0</v>
      </c>
      <c r="Z1056" s="128">
        <v>0</v>
      </c>
      <c r="AA1056" s="128">
        <v>1250898.24</v>
      </c>
      <c r="AB1056" s="126">
        <f t="shared" si="114"/>
        <v>-0.12508982399999999</v>
      </c>
      <c r="AC1056" s="122" t="s">
        <v>1838</v>
      </c>
      <c r="AD1056" s="123">
        <f t="shared" ref="AD1056:AD1087" si="116">SUMIF(E:E,E1056,AB:AB)</f>
        <v>-0.12508982399999999</v>
      </c>
    </row>
    <row r="1057" spans="1:30" ht="12.75" hidden="1" customHeight="1">
      <c r="A1057" s="125" t="str">
        <f t="shared" si="111"/>
        <v>LIC173Int Income - Corporate Bonds</v>
      </c>
      <c r="B1057" s="125">
        <f>+IFERROR(VLOOKUP(L1057,'TB mapping'!A:D,4,0),0)</f>
        <v>0</v>
      </c>
      <c r="C1057" s="125">
        <f>+IFERROR(VLOOKUP(L1057,'TB mapping'!A:C,3,0),0)</f>
        <v>5.2</v>
      </c>
      <c r="D1057" s="125" t="str">
        <f t="shared" si="112"/>
        <v>LIC1730</v>
      </c>
      <c r="E1057" s="125" t="str">
        <f t="shared" si="113"/>
        <v>LIC1735.2</v>
      </c>
      <c r="F1057" s="158" t="str">
        <f>+VLOOKUP(H1057,'code mapping'!A:C,3,0)</f>
        <v>LIC173</v>
      </c>
      <c r="G1057" s="127" t="s">
        <v>453</v>
      </c>
      <c r="H1057" s="127" t="s">
        <v>614</v>
      </c>
      <c r="I1057" s="127" t="s">
        <v>615</v>
      </c>
      <c r="J1057" s="128">
        <v>450000</v>
      </c>
      <c r="K1057" s="127" t="s">
        <v>532</v>
      </c>
      <c r="L1057" s="151">
        <v>452120</v>
      </c>
      <c r="M1057" s="128">
        <v>0</v>
      </c>
      <c r="N1057" s="127" t="s">
        <v>534</v>
      </c>
      <c r="O1057" s="127" t="s">
        <v>457</v>
      </c>
      <c r="P1057" s="128">
        <v>0</v>
      </c>
      <c r="Q1057" s="128">
        <v>8613000</v>
      </c>
      <c r="R1057" s="128">
        <v>0</v>
      </c>
      <c r="S1057" s="128">
        <v>0</v>
      </c>
      <c r="T1057" s="128">
        <v>0</v>
      </c>
      <c r="U1057" s="128">
        <v>8613000</v>
      </c>
      <c r="V1057" s="128">
        <v>0</v>
      </c>
      <c r="W1057" s="128">
        <v>8613000</v>
      </c>
      <c r="X1057" s="128">
        <v>0</v>
      </c>
      <c r="Y1057" s="128">
        <v>0</v>
      </c>
      <c r="Z1057" s="128">
        <v>0</v>
      </c>
      <c r="AA1057" s="128">
        <v>8613000</v>
      </c>
      <c r="AB1057" s="126">
        <f t="shared" si="114"/>
        <v>-0.86129999999999995</v>
      </c>
      <c r="AC1057" s="122" t="s">
        <v>1838</v>
      </c>
      <c r="AD1057" s="123">
        <f t="shared" si="116"/>
        <v>-1.7595599949999998</v>
      </c>
    </row>
    <row r="1058" spans="1:30" ht="12.75" hidden="1" customHeight="1">
      <c r="A1058" s="125" t="str">
        <f t="shared" si="111"/>
        <v>LIC173Amort. Income - ZCB</v>
      </c>
      <c r="B1058" s="125">
        <f>+IFERROR(VLOOKUP(L1058,'TB mapping'!A:D,4,0),0)</f>
        <v>0</v>
      </c>
      <c r="C1058" s="125">
        <f>+IFERROR(VLOOKUP(L1058,'TB mapping'!A:C,3,0),0)</f>
        <v>5.2</v>
      </c>
      <c r="D1058" s="125" t="str">
        <f t="shared" si="112"/>
        <v>LIC1730</v>
      </c>
      <c r="E1058" s="125" t="str">
        <f t="shared" si="113"/>
        <v>LIC1735.2</v>
      </c>
      <c r="F1058" s="158" t="str">
        <f>+VLOOKUP(H1058,'code mapping'!A:C,3,0)</f>
        <v>LIC173</v>
      </c>
      <c r="G1058" s="127" t="s">
        <v>453</v>
      </c>
      <c r="H1058" s="127" t="s">
        <v>614</v>
      </c>
      <c r="I1058" s="127" t="s">
        <v>615</v>
      </c>
      <c r="J1058" s="128">
        <v>450000</v>
      </c>
      <c r="K1058" s="127" t="s">
        <v>532</v>
      </c>
      <c r="L1058" s="151">
        <v>452145</v>
      </c>
      <c r="M1058" s="128">
        <v>0</v>
      </c>
      <c r="N1058" s="127" t="s">
        <v>613</v>
      </c>
      <c r="O1058" s="127" t="s">
        <v>457</v>
      </c>
      <c r="P1058" s="128">
        <v>0</v>
      </c>
      <c r="Q1058" s="128">
        <v>8092893.1299999999</v>
      </c>
      <c r="R1058" s="128">
        <v>0</v>
      </c>
      <c r="S1058" s="128">
        <v>0</v>
      </c>
      <c r="T1058" s="128">
        <v>0</v>
      </c>
      <c r="U1058" s="128">
        <v>8092893.1299999999</v>
      </c>
      <c r="V1058" s="128">
        <v>0</v>
      </c>
      <c r="W1058" s="128">
        <v>8092893.1299999999</v>
      </c>
      <c r="X1058" s="128">
        <v>0</v>
      </c>
      <c r="Y1058" s="128">
        <v>0</v>
      </c>
      <c r="Z1058" s="128">
        <v>0</v>
      </c>
      <c r="AA1058" s="128">
        <v>8092893.1299999999</v>
      </c>
      <c r="AB1058" s="126">
        <f t="shared" si="114"/>
        <v>-0.80928931299999995</v>
      </c>
      <c r="AC1058" s="122" t="s">
        <v>1838</v>
      </c>
      <c r="AD1058" s="123">
        <f t="shared" si="116"/>
        <v>-1.7595599949999998</v>
      </c>
    </row>
    <row r="1059" spans="1:30" ht="12.75" hidden="1" customHeight="1">
      <c r="A1059" s="125" t="str">
        <f t="shared" si="111"/>
        <v>LIC173Amort. Income - CBLO</v>
      </c>
      <c r="B1059" s="125">
        <f>+IFERROR(VLOOKUP(L1059,'TB mapping'!A:D,4,0),0)</f>
        <v>0</v>
      </c>
      <c r="C1059" s="125">
        <f>+IFERROR(VLOOKUP(L1059,'TB mapping'!A:C,3,0),0)</f>
        <v>5.2</v>
      </c>
      <c r="D1059" s="125" t="str">
        <f t="shared" si="112"/>
        <v>LIC1730</v>
      </c>
      <c r="E1059" s="125" t="str">
        <f t="shared" si="113"/>
        <v>LIC1735.2</v>
      </c>
      <c r="F1059" s="158" t="str">
        <f>+VLOOKUP(H1059,'code mapping'!A:C,3,0)</f>
        <v>LIC173</v>
      </c>
      <c r="G1059" s="127" t="s">
        <v>453</v>
      </c>
      <c r="H1059" s="127" t="s">
        <v>614</v>
      </c>
      <c r="I1059" s="127" t="s">
        <v>615</v>
      </c>
      <c r="J1059" s="128">
        <v>450000</v>
      </c>
      <c r="K1059" s="127" t="s">
        <v>532</v>
      </c>
      <c r="L1059" s="151">
        <v>452228</v>
      </c>
      <c r="M1059" s="128">
        <v>0</v>
      </c>
      <c r="N1059" s="127" t="s">
        <v>537</v>
      </c>
      <c r="O1059" s="127" t="s">
        <v>457</v>
      </c>
      <c r="P1059" s="128">
        <v>0</v>
      </c>
      <c r="Q1059" s="128">
        <v>889706.82</v>
      </c>
      <c r="R1059" s="128">
        <v>0</v>
      </c>
      <c r="S1059" s="128">
        <v>0</v>
      </c>
      <c r="T1059" s="128">
        <v>0</v>
      </c>
      <c r="U1059" s="128">
        <v>889706.82</v>
      </c>
      <c r="V1059" s="128">
        <v>0</v>
      </c>
      <c r="W1059" s="128">
        <v>889706.82</v>
      </c>
      <c r="X1059" s="128">
        <v>0</v>
      </c>
      <c r="Y1059" s="128">
        <v>0</v>
      </c>
      <c r="Z1059" s="128">
        <v>0</v>
      </c>
      <c r="AA1059" s="128">
        <v>889706.82</v>
      </c>
      <c r="AB1059" s="126">
        <f t="shared" si="114"/>
        <v>-8.8970681999999995E-2</v>
      </c>
      <c r="AC1059" s="122" t="s">
        <v>1838</v>
      </c>
      <c r="AD1059" s="123">
        <f t="shared" si="116"/>
        <v>-1.7595599949999998</v>
      </c>
    </row>
    <row r="1060" spans="1:30" ht="12.75" hidden="1" customHeight="1">
      <c r="A1060" s="125" t="str">
        <f t="shared" si="111"/>
        <v>LIC173Other Income</v>
      </c>
      <c r="B1060" s="125">
        <f>+IFERROR(VLOOKUP(L1060,'TB mapping'!A:D,4,0),0)</f>
        <v>0</v>
      </c>
      <c r="C1060" s="125">
        <f>+IFERROR(VLOOKUP(L1060,'TB mapping'!A:C,3,0),0)</f>
        <v>5.5</v>
      </c>
      <c r="D1060" s="125" t="str">
        <f t="shared" si="112"/>
        <v>LIC1730</v>
      </c>
      <c r="E1060" s="125" t="str">
        <f t="shared" si="113"/>
        <v>LIC1735.5</v>
      </c>
      <c r="F1060" s="158" t="str">
        <f>+VLOOKUP(H1060,'code mapping'!A:C,3,0)</f>
        <v>LIC173</v>
      </c>
      <c r="G1060" s="127" t="s">
        <v>453</v>
      </c>
      <c r="H1060" s="127" t="s">
        <v>614</v>
      </c>
      <c r="I1060" s="127" t="s">
        <v>615</v>
      </c>
      <c r="J1060" s="128">
        <v>460000</v>
      </c>
      <c r="K1060" s="127" t="s">
        <v>539</v>
      </c>
      <c r="L1060" s="151">
        <v>460000</v>
      </c>
      <c r="M1060" s="128">
        <v>0</v>
      </c>
      <c r="N1060" s="127" t="s">
        <v>541</v>
      </c>
      <c r="O1060" s="127" t="s">
        <v>457</v>
      </c>
      <c r="P1060" s="128">
        <v>0</v>
      </c>
      <c r="Q1060" s="128">
        <v>50.06</v>
      </c>
      <c r="R1060" s="128">
        <v>0</v>
      </c>
      <c r="S1060" s="128">
        <v>0</v>
      </c>
      <c r="T1060" s="128">
        <v>0</v>
      </c>
      <c r="U1060" s="128">
        <v>50.06</v>
      </c>
      <c r="V1060" s="128">
        <v>0</v>
      </c>
      <c r="W1060" s="128">
        <v>50.06</v>
      </c>
      <c r="X1060" s="128">
        <v>0</v>
      </c>
      <c r="Y1060" s="128">
        <v>0</v>
      </c>
      <c r="Z1060" s="128">
        <v>0</v>
      </c>
      <c r="AA1060" s="128">
        <v>50.06</v>
      </c>
      <c r="AB1060" s="126">
        <f t="shared" si="114"/>
        <v>-5.006E-6</v>
      </c>
      <c r="AC1060" s="122" t="s">
        <v>1838</v>
      </c>
      <c r="AD1060" s="123">
        <f t="shared" si="116"/>
        <v>-5.006E-6</v>
      </c>
    </row>
    <row r="1061" spans="1:30" ht="12.75" hidden="1" customHeight="1">
      <c r="A1061" s="125" t="str">
        <f t="shared" si="111"/>
        <v>LIC173Interplan Adjustment- RG</v>
      </c>
      <c r="B1061" s="125">
        <f>+IFERROR(VLOOKUP(L1061,'TB mapping'!A:D,4,0),0)</f>
        <v>0</v>
      </c>
      <c r="C1061" s="125">
        <f>+IFERROR(VLOOKUP(L1061,'TB mapping'!A:C,3,0),0)</f>
        <v>5.5</v>
      </c>
      <c r="D1061" s="125" t="str">
        <f t="shared" si="112"/>
        <v>LIC1730</v>
      </c>
      <c r="E1061" s="125" t="str">
        <f t="shared" si="113"/>
        <v>LIC1735.5</v>
      </c>
      <c r="F1061" s="158" t="str">
        <f>+VLOOKUP(H1061,'code mapping'!A:C,3,0)</f>
        <v>LIC173</v>
      </c>
      <c r="G1061" s="127" t="s">
        <v>453</v>
      </c>
      <c r="H1061" s="127" t="s">
        <v>614</v>
      </c>
      <c r="I1061" s="127" t="s">
        <v>615</v>
      </c>
      <c r="J1061" s="128">
        <v>460000</v>
      </c>
      <c r="K1061" s="127" t="s">
        <v>539</v>
      </c>
      <c r="L1061" s="151">
        <v>460101</v>
      </c>
      <c r="M1061" s="128">
        <v>0</v>
      </c>
      <c r="N1061" s="127" t="s">
        <v>542</v>
      </c>
      <c r="O1061" s="127" t="s">
        <v>457</v>
      </c>
      <c r="P1061" s="128">
        <v>0</v>
      </c>
      <c r="Q1061" s="128">
        <v>0.32</v>
      </c>
      <c r="R1061" s="128">
        <v>0</v>
      </c>
      <c r="S1061" s="128">
        <v>0</v>
      </c>
      <c r="T1061" s="128">
        <v>0</v>
      </c>
      <c r="U1061" s="128">
        <v>0.32</v>
      </c>
      <c r="V1061" s="128">
        <v>0</v>
      </c>
      <c r="W1061" s="128">
        <v>0.32</v>
      </c>
      <c r="X1061" s="128">
        <v>0</v>
      </c>
      <c r="Y1061" s="128">
        <v>0</v>
      </c>
      <c r="Z1061" s="128">
        <v>0</v>
      </c>
      <c r="AA1061" s="128">
        <v>0.32</v>
      </c>
      <c r="AB1061" s="126">
        <f t="shared" si="114"/>
        <v>-3.2000000000000002E-8</v>
      </c>
      <c r="AC1061" s="122" t="s">
        <v>1838</v>
      </c>
      <c r="AD1061" s="123">
        <f t="shared" si="116"/>
        <v>-5.006E-6</v>
      </c>
    </row>
    <row r="1062" spans="1:30" ht="12.75" hidden="1" customHeight="1">
      <c r="A1062" s="125" t="str">
        <f t="shared" si="111"/>
        <v>LIC173Interplan Adjustment- RD</v>
      </c>
      <c r="B1062" s="125">
        <f>+IFERROR(VLOOKUP(L1062,'TB mapping'!A:D,4,0),0)</f>
        <v>0</v>
      </c>
      <c r="C1062" s="125">
        <f>+IFERROR(VLOOKUP(L1062,'TB mapping'!A:C,3,0),0)</f>
        <v>5.5</v>
      </c>
      <c r="D1062" s="125" t="str">
        <f t="shared" si="112"/>
        <v>LIC1730</v>
      </c>
      <c r="E1062" s="125" t="str">
        <f t="shared" si="113"/>
        <v>LIC1735.5</v>
      </c>
      <c r="F1062" s="158" t="str">
        <f>+VLOOKUP(H1062,'code mapping'!A:C,3,0)</f>
        <v>LIC173</v>
      </c>
      <c r="G1062" s="127" t="s">
        <v>453</v>
      </c>
      <c r="H1062" s="127" t="s">
        <v>614</v>
      </c>
      <c r="I1062" s="127" t="s">
        <v>615</v>
      </c>
      <c r="J1062" s="128">
        <v>460000</v>
      </c>
      <c r="K1062" s="127" t="s">
        <v>539</v>
      </c>
      <c r="L1062" s="151">
        <v>460102</v>
      </c>
      <c r="M1062" s="128">
        <v>0</v>
      </c>
      <c r="N1062" s="127" t="s">
        <v>543</v>
      </c>
      <c r="O1062" s="127" t="s">
        <v>457</v>
      </c>
      <c r="P1062" s="128">
        <v>0</v>
      </c>
      <c r="Q1062" s="128">
        <v>0.08</v>
      </c>
      <c r="R1062" s="128">
        <v>0</v>
      </c>
      <c r="S1062" s="128">
        <v>0</v>
      </c>
      <c r="T1062" s="128">
        <v>0</v>
      </c>
      <c r="U1062" s="128">
        <v>0.08</v>
      </c>
      <c r="V1062" s="128">
        <v>0</v>
      </c>
      <c r="W1062" s="128">
        <v>0.08</v>
      </c>
      <c r="X1062" s="128">
        <v>0</v>
      </c>
      <c r="Y1062" s="128">
        <v>0</v>
      </c>
      <c r="Z1062" s="128">
        <v>0</v>
      </c>
      <c r="AA1062" s="128">
        <v>0.08</v>
      </c>
      <c r="AB1062" s="126">
        <f t="shared" si="114"/>
        <v>-8.0000000000000005E-9</v>
      </c>
      <c r="AC1062" s="122" t="s">
        <v>1838</v>
      </c>
      <c r="AD1062" s="123">
        <f t="shared" si="116"/>
        <v>-5.006E-6</v>
      </c>
    </row>
    <row r="1063" spans="1:30" ht="12.75" hidden="1" customHeight="1">
      <c r="A1063" s="125" t="str">
        <f t="shared" si="111"/>
        <v>LIC173Interplan Adjustment- DDP</v>
      </c>
      <c r="B1063" s="125">
        <f>+IFERROR(VLOOKUP(L1063,'TB mapping'!A:D,4,0),0)</f>
        <v>0</v>
      </c>
      <c r="C1063" s="125">
        <f>+IFERROR(VLOOKUP(L1063,'TB mapping'!A:C,3,0),0)</f>
        <v>5.5</v>
      </c>
      <c r="D1063" s="125" t="str">
        <f t="shared" si="112"/>
        <v>LIC1730</v>
      </c>
      <c r="E1063" s="125" t="str">
        <f t="shared" si="113"/>
        <v>LIC1735.5</v>
      </c>
      <c r="F1063" s="158" t="str">
        <f>+VLOOKUP(H1063,'code mapping'!A:C,3,0)</f>
        <v>LIC173</v>
      </c>
      <c r="G1063" s="127" t="s">
        <v>453</v>
      </c>
      <c r="H1063" s="127" t="s">
        <v>614</v>
      </c>
      <c r="I1063" s="127" t="s">
        <v>615</v>
      </c>
      <c r="J1063" s="128">
        <v>460000</v>
      </c>
      <c r="K1063" s="127" t="s">
        <v>539</v>
      </c>
      <c r="L1063" s="151">
        <v>460144</v>
      </c>
      <c r="M1063" s="128">
        <v>0</v>
      </c>
      <c r="N1063" s="127" t="s">
        <v>545</v>
      </c>
      <c r="O1063" s="127" t="s">
        <v>457</v>
      </c>
      <c r="P1063" s="128">
        <v>-0.4</v>
      </c>
      <c r="Q1063" s="128">
        <v>0</v>
      </c>
      <c r="R1063" s="128">
        <v>0</v>
      </c>
      <c r="S1063" s="128">
        <v>0</v>
      </c>
      <c r="T1063" s="128">
        <v>-0.4</v>
      </c>
      <c r="U1063" s="128">
        <v>0</v>
      </c>
      <c r="V1063" s="128">
        <v>-0.4</v>
      </c>
      <c r="W1063" s="128">
        <v>0</v>
      </c>
      <c r="X1063" s="128">
        <v>0</v>
      </c>
      <c r="Y1063" s="128">
        <v>0</v>
      </c>
      <c r="Z1063" s="128">
        <v>-0.4</v>
      </c>
      <c r="AA1063" s="128">
        <v>0</v>
      </c>
      <c r="AB1063" s="126">
        <f t="shared" si="114"/>
        <v>4.0000000000000001E-8</v>
      </c>
      <c r="AC1063" s="122" t="s">
        <v>1838</v>
      </c>
      <c r="AD1063" s="123">
        <f t="shared" si="116"/>
        <v>-5.006E-6</v>
      </c>
    </row>
    <row r="1064" spans="1:30" ht="12.75" hidden="1" customHeight="1">
      <c r="A1064" s="125" t="str">
        <f t="shared" si="111"/>
        <v>LIC173R/L L/P - Equities</v>
      </c>
      <c r="B1064" s="125">
        <f>+IFERROR(VLOOKUP(L1064,'TB mapping'!A:D,4,0),0)</f>
        <v>0</v>
      </c>
      <c r="C1064" s="125">
        <f>+IFERROR(VLOOKUP(L1064,'TB mapping'!A:C,3,0),0)</f>
        <v>5.3</v>
      </c>
      <c r="D1064" s="125" t="str">
        <f t="shared" si="112"/>
        <v>LIC1730</v>
      </c>
      <c r="E1064" s="125" t="str">
        <f t="shared" si="113"/>
        <v>LIC1735.3</v>
      </c>
      <c r="F1064" s="158" t="str">
        <f>+VLOOKUP(H1064,'code mapping'!A:C,3,0)</f>
        <v>LIC173</v>
      </c>
      <c r="G1064" s="127" t="s">
        <v>453</v>
      </c>
      <c r="H1064" s="127" t="s">
        <v>614</v>
      </c>
      <c r="I1064" s="127" t="s">
        <v>615</v>
      </c>
      <c r="J1064" s="128">
        <v>510000</v>
      </c>
      <c r="K1064" s="127" t="s">
        <v>546</v>
      </c>
      <c r="L1064" s="151">
        <v>511100</v>
      </c>
      <c r="M1064" s="128">
        <v>0</v>
      </c>
      <c r="N1064" s="127" t="s">
        <v>599</v>
      </c>
      <c r="O1064" s="127" t="s">
        <v>457</v>
      </c>
      <c r="P1064" s="128">
        <v>-2317959.5</v>
      </c>
      <c r="Q1064" s="128">
        <v>0</v>
      </c>
      <c r="R1064" s="128">
        <v>0</v>
      </c>
      <c r="S1064" s="128">
        <v>0</v>
      </c>
      <c r="T1064" s="128">
        <v>-2317959.5</v>
      </c>
      <c r="U1064" s="128">
        <v>0</v>
      </c>
      <c r="V1064" s="128">
        <v>-2317959.5</v>
      </c>
      <c r="W1064" s="128">
        <v>0</v>
      </c>
      <c r="X1064" s="128">
        <v>0</v>
      </c>
      <c r="Y1064" s="128">
        <v>0</v>
      </c>
      <c r="Z1064" s="128">
        <v>-2317959.5</v>
      </c>
      <c r="AA1064" s="128">
        <v>0</v>
      </c>
      <c r="AB1064" s="126">
        <f t="shared" si="114"/>
        <v>0.23179595</v>
      </c>
      <c r="AC1064" s="122" t="s">
        <v>1838</v>
      </c>
      <c r="AD1064" s="123">
        <f t="shared" si="116"/>
        <v>-0.59857150199999998</v>
      </c>
    </row>
    <row r="1065" spans="1:30" ht="12.75" hidden="1" customHeight="1">
      <c r="A1065" s="125" t="str">
        <f t="shared" si="111"/>
        <v>LIC173SEBI Fees</v>
      </c>
      <c r="B1065" s="125">
        <f>+IFERROR(VLOOKUP(L1065,'TB mapping'!A:D,4,0),0)</f>
        <v>0</v>
      </c>
      <c r="C1065" s="125">
        <f>+IFERROR(VLOOKUP(L1065,'TB mapping'!A:C,3,0),0)</f>
        <v>6.3</v>
      </c>
      <c r="D1065" s="125" t="str">
        <f t="shared" si="112"/>
        <v>LIC1730</v>
      </c>
      <c r="E1065" s="125" t="str">
        <f t="shared" si="113"/>
        <v>LIC1736.3</v>
      </c>
      <c r="F1065" s="158" t="str">
        <f>+VLOOKUP(H1065,'code mapping'!A:C,3,0)</f>
        <v>LIC173</v>
      </c>
      <c r="G1065" s="127" t="s">
        <v>453</v>
      </c>
      <c r="H1065" s="127" t="s">
        <v>614</v>
      </c>
      <c r="I1065" s="127" t="s">
        <v>615</v>
      </c>
      <c r="J1065" s="128">
        <v>550000</v>
      </c>
      <c r="K1065" s="127" t="s">
        <v>550</v>
      </c>
      <c r="L1065" s="151">
        <v>553007</v>
      </c>
      <c r="M1065" s="128">
        <v>0</v>
      </c>
      <c r="N1065" s="127" t="s">
        <v>551</v>
      </c>
      <c r="O1065" s="127" t="s">
        <v>457</v>
      </c>
      <c r="P1065" s="128">
        <v>-3793.51</v>
      </c>
      <c r="Q1065" s="128">
        <v>0</v>
      </c>
      <c r="R1065" s="128">
        <v>0</v>
      </c>
      <c r="S1065" s="128">
        <v>0</v>
      </c>
      <c r="T1065" s="128">
        <v>-3793.51</v>
      </c>
      <c r="U1065" s="128">
        <v>0</v>
      </c>
      <c r="V1065" s="128">
        <v>-3793.51</v>
      </c>
      <c r="W1065" s="128">
        <v>0</v>
      </c>
      <c r="X1065" s="128">
        <v>0</v>
      </c>
      <c r="Y1065" s="128">
        <v>0</v>
      </c>
      <c r="Z1065" s="128">
        <v>-3793.51</v>
      </c>
      <c r="AA1065" s="128">
        <v>0</v>
      </c>
      <c r="AB1065" s="126">
        <f t="shared" si="114"/>
        <v>3.7935100000000005E-4</v>
      </c>
      <c r="AC1065" s="122" t="s">
        <v>1838</v>
      </c>
      <c r="AD1065" s="123">
        <f t="shared" si="116"/>
        <v>0.69390116300000004</v>
      </c>
    </row>
    <row r="1066" spans="1:30" ht="12.75" hidden="1" customHeight="1">
      <c r="A1066" s="125" t="str">
        <f t="shared" si="111"/>
        <v>LIC173Audit Fee</v>
      </c>
      <c r="B1066" s="125">
        <f>+IFERROR(VLOOKUP(L1066,'TB mapping'!A:D,4,0),0)</f>
        <v>0</v>
      </c>
      <c r="C1066" s="125">
        <f>+IFERROR(VLOOKUP(L1066,'TB mapping'!A:C,3,0),0)</f>
        <v>6.3</v>
      </c>
      <c r="D1066" s="125" t="str">
        <f t="shared" si="112"/>
        <v>LIC1730</v>
      </c>
      <c r="E1066" s="125" t="str">
        <f t="shared" si="113"/>
        <v>LIC1736.3</v>
      </c>
      <c r="F1066" s="158" t="str">
        <f>+VLOOKUP(H1066,'code mapping'!A:C,3,0)</f>
        <v>LIC173</v>
      </c>
      <c r="G1066" s="127" t="s">
        <v>453</v>
      </c>
      <c r="H1066" s="127" t="s">
        <v>614</v>
      </c>
      <c r="I1066" s="127" t="s">
        <v>615</v>
      </c>
      <c r="J1066" s="128">
        <v>550000</v>
      </c>
      <c r="K1066" s="127" t="s">
        <v>550</v>
      </c>
      <c r="L1066" s="151">
        <v>553105</v>
      </c>
      <c r="M1066" s="128">
        <v>0</v>
      </c>
      <c r="N1066" s="127" t="s">
        <v>552</v>
      </c>
      <c r="O1066" s="127" t="s">
        <v>457</v>
      </c>
      <c r="P1066" s="128">
        <v>-11547.91</v>
      </c>
      <c r="Q1066" s="128">
        <v>0</v>
      </c>
      <c r="R1066" s="128">
        <v>0</v>
      </c>
      <c r="S1066" s="128">
        <v>0</v>
      </c>
      <c r="T1066" s="128">
        <v>-11547.91</v>
      </c>
      <c r="U1066" s="128">
        <v>0</v>
      </c>
      <c r="V1066" s="128">
        <v>-11547.91</v>
      </c>
      <c r="W1066" s="128">
        <v>0</v>
      </c>
      <c r="X1066" s="128">
        <v>0</v>
      </c>
      <c r="Y1066" s="128">
        <v>0</v>
      </c>
      <c r="Z1066" s="128">
        <v>-11547.91</v>
      </c>
      <c r="AA1066" s="128">
        <v>0</v>
      </c>
      <c r="AB1066" s="126">
        <f t="shared" si="114"/>
        <v>1.1547910000000001E-3</v>
      </c>
      <c r="AC1066" s="122" t="s">
        <v>1838</v>
      </c>
      <c r="AD1066" s="123">
        <f t="shared" si="116"/>
        <v>0.69390116300000004</v>
      </c>
    </row>
    <row r="1067" spans="1:30" ht="12.75" hidden="1" customHeight="1">
      <c r="A1067" s="125" t="str">
        <f t="shared" si="111"/>
        <v>LIC173Custody Fee</v>
      </c>
      <c r="B1067" s="125">
        <f>+IFERROR(VLOOKUP(L1067,'TB mapping'!A:D,4,0),0)</f>
        <v>0</v>
      </c>
      <c r="C1067" s="125">
        <f>+IFERROR(VLOOKUP(L1067,'TB mapping'!A:C,3,0),0)</f>
        <v>6.3</v>
      </c>
      <c r="D1067" s="125" t="str">
        <f t="shared" si="112"/>
        <v>LIC1730</v>
      </c>
      <c r="E1067" s="125" t="str">
        <f t="shared" si="113"/>
        <v>LIC1736.3</v>
      </c>
      <c r="F1067" s="158" t="str">
        <f>+VLOOKUP(H1067,'code mapping'!A:C,3,0)</f>
        <v>LIC173</v>
      </c>
      <c r="G1067" s="127" t="s">
        <v>453</v>
      </c>
      <c r="H1067" s="127" t="s">
        <v>614</v>
      </c>
      <c r="I1067" s="127" t="s">
        <v>615</v>
      </c>
      <c r="J1067" s="128">
        <v>550000</v>
      </c>
      <c r="K1067" s="127" t="s">
        <v>550</v>
      </c>
      <c r="L1067" s="151">
        <v>553107</v>
      </c>
      <c r="M1067" s="128">
        <v>0</v>
      </c>
      <c r="N1067" s="127" t="s">
        <v>553</v>
      </c>
      <c r="O1067" s="127" t="s">
        <v>457</v>
      </c>
      <c r="P1067" s="128">
        <v>-32259.34</v>
      </c>
      <c r="Q1067" s="128">
        <v>0</v>
      </c>
      <c r="R1067" s="128">
        <v>0</v>
      </c>
      <c r="S1067" s="128">
        <v>0</v>
      </c>
      <c r="T1067" s="128">
        <v>-32259.34</v>
      </c>
      <c r="U1067" s="128">
        <v>0</v>
      </c>
      <c r="V1067" s="128">
        <v>-32259.34</v>
      </c>
      <c r="W1067" s="128">
        <v>0</v>
      </c>
      <c r="X1067" s="128">
        <v>0</v>
      </c>
      <c r="Y1067" s="128">
        <v>0</v>
      </c>
      <c r="Z1067" s="128">
        <v>-32259.34</v>
      </c>
      <c r="AA1067" s="128">
        <v>0</v>
      </c>
      <c r="AB1067" s="126">
        <f t="shared" si="114"/>
        <v>3.2259340000000002E-3</v>
      </c>
      <c r="AC1067" s="122" t="s">
        <v>1838</v>
      </c>
      <c r="AD1067" s="123">
        <f t="shared" si="116"/>
        <v>0.69390116300000004</v>
      </c>
    </row>
    <row r="1068" spans="1:30" ht="12.75" hidden="1" customHeight="1">
      <c r="A1068" s="125" t="str">
        <f t="shared" si="111"/>
        <v>LIC173Expense Allocation Account</v>
      </c>
      <c r="B1068" s="125">
        <f>+IFERROR(VLOOKUP(L1068,'TB mapping'!A:D,4,0),0)</f>
        <v>0</v>
      </c>
      <c r="C1068" s="125">
        <f>+IFERROR(VLOOKUP(L1068,'TB mapping'!A:C,3,0),0)</f>
        <v>6.3</v>
      </c>
      <c r="D1068" s="125" t="str">
        <f t="shared" si="112"/>
        <v>LIC1730</v>
      </c>
      <c r="E1068" s="125" t="str">
        <f t="shared" si="113"/>
        <v>LIC1736.3</v>
      </c>
      <c r="F1068" s="158" t="str">
        <f>+VLOOKUP(H1068,'code mapping'!A:C,3,0)</f>
        <v>LIC173</v>
      </c>
      <c r="G1068" s="127" t="s">
        <v>453</v>
      </c>
      <c r="H1068" s="127" t="s">
        <v>614</v>
      </c>
      <c r="I1068" s="127" t="s">
        <v>615</v>
      </c>
      <c r="J1068" s="128">
        <v>550000</v>
      </c>
      <c r="K1068" s="127" t="s">
        <v>550</v>
      </c>
      <c r="L1068" s="151">
        <v>553111</v>
      </c>
      <c r="M1068" s="128">
        <v>0</v>
      </c>
      <c r="N1068" s="127" t="s">
        <v>554</v>
      </c>
      <c r="O1068" s="127" t="s">
        <v>457</v>
      </c>
      <c r="P1068" s="128">
        <v>0</v>
      </c>
      <c r="Q1068" s="128">
        <v>119606.37</v>
      </c>
      <c r="R1068" s="128">
        <v>0</v>
      </c>
      <c r="S1068" s="128">
        <v>0</v>
      </c>
      <c r="T1068" s="128">
        <v>0</v>
      </c>
      <c r="U1068" s="128">
        <v>119606.37</v>
      </c>
      <c r="V1068" s="128">
        <v>0</v>
      </c>
      <c r="W1068" s="128">
        <v>119606.37</v>
      </c>
      <c r="X1068" s="128">
        <v>0</v>
      </c>
      <c r="Y1068" s="128">
        <v>0</v>
      </c>
      <c r="Z1068" s="128">
        <v>0</v>
      </c>
      <c r="AA1068" s="128">
        <v>119606.37</v>
      </c>
      <c r="AB1068" s="126">
        <f t="shared" si="114"/>
        <v>-1.1960637E-2</v>
      </c>
      <c r="AC1068" s="122" t="s">
        <v>1838</v>
      </c>
      <c r="AD1068" s="123">
        <f t="shared" si="116"/>
        <v>0.69390116300000004</v>
      </c>
    </row>
    <row r="1069" spans="1:30" ht="12.75" hidden="1" customHeight="1">
      <c r="A1069" s="125" t="str">
        <f t="shared" si="111"/>
        <v>LIC173Trustee Fee</v>
      </c>
      <c r="B1069" s="125">
        <f>+IFERROR(VLOOKUP(L1069,'TB mapping'!A:D,4,0),0)</f>
        <v>6.2</v>
      </c>
      <c r="C1069" s="125">
        <f>+IFERROR(VLOOKUP(L1069,'TB mapping'!A:C,3,0),0)</f>
        <v>6.3</v>
      </c>
      <c r="D1069" s="125" t="str">
        <f t="shared" si="112"/>
        <v>LIC1736.2</v>
      </c>
      <c r="E1069" s="125" t="str">
        <f t="shared" si="113"/>
        <v>LIC1736.3</v>
      </c>
      <c r="F1069" s="158" t="str">
        <f>+VLOOKUP(H1069,'code mapping'!A:C,3,0)</f>
        <v>LIC173</v>
      </c>
      <c r="G1069" s="127" t="s">
        <v>453</v>
      </c>
      <c r="H1069" s="127" t="s">
        <v>614</v>
      </c>
      <c r="I1069" s="127" t="s">
        <v>615</v>
      </c>
      <c r="J1069" s="128">
        <v>550000</v>
      </c>
      <c r="K1069" s="127" t="s">
        <v>550</v>
      </c>
      <c r="L1069" s="151">
        <v>553131</v>
      </c>
      <c r="M1069" s="128">
        <v>0</v>
      </c>
      <c r="N1069" s="127" t="s">
        <v>555</v>
      </c>
      <c r="O1069" s="127" t="s">
        <v>457</v>
      </c>
      <c r="P1069" s="128">
        <v>-3132.73</v>
      </c>
      <c r="Q1069" s="128">
        <v>0</v>
      </c>
      <c r="R1069" s="128">
        <v>0</v>
      </c>
      <c r="S1069" s="128">
        <v>0</v>
      </c>
      <c r="T1069" s="128">
        <v>-3132.73</v>
      </c>
      <c r="U1069" s="128">
        <v>0</v>
      </c>
      <c r="V1069" s="128">
        <v>-3132.73</v>
      </c>
      <c r="W1069" s="128">
        <v>0</v>
      </c>
      <c r="X1069" s="128">
        <v>0</v>
      </c>
      <c r="Y1069" s="128">
        <v>0</v>
      </c>
      <c r="Z1069" s="128">
        <v>-3132.73</v>
      </c>
      <c r="AA1069" s="128">
        <v>0</v>
      </c>
      <c r="AB1069" s="126">
        <f t="shared" si="114"/>
        <v>3.1327299999999998E-4</v>
      </c>
      <c r="AC1069" s="122" t="s">
        <v>1838</v>
      </c>
      <c r="AD1069" s="123">
        <f t="shared" si="116"/>
        <v>0.69390116300000004</v>
      </c>
    </row>
    <row r="1070" spans="1:30" ht="12.75" hidden="1" customHeight="1">
      <c r="A1070" s="125" t="str">
        <f t="shared" si="111"/>
        <v>LIC173Investor Education Fund Exps</v>
      </c>
      <c r="B1070" s="125">
        <f>+IFERROR(VLOOKUP(L1070,'TB mapping'!A:D,4,0),0)</f>
        <v>0</v>
      </c>
      <c r="C1070" s="125">
        <f>+IFERROR(VLOOKUP(L1070,'TB mapping'!A:C,3,0),0)</f>
        <v>6.3</v>
      </c>
      <c r="D1070" s="125" t="str">
        <f t="shared" si="112"/>
        <v>LIC1730</v>
      </c>
      <c r="E1070" s="125" t="str">
        <f t="shared" si="113"/>
        <v>LIC1736.3</v>
      </c>
      <c r="F1070" s="158" t="str">
        <f>+VLOOKUP(H1070,'code mapping'!A:C,3,0)</f>
        <v>LIC173</v>
      </c>
      <c r="G1070" s="127" t="s">
        <v>453</v>
      </c>
      <c r="H1070" s="127" t="s">
        <v>614</v>
      </c>
      <c r="I1070" s="127" t="s">
        <v>615</v>
      </c>
      <c r="J1070" s="128">
        <v>550000</v>
      </c>
      <c r="K1070" s="127" t="s">
        <v>550</v>
      </c>
      <c r="L1070" s="151">
        <v>553171</v>
      </c>
      <c r="M1070" s="128">
        <v>0</v>
      </c>
      <c r="N1070" s="127" t="s">
        <v>557</v>
      </c>
      <c r="O1070" s="127" t="s">
        <v>457</v>
      </c>
      <c r="P1070" s="128">
        <v>-32480.22</v>
      </c>
      <c r="Q1070" s="128">
        <v>0</v>
      </c>
      <c r="R1070" s="128">
        <v>0</v>
      </c>
      <c r="S1070" s="128">
        <v>0</v>
      </c>
      <c r="T1070" s="128">
        <v>-32480.22</v>
      </c>
      <c r="U1070" s="128">
        <v>0</v>
      </c>
      <c r="V1070" s="128">
        <v>-32480.22</v>
      </c>
      <c r="W1070" s="128">
        <v>0</v>
      </c>
      <c r="X1070" s="128">
        <v>0</v>
      </c>
      <c r="Y1070" s="128">
        <v>0</v>
      </c>
      <c r="Z1070" s="128">
        <v>-32480.22</v>
      </c>
      <c r="AA1070" s="128">
        <v>0</v>
      </c>
      <c r="AB1070" s="126">
        <f t="shared" si="114"/>
        <v>3.2480220000000001E-3</v>
      </c>
      <c r="AC1070" s="122" t="s">
        <v>1838</v>
      </c>
      <c r="AD1070" s="123">
        <f t="shared" si="116"/>
        <v>0.69390116300000004</v>
      </c>
    </row>
    <row r="1071" spans="1:30" ht="12.75" hidden="1" customHeight="1">
      <c r="A1071" s="125" t="str">
        <f t="shared" si="111"/>
        <v>LIC173Service Tax on Management Fees</v>
      </c>
      <c r="B1071" s="125">
        <f>+IFERROR(VLOOKUP(L1071,'TB mapping'!A:D,4,0),0)</f>
        <v>6.1</v>
      </c>
      <c r="C1071" s="125">
        <f>+IFERROR(VLOOKUP(L1071,'TB mapping'!A:C,3,0),0)</f>
        <v>6.3</v>
      </c>
      <c r="D1071" s="125" t="str">
        <f t="shared" si="112"/>
        <v>LIC1736.1</v>
      </c>
      <c r="E1071" s="125" t="str">
        <f t="shared" si="113"/>
        <v>LIC1736.3</v>
      </c>
      <c r="F1071" s="158" t="str">
        <f>+VLOOKUP(H1071,'code mapping'!A:C,3,0)</f>
        <v>LIC173</v>
      </c>
      <c r="G1071" s="127" t="s">
        <v>453</v>
      </c>
      <c r="H1071" s="127" t="s">
        <v>614</v>
      </c>
      <c r="I1071" s="127" t="s">
        <v>615</v>
      </c>
      <c r="J1071" s="128">
        <v>550000</v>
      </c>
      <c r="K1071" s="127" t="s">
        <v>550</v>
      </c>
      <c r="L1071" s="151">
        <v>553172</v>
      </c>
      <c r="M1071" s="128">
        <v>0</v>
      </c>
      <c r="N1071" s="127" t="s">
        <v>558</v>
      </c>
      <c r="O1071" s="127" t="s">
        <v>457</v>
      </c>
      <c r="P1071" s="128">
        <v>-129675.96</v>
      </c>
      <c r="Q1071" s="128">
        <v>0</v>
      </c>
      <c r="R1071" s="128">
        <v>0</v>
      </c>
      <c r="S1071" s="128">
        <v>0</v>
      </c>
      <c r="T1071" s="128">
        <v>-129675.96</v>
      </c>
      <c r="U1071" s="128">
        <v>0</v>
      </c>
      <c r="V1071" s="128">
        <v>-129675.96</v>
      </c>
      <c r="W1071" s="128">
        <v>0</v>
      </c>
      <c r="X1071" s="128">
        <v>0</v>
      </c>
      <c r="Y1071" s="128">
        <v>0</v>
      </c>
      <c r="Z1071" s="128">
        <v>-129675.96</v>
      </c>
      <c r="AA1071" s="128">
        <v>0</v>
      </c>
      <c r="AB1071" s="126">
        <f t="shared" si="114"/>
        <v>1.2967596000000001E-2</v>
      </c>
      <c r="AC1071" s="122" t="s">
        <v>1838</v>
      </c>
      <c r="AD1071" s="123">
        <f t="shared" si="116"/>
        <v>0.69390116300000004</v>
      </c>
    </row>
    <row r="1072" spans="1:30" ht="12.75" hidden="1" customHeight="1">
      <c r="A1072" s="125" t="str">
        <f t="shared" si="111"/>
        <v>LIC173CCIL Expenses</v>
      </c>
      <c r="B1072" s="125">
        <f>+IFERROR(VLOOKUP(L1072,'TB mapping'!A:D,4,0),0)</f>
        <v>0</v>
      </c>
      <c r="C1072" s="125">
        <f>+IFERROR(VLOOKUP(L1072,'TB mapping'!A:C,3,0),0)</f>
        <v>6.3</v>
      </c>
      <c r="D1072" s="125" t="str">
        <f t="shared" si="112"/>
        <v>LIC1730</v>
      </c>
      <c r="E1072" s="125" t="str">
        <f t="shared" si="113"/>
        <v>LIC1736.3</v>
      </c>
      <c r="F1072" s="158" t="str">
        <f>+VLOOKUP(H1072,'code mapping'!A:C,3,0)</f>
        <v>LIC173</v>
      </c>
      <c r="G1072" s="127" t="s">
        <v>453</v>
      </c>
      <c r="H1072" s="127" t="s">
        <v>614</v>
      </c>
      <c r="I1072" s="127" t="s">
        <v>615</v>
      </c>
      <c r="J1072" s="128">
        <v>550000</v>
      </c>
      <c r="K1072" s="127" t="s">
        <v>550</v>
      </c>
      <c r="L1072" s="151">
        <v>553176</v>
      </c>
      <c r="M1072" s="128">
        <v>0</v>
      </c>
      <c r="N1072" s="127" t="s">
        <v>559</v>
      </c>
      <c r="O1072" s="127" t="s">
        <v>457</v>
      </c>
      <c r="P1072" s="128">
        <v>-4195.6499999999996</v>
      </c>
      <c r="Q1072" s="128">
        <v>0</v>
      </c>
      <c r="R1072" s="128">
        <v>0</v>
      </c>
      <c r="S1072" s="128">
        <v>0</v>
      </c>
      <c r="T1072" s="128">
        <v>-4195.6499999999996</v>
      </c>
      <c r="U1072" s="128">
        <v>0</v>
      </c>
      <c r="V1072" s="128">
        <v>-4195.6499999999996</v>
      </c>
      <c r="W1072" s="128">
        <v>0</v>
      </c>
      <c r="X1072" s="128">
        <v>0</v>
      </c>
      <c r="Y1072" s="128">
        <v>0</v>
      </c>
      <c r="Z1072" s="128">
        <v>-4195.6499999999996</v>
      </c>
      <c r="AA1072" s="128">
        <v>0</v>
      </c>
      <c r="AB1072" s="126">
        <f t="shared" si="114"/>
        <v>4.1956499999999994E-4</v>
      </c>
      <c r="AC1072" s="122" t="s">
        <v>1838</v>
      </c>
      <c r="AD1072" s="123">
        <f t="shared" si="116"/>
        <v>0.69390116300000004</v>
      </c>
    </row>
    <row r="1073" spans="1:30" ht="12.75" hidden="1" customHeight="1">
      <c r="A1073" s="125" t="str">
        <f t="shared" si="111"/>
        <v>LIC173Out of Pocket Expenses - R&amp;T</v>
      </c>
      <c r="B1073" s="125">
        <f>+IFERROR(VLOOKUP(L1073,'TB mapping'!A:D,4,0),0)</f>
        <v>0</v>
      </c>
      <c r="C1073" s="125">
        <f>+IFERROR(VLOOKUP(L1073,'TB mapping'!A:C,3,0),0)</f>
        <v>6.3</v>
      </c>
      <c r="D1073" s="125" t="str">
        <f t="shared" si="112"/>
        <v>LIC1730</v>
      </c>
      <c r="E1073" s="125" t="str">
        <f t="shared" si="113"/>
        <v>LIC1736.3</v>
      </c>
      <c r="F1073" s="158" t="str">
        <f>+VLOOKUP(H1073,'code mapping'!A:C,3,0)</f>
        <v>LIC173</v>
      </c>
      <c r="G1073" s="127" t="s">
        <v>453</v>
      </c>
      <c r="H1073" s="127" t="s">
        <v>614</v>
      </c>
      <c r="I1073" s="127" t="s">
        <v>615</v>
      </c>
      <c r="J1073" s="128">
        <v>550000</v>
      </c>
      <c r="K1073" s="127" t="s">
        <v>550</v>
      </c>
      <c r="L1073" s="151">
        <v>553180</v>
      </c>
      <c r="M1073" s="128">
        <v>0</v>
      </c>
      <c r="N1073" s="127" t="s">
        <v>560</v>
      </c>
      <c r="O1073" s="127" t="s">
        <v>457</v>
      </c>
      <c r="P1073" s="128">
        <v>-6716.69</v>
      </c>
      <c r="Q1073" s="128">
        <v>0</v>
      </c>
      <c r="R1073" s="128">
        <v>0</v>
      </c>
      <c r="S1073" s="128">
        <v>0</v>
      </c>
      <c r="T1073" s="128">
        <v>-6716.69</v>
      </c>
      <c r="U1073" s="128">
        <v>0</v>
      </c>
      <c r="V1073" s="128">
        <v>-6716.69</v>
      </c>
      <c r="W1073" s="128">
        <v>0</v>
      </c>
      <c r="X1073" s="128">
        <v>0</v>
      </c>
      <c r="Y1073" s="128">
        <v>0</v>
      </c>
      <c r="Z1073" s="128">
        <v>-6716.69</v>
      </c>
      <c r="AA1073" s="128">
        <v>0</v>
      </c>
      <c r="AB1073" s="126">
        <f t="shared" si="114"/>
        <v>6.7166899999999996E-4</v>
      </c>
      <c r="AC1073" s="122" t="s">
        <v>1838</v>
      </c>
      <c r="AD1073" s="123">
        <f t="shared" si="116"/>
        <v>0.69390116300000004</v>
      </c>
    </row>
    <row r="1074" spans="1:30" ht="12.75" hidden="1" customHeight="1">
      <c r="A1074" s="125" t="str">
        <f t="shared" si="111"/>
        <v>LIC173Other Expenses</v>
      </c>
      <c r="B1074" s="125">
        <f>+IFERROR(VLOOKUP(L1074,'TB mapping'!A:D,4,0),0)</f>
        <v>0</v>
      </c>
      <c r="C1074" s="125">
        <f>+IFERROR(VLOOKUP(L1074,'TB mapping'!A:C,3,0),0)</f>
        <v>6.3</v>
      </c>
      <c r="D1074" s="125" t="str">
        <f t="shared" si="112"/>
        <v>LIC1730</v>
      </c>
      <c r="E1074" s="125" t="str">
        <f t="shared" si="113"/>
        <v>LIC1736.3</v>
      </c>
      <c r="F1074" s="158" t="str">
        <f>+VLOOKUP(H1074,'code mapping'!A:C,3,0)</f>
        <v>LIC173</v>
      </c>
      <c r="G1074" s="127" t="s">
        <v>453</v>
      </c>
      <c r="H1074" s="127" t="s">
        <v>614</v>
      </c>
      <c r="I1074" s="127" t="s">
        <v>615</v>
      </c>
      <c r="J1074" s="128">
        <v>550000</v>
      </c>
      <c r="K1074" s="127" t="s">
        <v>550</v>
      </c>
      <c r="L1074" s="151">
        <v>553190</v>
      </c>
      <c r="M1074" s="128">
        <v>0</v>
      </c>
      <c r="N1074" s="127" t="s">
        <v>561</v>
      </c>
      <c r="O1074" s="127" t="s">
        <v>457</v>
      </c>
      <c r="P1074" s="128">
        <v>-83410.47</v>
      </c>
      <c r="Q1074" s="128">
        <v>0</v>
      </c>
      <c r="R1074" s="128">
        <v>0</v>
      </c>
      <c r="S1074" s="128">
        <v>0</v>
      </c>
      <c r="T1074" s="128">
        <v>-83410.47</v>
      </c>
      <c r="U1074" s="128">
        <v>0</v>
      </c>
      <c r="V1074" s="128">
        <v>-83410.47</v>
      </c>
      <c r="W1074" s="128">
        <v>0</v>
      </c>
      <c r="X1074" s="128">
        <v>0</v>
      </c>
      <c r="Y1074" s="128">
        <v>0</v>
      </c>
      <c r="Z1074" s="128">
        <v>-83410.47</v>
      </c>
      <c r="AA1074" s="128">
        <v>0</v>
      </c>
      <c r="AB1074" s="126">
        <f t="shared" si="114"/>
        <v>8.3410470000000007E-3</v>
      </c>
      <c r="AC1074" s="122" t="s">
        <v>1838</v>
      </c>
      <c r="AD1074" s="123">
        <f t="shared" si="116"/>
        <v>0.69390116300000004</v>
      </c>
    </row>
    <row r="1075" spans="1:30" ht="12.75" hidden="1" customHeight="1">
      <c r="A1075" s="125" t="str">
        <f t="shared" si="111"/>
        <v>LIC173Other Expenses-RG</v>
      </c>
      <c r="B1075" s="125">
        <f>+IFERROR(VLOOKUP(L1075,'TB mapping'!A:D,4,0),0)</f>
        <v>0</v>
      </c>
      <c r="C1075" s="125">
        <f>+IFERROR(VLOOKUP(L1075,'TB mapping'!A:C,3,0),0)</f>
        <v>6.3</v>
      </c>
      <c r="D1075" s="125" t="str">
        <f t="shared" si="112"/>
        <v>LIC1730</v>
      </c>
      <c r="E1075" s="125" t="str">
        <f t="shared" si="113"/>
        <v>LIC1736.3</v>
      </c>
      <c r="F1075" s="158" t="str">
        <f>+VLOOKUP(H1075,'code mapping'!A:C,3,0)</f>
        <v>LIC173</v>
      </c>
      <c r="G1075" s="127" t="s">
        <v>453</v>
      </c>
      <c r="H1075" s="127" t="s">
        <v>614</v>
      </c>
      <c r="I1075" s="127" t="s">
        <v>615</v>
      </c>
      <c r="J1075" s="128">
        <v>550000</v>
      </c>
      <c r="K1075" s="127" t="s">
        <v>550</v>
      </c>
      <c r="L1075" s="151">
        <v>553191</v>
      </c>
      <c r="M1075" s="128">
        <v>0</v>
      </c>
      <c r="N1075" s="127" t="s">
        <v>562</v>
      </c>
      <c r="O1075" s="127" t="s">
        <v>457</v>
      </c>
      <c r="P1075" s="128">
        <v>-157543.18</v>
      </c>
      <c r="Q1075" s="128">
        <v>0</v>
      </c>
      <c r="R1075" s="128">
        <v>0</v>
      </c>
      <c r="S1075" s="128">
        <v>0</v>
      </c>
      <c r="T1075" s="128">
        <v>-157543.18</v>
      </c>
      <c r="U1075" s="128">
        <v>0</v>
      </c>
      <c r="V1075" s="128">
        <v>-157543.18</v>
      </c>
      <c r="W1075" s="128">
        <v>0</v>
      </c>
      <c r="X1075" s="128">
        <v>0</v>
      </c>
      <c r="Y1075" s="128">
        <v>0</v>
      </c>
      <c r="Z1075" s="128">
        <v>-157543.18</v>
      </c>
      <c r="AA1075" s="128">
        <v>0</v>
      </c>
      <c r="AB1075" s="126">
        <f t="shared" si="114"/>
        <v>1.5754318E-2</v>
      </c>
      <c r="AC1075" s="122" t="s">
        <v>1838</v>
      </c>
      <c r="AD1075" s="123">
        <f t="shared" si="116"/>
        <v>0.69390116300000004</v>
      </c>
    </row>
    <row r="1076" spans="1:30" ht="12.75" hidden="1" customHeight="1">
      <c r="A1076" s="125" t="str">
        <f t="shared" si="111"/>
        <v>LIC173Other Expenses-RD</v>
      </c>
      <c r="B1076" s="125">
        <f>+IFERROR(VLOOKUP(L1076,'TB mapping'!A:D,4,0),0)</f>
        <v>0</v>
      </c>
      <c r="C1076" s="125">
        <f>+IFERROR(VLOOKUP(L1076,'TB mapping'!A:C,3,0),0)</f>
        <v>6.3</v>
      </c>
      <c r="D1076" s="125" t="str">
        <f t="shared" si="112"/>
        <v>LIC1730</v>
      </c>
      <c r="E1076" s="125" t="str">
        <f t="shared" si="113"/>
        <v>LIC1736.3</v>
      </c>
      <c r="F1076" s="158" t="str">
        <f>+VLOOKUP(H1076,'code mapping'!A:C,3,0)</f>
        <v>LIC173</v>
      </c>
      <c r="G1076" s="127" t="s">
        <v>453</v>
      </c>
      <c r="H1076" s="127" t="s">
        <v>614</v>
      </c>
      <c r="I1076" s="127" t="s">
        <v>615</v>
      </c>
      <c r="J1076" s="128">
        <v>550000</v>
      </c>
      <c r="K1076" s="127" t="s">
        <v>550</v>
      </c>
      <c r="L1076" s="151">
        <v>553192</v>
      </c>
      <c r="M1076" s="128">
        <v>0</v>
      </c>
      <c r="N1076" s="127" t="s">
        <v>563</v>
      </c>
      <c r="O1076" s="127" t="s">
        <v>457</v>
      </c>
      <c r="P1076" s="128">
        <v>-8858.4</v>
      </c>
      <c r="Q1076" s="128">
        <v>0</v>
      </c>
      <c r="R1076" s="128">
        <v>0</v>
      </c>
      <c r="S1076" s="128">
        <v>0</v>
      </c>
      <c r="T1076" s="128">
        <v>-8858.4</v>
      </c>
      <c r="U1076" s="128">
        <v>0</v>
      </c>
      <c r="V1076" s="128">
        <v>-8858.4</v>
      </c>
      <c r="W1076" s="128">
        <v>0</v>
      </c>
      <c r="X1076" s="128">
        <v>0</v>
      </c>
      <c r="Y1076" s="128">
        <v>0</v>
      </c>
      <c r="Z1076" s="128">
        <v>-8858.4</v>
      </c>
      <c r="AA1076" s="128">
        <v>0</v>
      </c>
      <c r="AB1076" s="126">
        <f t="shared" si="114"/>
        <v>8.8583999999999993E-4</v>
      </c>
      <c r="AC1076" s="122" t="s">
        <v>1838</v>
      </c>
      <c r="AD1076" s="123">
        <f t="shared" si="116"/>
        <v>0.69390116300000004</v>
      </c>
    </row>
    <row r="1077" spans="1:30" ht="12.75" hidden="1" customHeight="1">
      <c r="A1077" s="125" t="str">
        <f t="shared" si="111"/>
        <v>LIC173Other Exp - Brok - Indirect</v>
      </c>
      <c r="B1077" s="125">
        <f>+IFERROR(VLOOKUP(L1077,'TB mapping'!A:D,4,0),0)</f>
        <v>0</v>
      </c>
      <c r="C1077" s="125">
        <f>+IFERROR(VLOOKUP(L1077,'TB mapping'!A:C,3,0),0)</f>
        <v>6.3</v>
      </c>
      <c r="D1077" s="125" t="str">
        <f t="shared" si="112"/>
        <v>LIC1730</v>
      </c>
      <c r="E1077" s="125" t="str">
        <f t="shared" si="113"/>
        <v>LIC1736.3</v>
      </c>
      <c r="F1077" s="158" t="str">
        <f>+VLOOKUP(H1077,'code mapping'!A:C,3,0)</f>
        <v>LIC173</v>
      </c>
      <c r="G1077" s="127" t="s">
        <v>453</v>
      </c>
      <c r="H1077" s="127" t="s">
        <v>614</v>
      </c>
      <c r="I1077" s="127" t="s">
        <v>615</v>
      </c>
      <c r="J1077" s="128">
        <v>550000</v>
      </c>
      <c r="K1077" s="127" t="s">
        <v>550</v>
      </c>
      <c r="L1077" s="151">
        <v>553202</v>
      </c>
      <c r="M1077" s="128">
        <v>0</v>
      </c>
      <c r="N1077" s="127" t="s">
        <v>564</v>
      </c>
      <c r="O1077" s="127" t="s">
        <v>457</v>
      </c>
      <c r="P1077" s="128">
        <v>-1112000.17</v>
      </c>
      <c r="Q1077" s="128">
        <v>0</v>
      </c>
      <c r="R1077" s="128">
        <v>0</v>
      </c>
      <c r="S1077" s="128">
        <v>0</v>
      </c>
      <c r="T1077" s="128">
        <v>-1112000.17</v>
      </c>
      <c r="U1077" s="128">
        <v>0</v>
      </c>
      <c r="V1077" s="128">
        <v>-1112000.17</v>
      </c>
      <c r="W1077" s="128">
        <v>0</v>
      </c>
      <c r="X1077" s="128">
        <v>0</v>
      </c>
      <c r="Y1077" s="128">
        <v>0</v>
      </c>
      <c r="Z1077" s="128">
        <v>-1112000.17</v>
      </c>
      <c r="AA1077" s="128">
        <v>0</v>
      </c>
      <c r="AB1077" s="126">
        <f t="shared" si="114"/>
        <v>0.111200017</v>
      </c>
      <c r="AC1077" s="122" t="s">
        <v>1838</v>
      </c>
      <c r="AD1077" s="123">
        <f t="shared" si="116"/>
        <v>0.69390116300000004</v>
      </c>
    </row>
    <row r="1078" spans="1:30" ht="12.75" hidden="1" customHeight="1">
      <c r="A1078" s="125" t="str">
        <f t="shared" si="111"/>
        <v>LIC173Brokerage/Dist Exps</v>
      </c>
      <c r="B1078" s="125">
        <f>+IFERROR(VLOOKUP(L1078,'TB mapping'!A:D,4,0),0)</f>
        <v>0</v>
      </c>
      <c r="C1078" s="125">
        <f>+IFERROR(VLOOKUP(L1078,'TB mapping'!A:C,3,0),0)</f>
        <v>6.3</v>
      </c>
      <c r="D1078" s="125" t="str">
        <f t="shared" si="112"/>
        <v>LIC1730</v>
      </c>
      <c r="E1078" s="125" t="str">
        <f t="shared" si="113"/>
        <v>LIC1736.3</v>
      </c>
      <c r="F1078" s="158" t="str">
        <f>+VLOOKUP(H1078,'code mapping'!A:C,3,0)</f>
        <v>LIC173</v>
      </c>
      <c r="G1078" s="127" t="s">
        <v>453</v>
      </c>
      <c r="H1078" s="127" t="s">
        <v>614</v>
      </c>
      <c r="I1078" s="127" t="s">
        <v>615</v>
      </c>
      <c r="J1078" s="128">
        <v>550000</v>
      </c>
      <c r="K1078" s="127" t="s">
        <v>550</v>
      </c>
      <c r="L1078" s="151">
        <v>553208</v>
      </c>
      <c r="M1078" s="128">
        <v>0</v>
      </c>
      <c r="N1078" s="127" t="s">
        <v>565</v>
      </c>
      <c r="O1078" s="127" t="s">
        <v>457</v>
      </c>
      <c r="P1078" s="128">
        <v>0</v>
      </c>
      <c r="Q1078" s="128">
        <v>722198.16</v>
      </c>
      <c r="R1078" s="128">
        <v>0</v>
      </c>
      <c r="S1078" s="128">
        <v>0</v>
      </c>
      <c r="T1078" s="128">
        <v>0</v>
      </c>
      <c r="U1078" s="128">
        <v>722198.16</v>
      </c>
      <c r="V1078" s="128">
        <v>0</v>
      </c>
      <c r="W1078" s="128">
        <v>722198.16</v>
      </c>
      <c r="X1078" s="128">
        <v>0</v>
      </c>
      <c r="Y1078" s="128">
        <v>0</v>
      </c>
      <c r="Z1078" s="128">
        <v>0</v>
      </c>
      <c r="AA1078" s="128">
        <v>722198.16</v>
      </c>
      <c r="AB1078" s="126">
        <f t="shared" si="114"/>
        <v>-7.2219816000000006E-2</v>
      </c>
      <c r="AC1078" s="122" t="s">
        <v>1838</v>
      </c>
      <c r="AD1078" s="123">
        <f t="shared" si="116"/>
        <v>0.69390116300000004</v>
      </c>
    </row>
    <row r="1079" spans="1:30" ht="12.75" hidden="1" customHeight="1">
      <c r="A1079" s="125" t="str">
        <f t="shared" si="111"/>
        <v>LIC173Internal Audit Fee</v>
      </c>
      <c r="B1079" s="125">
        <f>+IFERROR(VLOOKUP(L1079,'TB mapping'!A:D,4,0),0)</f>
        <v>0</v>
      </c>
      <c r="C1079" s="125">
        <f>+IFERROR(VLOOKUP(L1079,'TB mapping'!A:C,3,0),0)</f>
        <v>6.3</v>
      </c>
      <c r="D1079" s="125" t="str">
        <f t="shared" si="112"/>
        <v>LIC1730</v>
      </c>
      <c r="E1079" s="125" t="str">
        <f t="shared" si="113"/>
        <v>LIC1736.3</v>
      </c>
      <c r="F1079" s="158" t="str">
        <f>+VLOOKUP(H1079,'code mapping'!A:C,3,0)</f>
        <v>LIC173</v>
      </c>
      <c r="G1079" s="127" t="s">
        <v>453</v>
      </c>
      <c r="H1079" s="127" t="s">
        <v>614</v>
      </c>
      <c r="I1079" s="127" t="s">
        <v>615</v>
      </c>
      <c r="J1079" s="128">
        <v>550000</v>
      </c>
      <c r="K1079" s="127" t="s">
        <v>550</v>
      </c>
      <c r="L1079" s="151">
        <v>553213</v>
      </c>
      <c r="M1079" s="128">
        <v>0</v>
      </c>
      <c r="N1079" s="127" t="s">
        <v>566</v>
      </c>
      <c r="O1079" s="127" t="s">
        <v>457</v>
      </c>
      <c r="P1079" s="128">
        <v>-7728.96</v>
      </c>
      <c r="Q1079" s="128">
        <v>0</v>
      </c>
      <c r="R1079" s="128">
        <v>0</v>
      </c>
      <c r="S1079" s="128">
        <v>0</v>
      </c>
      <c r="T1079" s="128">
        <v>-7728.96</v>
      </c>
      <c r="U1079" s="128">
        <v>0</v>
      </c>
      <c r="V1079" s="128">
        <v>-7728.96</v>
      </c>
      <c r="W1079" s="128">
        <v>0</v>
      </c>
      <c r="X1079" s="128">
        <v>0</v>
      </c>
      <c r="Y1079" s="128">
        <v>0</v>
      </c>
      <c r="Z1079" s="128">
        <v>-7728.96</v>
      </c>
      <c r="AA1079" s="128">
        <v>0</v>
      </c>
      <c r="AB1079" s="126">
        <f t="shared" si="114"/>
        <v>7.7289600000000002E-4</v>
      </c>
      <c r="AC1079" s="122" t="s">
        <v>1838</v>
      </c>
      <c r="AD1079" s="123">
        <f t="shared" si="116"/>
        <v>0.69390116300000004</v>
      </c>
    </row>
    <row r="1080" spans="1:30" ht="12.75" hidden="1" customHeight="1">
      <c r="A1080" s="125" t="str">
        <f t="shared" si="111"/>
        <v>LIC173Other Expenses-GDP</v>
      </c>
      <c r="B1080" s="125">
        <f>+IFERROR(VLOOKUP(L1080,'TB mapping'!A:D,4,0),0)</f>
        <v>0</v>
      </c>
      <c r="C1080" s="125">
        <f>+IFERROR(VLOOKUP(L1080,'TB mapping'!A:C,3,0),0)</f>
        <v>6.3</v>
      </c>
      <c r="D1080" s="125" t="str">
        <f t="shared" si="112"/>
        <v>LIC1730</v>
      </c>
      <c r="E1080" s="125" t="str">
        <f t="shared" si="113"/>
        <v>LIC1736.3</v>
      </c>
      <c r="F1080" s="158" t="str">
        <f>+VLOOKUP(H1080,'code mapping'!A:C,3,0)</f>
        <v>LIC173</v>
      </c>
      <c r="G1080" s="127" t="s">
        <v>453</v>
      </c>
      <c r="H1080" s="127" t="s">
        <v>614</v>
      </c>
      <c r="I1080" s="127" t="s">
        <v>615</v>
      </c>
      <c r="J1080" s="128">
        <v>550000</v>
      </c>
      <c r="K1080" s="127" t="s">
        <v>550</v>
      </c>
      <c r="L1080" s="151">
        <v>553329</v>
      </c>
      <c r="M1080" s="128">
        <v>0</v>
      </c>
      <c r="N1080" s="127" t="s">
        <v>567</v>
      </c>
      <c r="O1080" s="127" t="s">
        <v>457</v>
      </c>
      <c r="P1080" s="128">
        <v>-74360.77</v>
      </c>
      <c r="Q1080" s="128">
        <v>0</v>
      </c>
      <c r="R1080" s="128">
        <v>0</v>
      </c>
      <c r="S1080" s="128">
        <v>0</v>
      </c>
      <c r="T1080" s="128">
        <v>-74360.77</v>
      </c>
      <c r="U1080" s="128">
        <v>0</v>
      </c>
      <c r="V1080" s="128">
        <v>-74360.77</v>
      </c>
      <c r="W1080" s="128">
        <v>0</v>
      </c>
      <c r="X1080" s="128">
        <v>0</v>
      </c>
      <c r="Y1080" s="128">
        <v>0</v>
      </c>
      <c r="Z1080" s="128">
        <v>-74360.77</v>
      </c>
      <c r="AA1080" s="128">
        <v>0</v>
      </c>
      <c r="AB1080" s="126">
        <f t="shared" si="114"/>
        <v>7.4360770000000001E-3</v>
      </c>
      <c r="AC1080" s="122" t="s">
        <v>1838</v>
      </c>
      <c r="AD1080" s="123">
        <f t="shared" si="116"/>
        <v>0.69390116300000004</v>
      </c>
    </row>
    <row r="1081" spans="1:30" ht="12.75" hidden="1" customHeight="1">
      <c r="A1081" s="125" t="str">
        <f t="shared" ref="A1081:A1144" si="117">+F1081&amp;N1081</f>
        <v>LIC173Other Expenses-DDP</v>
      </c>
      <c r="B1081" s="125">
        <f>+IFERROR(VLOOKUP(L1081,'TB mapping'!A:D,4,0),0)</f>
        <v>0</v>
      </c>
      <c r="C1081" s="125">
        <f>+IFERROR(VLOOKUP(L1081,'TB mapping'!A:C,3,0),0)</f>
        <v>6.3</v>
      </c>
      <c r="D1081" s="125" t="str">
        <f t="shared" ref="D1081:D1144" si="118">+F1081&amp;B1081</f>
        <v>LIC1730</v>
      </c>
      <c r="E1081" s="125" t="str">
        <f t="shared" ref="E1081:E1144" si="119">+F1081&amp;C1081</f>
        <v>LIC1736.3</v>
      </c>
      <c r="F1081" s="158" t="str">
        <f>+VLOOKUP(H1081,'code mapping'!A:C,3,0)</f>
        <v>LIC173</v>
      </c>
      <c r="G1081" s="127" t="s">
        <v>453</v>
      </c>
      <c r="H1081" s="127" t="s">
        <v>614</v>
      </c>
      <c r="I1081" s="127" t="s">
        <v>615</v>
      </c>
      <c r="J1081" s="128">
        <v>550000</v>
      </c>
      <c r="K1081" s="127" t="s">
        <v>550</v>
      </c>
      <c r="L1081" s="151">
        <v>553330</v>
      </c>
      <c r="M1081" s="128">
        <v>0</v>
      </c>
      <c r="N1081" s="127" t="s">
        <v>568</v>
      </c>
      <c r="O1081" s="127" t="s">
        <v>457</v>
      </c>
      <c r="P1081" s="128">
        <v>-141.86000000000001</v>
      </c>
      <c r="Q1081" s="128">
        <v>0</v>
      </c>
      <c r="R1081" s="128">
        <v>0</v>
      </c>
      <c r="S1081" s="128">
        <v>0</v>
      </c>
      <c r="T1081" s="128">
        <v>-141.86000000000001</v>
      </c>
      <c r="U1081" s="128">
        <v>0</v>
      </c>
      <c r="V1081" s="128">
        <v>-141.86000000000001</v>
      </c>
      <c r="W1081" s="128">
        <v>0</v>
      </c>
      <c r="X1081" s="128">
        <v>0</v>
      </c>
      <c r="Y1081" s="128">
        <v>0</v>
      </c>
      <c r="Z1081" s="128">
        <v>-141.86000000000001</v>
      </c>
      <c r="AA1081" s="128">
        <v>0</v>
      </c>
      <c r="AB1081" s="126">
        <f t="shared" ref="AB1081:AB1144" si="120">SUM(-Z1081-AA1081)/10^7</f>
        <v>1.4186000000000001E-5</v>
      </c>
      <c r="AC1081" s="122" t="s">
        <v>1838</v>
      </c>
      <c r="AD1081" s="123">
        <f t="shared" si="116"/>
        <v>0.69390116300000004</v>
      </c>
    </row>
    <row r="1082" spans="1:30" ht="12.75" hidden="1" customHeight="1">
      <c r="A1082" s="125" t="str">
        <f t="shared" si="117"/>
        <v>LIC173Inv Educ Fund Expense - Amfi</v>
      </c>
      <c r="B1082" s="125">
        <f>+IFERROR(VLOOKUP(L1082,'TB mapping'!A:D,4,0),0)</f>
        <v>0</v>
      </c>
      <c r="C1082" s="125">
        <f>+IFERROR(VLOOKUP(L1082,'TB mapping'!A:C,3,0),0)</f>
        <v>6.3</v>
      </c>
      <c r="D1082" s="125" t="str">
        <f t="shared" si="118"/>
        <v>LIC1730</v>
      </c>
      <c r="E1082" s="125" t="str">
        <f t="shared" si="119"/>
        <v>LIC1736.3</v>
      </c>
      <c r="F1082" s="158" t="str">
        <f>+VLOOKUP(H1082,'code mapping'!A:C,3,0)</f>
        <v>LIC173</v>
      </c>
      <c r="G1082" s="127" t="s">
        <v>453</v>
      </c>
      <c r="H1082" s="127" t="s">
        <v>614</v>
      </c>
      <c r="I1082" s="127" t="s">
        <v>615</v>
      </c>
      <c r="J1082" s="128">
        <v>550000</v>
      </c>
      <c r="K1082" s="127" t="s">
        <v>550</v>
      </c>
      <c r="L1082" s="151">
        <v>554526</v>
      </c>
      <c r="M1082" s="128">
        <v>0</v>
      </c>
      <c r="N1082" s="127" t="s">
        <v>569</v>
      </c>
      <c r="O1082" s="127" t="s">
        <v>457</v>
      </c>
      <c r="P1082" s="128">
        <v>-32480.22</v>
      </c>
      <c r="Q1082" s="128">
        <v>0</v>
      </c>
      <c r="R1082" s="128">
        <v>0</v>
      </c>
      <c r="S1082" s="128">
        <v>0</v>
      </c>
      <c r="T1082" s="128">
        <v>-32480.22</v>
      </c>
      <c r="U1082" s="128">
        <v>0</v>
      </c>
      <c r="V1082" s="128">
        <v>-32480.22</v>
      </c>
      <c r="W1082" s="128">
        <v>0</v>
      </c>
      <c r="X1082" s="128">
        <v>0</v>
      </c>
      <c r="Y1082" s="128">
        <v>0</v>
      </c>
      <c r="Z1082" s="128">
        <v>-32480.22</v>
      </c>
      <c r="AA1082" s="128">
        <v>0</v>
      </c>
      <c r="AB1082" s="126">
        <f t="shared" si="120"/>
        <v>3.2480220000000001E-3</v>
      </c>
      <c r="AC1082" s="122" t="s">
        <v>1838</v>
      </c>
      <c r="AD1082" s="123">
        <f t="shared" si="116"/>
        <v>0.69390116300000004</v>
      </c>
    </row>
    <row r="1083" spans="1:30" ht="12.75" hidden="1" customHeight="1">
      <c r="A1083" s="125" t="str">
        <f t="shared" si="117"/>
        <v>LIC173Client Servicing Expenes</v>
      </c>
      <c r="B1083" s="125">
        <f>+IFERROR(VLOOKUP(L1083,'TB mapping'!A:D,4,0),0)</f>
        <v>0</v>
      </c>
      <c r="C1083" s="125">
        <f>+IFERROR(VLOOKUP(L1083,'TB mapping'!A:C,3,0),0)</f>
        <v>6.3</v>
      </c>
      <c r="D1083" s="125" t="str">
        <f t="shared" si="118"/>
        <v>LIC1730</v>
      </c>
      <c r="E1083" s="125" t="str">
        <f t="shared" si="119"/>
        <v>LIC1736.3</v>
      </c>
      <c r="F1083" s="158" t="str">
        <f>+VLOOKUP(H1083,'code mapping'!A:C,3,0)</f>
        <v>LIC173</v>
      </c>
      <c r="G1083" s="127" t="s">
        <v>453</v>
      </c>
      <c r="H1083" s="127" t="s">
        <v>614</v>
      </c>
      <c r="I1083" s="127" t="s">
        <v>615</v>
      </c>
      <c r="J1083" s="128">
        <v>550000</v>
      </c>
      <c r="K1083" s="127" t="s">
        <v>550</v>
      </c>
      <c r="L1083" s="151">
        <v>555157</v>
      </c>
      <c r="M1083" s="128">
        <v>0</v>
      </c>
      <c r="N1083" s="127" t="s">
        <v>571</v>
      </c>
      <c r="O1083" s="127" t="s">
        <v>457</v>
      </c>
      <c r="P1083" s="128">
        <v>-1919571.67</v>
      </c>
      <c r="Q1083" s="128">
        <v>0</v>
      </c>
      <c r="R1083" s="128">
        <v>0</v>
      </c>
      <c r="S1083" s="128">
        <v>0</v>
      </c>
      <c r="T1083" s="128">
        <v>-1919571.67</v>
      </c>
      <c r="U1083" s="128">
        <v>0</v>
      </c>
      <c r="V1083" s="128">
        <v>-1919571.67</v>
      </c>
      <c r="W1083" s="128">
        <v>0</v>
      </c>
      <c r="X1083" s="128">
        <v>0</v>
      </c>
      <c r="Y1083" s="128">
        <v>0</v>
      </c>
      <c r="Z1083" s="128">
        <v>-1919571.67</v>
      </c>
      <c r="AA1083" s="128">
        <v>0</v>
      </c>
      <c r="AB1083" s="126">
        <f t="shared" si="120"/>
        <v>0.19195716699999998</v>
      </c>
      <c r="AC1083" s="122" t="s">
        <v>1838</v>
      </c>
      <c r="AD1083" s="123">
        <f t="shared" si="116"/>
        <v>0.69390116300000004</v>
      </c>
    </row>
    <row r="1084" spans="1:30" ht="12.75" hidden="1" customHeight="1">
      <c r="A1084" s="125" t="str">
        <f t="shared" si="117"/>
        <v>LIC173Management Fee-Reclassfication</v>
      </c>
      <c r="B1084" s="125">
        <f>+IFERROR(VLOOKUP(L1084,'TB mapping'!A:D,4,0),0)</f>
        <v>6.1</v>
      </c>
      <c r="C1084" s="125">
        <f>+IFERROR(VLOOKUP(L1084,'TB mapping'!A:C,3,0),0)</f>
        <v>6.3</v>
      </c>
      <c r="D1084" s="125" t="str">
        <f t="shared" si="118"/>
        <v>LIC1736.1</v>
      </c>
      <c r="E1084" s="125" t="str">
        <f t="shared" si="119"/>
        <v>LIC1736.3</v>
      </c>
      <c r="F1084" s="158" t="str">
        <f>+VLOOKUP(H1084,'code mapping'!A:C,3,0)</f>
        <v>LIC173</v>
      </c>
      <c r="G1084" s="127" t="s">
        <v>453</v>
      </c>
      <c r="H1084" s="127" t="s">
        <v>614</v>
      </c>
      <c r="I1084" s="127" t="s">
        <v>615</v>
      </c>
      <c r="J1084" s="128">
        <v>550000</v>
      </c>
      <c r="K1084" s="127" t="s">
        <v>550</v>
      </c>
      <c r="L1084" s="151">
        <v>555274</v>
      </c>
      <c r="M1084" s="128">
        <v>0</v>
      </c>
      <c r="N1084" s="127" t="s">
        <v>583</v>
      </c>
      <c r="O1084" s="127" t="s">
        <v>457</v>
      </c>
      <c r="P1084" s="128">
        <v>-127118.76</v>
      </c>
      <c r="Q1084" s="128">
        <v>0</v>
      </c>
      <c r="R1084" s="128">
        <v>0</v>
      </c>
      <c r="S1084" s="128">
        <v>0</v>
      </c>
      <c r="T1084" s="128">
        <v>-127118.76</v>
      </c>
      <c r="U1084" s="128">
        <v>0</v>
      </c>
      <c r="V1084" s="128">
        <v>-127118.76</v>
      </c>
      <c r="W1084" s="128">
        <v>0</v>
      </c>
      <c r="X1084" s="128">
        <v>0</v>
      </c>
      <c r="Y1084" s="128">
        <v>0</v>
      </c>
      <c r="Z1084" s="128">
        <v>-127118.76</v>
      </c>
      <c r="AA1084" s="128">
        <v>0</v>
      </c>
      <c r="AB1084" s="126">
        <f t="shared" si="120"/>
        <v>1.2711875999999999E-2</v>
      </c>
      <c r="AC1084" s="122" t="s">
        <v>1838</v>
      </c>
      <c r="AD1084" s="123">
        <f t="shared" si="116"/>
        <v>0.69390116300000004</v>
      </c>
    </row>
    <row r="1085" spans="1:30" ht="12.75" hidden="1" customHeight="1">
      <c r="A1085" s="125" t="str">
        <f t="shared" si="117"/>
        <v>LIC173Brokerage_Indirect_Reclassify</v>
      </c>
      <c r="B1085" s="125">
        <f>+IFERROR(VLOOKUP(L1085,'TB mapping'!A:D,4,0),0)</f>
        <v>0</v>
      </c>
      <c r="C1085" s="125">
        <f>+IFERROR(VLOOKUP(L1085,'TB mapping'!A:C,3,0),0)</f>
        <v>6.3</v>
      </c>
      <c r="D1085" s="125" t="str">
        <f t="shared" si="118"/>
        <v>LIC1730</v>
      </c>
      <c r="E1085" s="125" t="str">
        <f t="shared" si="119"/>
        <v>LIC1736.3</v>
      </c>
      <c r="F1085" s="158" t="str">
        <f>+VLOOKUP(H1085,'code mapping'!A:C,3,0)</f>
        <v>LIC173</v>
      </c>
      <c r="G1085" s="127" t="s">
        <v>453</v>
      </c>
      <c r="H1085" s="127" t="s">
        <v>614</v>
      </c>
      <c r="I1085" s="127" t="s">
        <v>615</v>
      </c>
      <c r="J1085" s="128">
        <v>550000</v>
      </c>
      <c r="K1085" s="127" t="s">
        <v>550</v>
      </c>
      <c r="L1085" s="151">
        <v>555275</v>
      </c>
      <c r="M1085" s="128">
        <v>0</v>
      </c>
      <c r="N1085" s="127" t="s">
        <v>600</v>
      </c>
      <c r="O1085" s="127" t="s">
        <v>457</v>
      </c>
      <c r="P1085" s="128">
        <v>0</v>
      </c>
      <c r="Q1085" s="128">
        <v>50000</v>
      </c>
      <c r="R1085" s="128">
        <v>0</v>
      </c>
      <c r="S1085" s="128">
        <v>0</v>
      </c>
      <c r="T1085" s="128">
        <v>0</v>
      </c>
      <c r="U1085" s="128">
        <v>50000</v>
      </c>
      <c r="V1085" s="128">
        <v>0</v>
      </c>
      <c r="W1085" s="128">
        <v>50000</v>
      </c>
      <c r="X1085" s="128">
        <v>0</v>
      </c>
      <c r="Y1085" s="128">
        <v>0</v>
      </c>
      <c r="Z1085" s="128">
        <v>0</v>
      </c>
      <c r="AA1085" s="128">
        <v>50000</v>
      </c>
      <c r="AB1085" s="126">
        <f t="shared" si="120"/>
        <v>-5.0000000000000001E-3</v>
      </c>
      <c r="AC1085" s="122" t="s">
        <v>1838</v>
      </c>
      <c r="AD1085" s="123">
        <f t="shared" si="116"/>
        <v>0.69390116300000004</v>
      </c>
    </row>
    <row r="1086" spans="1:30" ht="12.75" hidden="1" customHeight="1">
      <c r="A1086" s="125" t="str">
        <f t="shared" si="117"/>
        <v>LIC173CGST on Reclassify of Exp</v>
      </c>
      <c r="B1086" s="125">
        <f>+IFERROR(VLOOKUP(L1086,'TB mapping'!A:D,4,0),0)</f>
        <v>0</v>
      </c>
      <c r="C1086" s="125">
        <f>+IFERROR(VLOOKUP(L1086,'TB mapping'!A:C,3,0),0)</f>
        <v>6.3</v>
      </c>
      <c r="D1086" s="125" t="str">
        <f t="shared" si="118"/>
        <v>LIC1730</v>
      </c>
      <c r="E1086" s="125" t="str">
        <f t="shared" si="119"/>
        <v>LIC1736.3</v>
      </c>
      <c r="F1086" s="158" t="str">
        <f>+VLOOKUP(H1086,'code mapping'!A:C,3,0)</f>
        <v>LIC173</v>
      </c>
      <c r="G1086" s="127" t="s">
        <v>453</v>
      </c>
      <c r="H1086" s="127" t="s">
        <v>614</v>
      </c>
      <c r="I1086" s="127" t="s">
        <v>615</v>
      </c>
      <c r="J1086" s="128">
        <v>550000</v>
      </c>
      <c r="K1086" s="127" t="s">
        <v>550</v>
      </c>
      <c r="L1086" s="151">
        <v>555276</v>
      </c>
      <c r="M1086" s="128">
        <v>0</v>
      </c>
      <c r="N1086" s="127" t="s">
        <v>572</v>
      </c>
      <c r="O1086" s="127" t="s">
        <v>457</v>
      </c>
      <c r="P1086" s="128">
        <v>-7627.12</v>
      </c>
      <c r="Q1086" s="128">
        <v>0</v>
      </c>
      <c r="R1086" s="128">
        <v>0</v>
      </c>
      <c r="S1086" s="128">
        <v>0</v>
      </c>
      <c r="T1086" s="128">
        <v>-7627.12</v>
      </c>
      <c r="U1086" s="128">
        <v>0</v>
      </c>
      <c r="V1086" s="128">
        <v>-7627.12</v>
      </c>
      <c r="W1086" s="128">
        <v>0</v>
      </c>
      <c r="X1086" s="128">
        <v>0</v>
      </c>
      <c r="Y1086" s="128">
        <v>0</v>
      </c>
      <c r="Z1086" s="128">
        <v>-7627.12</v>
      </c>
      <c r="AA1086" s="128">
        <v>0</v>
      </c>
      <c r="AB1086" s="126">
        <f t="shared" si="120"/>
        <v>7.6271200000000003E-4</v>
      </c>
      <c r="AC1086" s="122" t="s">
        <v>1838</v>
      </c>
      <c r="AD1086" s="123">
        <f t="shared" si="116"/>
        <v>0.69390116300000004</v>
      </c>
    </row>
    <row r="1087" spans="1:30" ht="12.75" hidden="1" customHeight="1">
      <c r="A1087" s="125" t="str">
        <f t="shared" si="117"/>
        <v>LIC173SGST on Reclassify of Exp</v>
      </c>
      <c r="B1087" s="125">
        <f>+IFERROR(VLOOKUP(L1087,'TB mapping'!A:D,4,0),0)</f>
        <v>0</v>
      </c>
      <c r="C1087" s="125">
        <f>+IFERROR(VLOOKUP(L1087,'TB mapping'!A:C,3,0),0)</f>
        <v>6.3</v>
      </c>
      <c r="D1087" s="125" t="str">
        <f t="shared" si="118"/>
        <v>LIC1730</v>
      </c>
      <c r="E1087" s="125" t="str">
        <f t="shared" si="119"/>
        <v>LIC1736.3</v>
      </c>
      <c r="F1087" s="158" t="str">
        <f>+VLOOKUP(H1087,'code mapping'!A:C,3,0)</f>
        <v>LIC173</v>
      </c>
      <c r="G1087" s="127" t="s">
        <v>453</v>
      </c>
      <c r="H1087" s="127" t="s">
        <v>614</v>
      </c>
      <c r="I1087" s="127" t="s">
        <v>615</v>
      </c>
      <c r="J1087" s="128">
        <v>550000</v>
      </c>
      <c r="K1087" s="127" t="s">
        <v>550</v>
      </c>
      <c r="L1087" s="151">
        <v>555277</v>
      </c>
      <c r="M1087" s="128">
        <v>0</v>
      </c>
      <c r="N1087" s="127" t="s">
        <v>573</v>
      </c>
      <c r="O1087" s="127" t="s">
        <v>457</v>
      </c>
      <c r="P1087" s="128">
        <v>-7627.12</v>
      </c>
      <c r="Q1087" s="128">
        <v>0</v>
      </c>
      <c r="R1087" s="128">
        <v>0</v>
      </c>
      <c r="S1087" s="128">
        <v>0</v>
      </c>
      <c r="T1087" s="128">
        <v>-7627.12</v>
      </c>
      <c r="U1087" s="128">
        <v>0</v>
      </c>
      <c r="V1087" s="128">
        <v>-7627.12</v>
      </c>
      <c r="W1087" s="128">
        <v>0</v>
      </c>
      <c r="X1087" s="128">
        <v>0</v>
      </c>
      <c r="Y1087" s="128">
        <v>0</v>
      </c>
      <c r="Z1087" s="128">
        <v>-7627.12</v>
      </c>
      <c r="AA1087" s="128">
        <v>0</v>
      </c>
      <c r="AB1087" s="126">
        <f t="shared" si="120"/>
        <v>7.6271200000000003E-4</v>
      </c>
      <c r="AC1087" s="122" t="s">
        <v>1838</v>
      </c>
      <c r="AD1087" s="123">
        <f t="shared" si="116"/>
        <v>0.69390116300000004</v>
      </c>
    </row>
    <row r="1088" spans="1:30" ht="12.75" hidden="1" customHeight="1">
      <c r="A1088" s="125" t="str">
        <f t="shared" si="117"/>
        <v>LIC173Other Expense-Reclassfication</v>
      </c>
      <c r="B1088" s="125">
        <f>+IFERROR(VLOOKUP(L1088,'TB mapping'!A:D,4,0),0)</f>
        <v>0</v>
      </c>
      <c r="C1088" s="125">
        <f>+IFERROR(VLOOKUP(L1088,'TB mapping'!A:C,3,0),0)</f>
        <v>0</v>
      </c>
      <c r="D1088" s="125" t="str">
        <f t="shared" si="118"/>
        <v>LIC1730</v>
      </c>
      <c r="E1088" s="125" t="str">
        <f t="shared" si="119"/>
        <v>LIC1730</v>
      </c>
      <c r="F1088" s="158" t="str">
        <f>+VLOOKUP(H1088,'code mapping'!A:C,3,0)</f>
        <v>LIC173</v>
      </c>
      <c r="G1088" s="127" t="s">
        <v>453</v>
      </c>
      <c r="H1088" s="127" t="s">
        <v>614</v>
      </c>
      <c r="I1088" s="127" t="s">
        <v>615</v>
      </c>
      <c r="J1088" s="128">
        <v>550000</v>
      </c>
      <c r="K1088" s="127" t="s">
        <v>550</v>
      </c>
      <c r="L1088" s="151">
        <v>555280</v>
      </c>
      <c r="M1088" s="128">
        <v>0</v>
      </c>
      <c r="N1088" s="127" t="s">
        <v>1590</v>
      </c>
      <c r="O1088" s="127" t="s">
        <v>457</v>
      </c>
      <c r="P1088" s="128">
        <v>0</v>
      </c>
      <c r="Q1088" s="128">
        <v>50000</v>
      </c>
      <c r="R1088" s="128">
        <v>0</v>
      </c>
      <c r="S1088" s="128">
        <v>0</v>
      </c>
      <c r="T1088" s="128">
        <v>0</v>
      </c>
      <c r="U1088" s="128">
        <v>50000</v>
      </c>
      <c r="V1088" s="128">
        <v>0</v>
      </c>
      <c r="W1088" s="128">
        <v>50000</v>
      </c>
      <c r="X1088" s="128">
        <v>0</v>
      </c>
      <c r="Y1088" s="128">
        <v>0</v>
      </c>
      <c r="Z1088" s="128">
        <v>0</v>
      </c>
      <c r="AA1088" s="128">
        <v>50000</v>
      </c>
      <c r="AB1088" s="126">
        <f t="shared" si="120"/>
        <v>-5.0000000000000001E-3</v>
      </c>
      <c r="AC1088" s="122" t="s">
        <v>1838</v>
      </c>
      <c r="AD1088" s="123">
        <f>SUMIF(C:C,C1088,AB:AB)</f>
        <v>1983.9723217250009</v>
      </c>
    </row>
    <row r="1089" spans="1:30" ht="12.75" hidden="1" customHeight="1">
      <c r="A1089" s="125" t="str">
        <f t="shared" si="117"/>
        <v>LIC173CGST on Mfees</v>
      </c>
      <c r="B1089" s="125">
        <f>+IFERROR(VLOOKUP(L1089,'TB mapping'!A:D,4,0),0)</f>
        <v>6.1</v>
      </c>
      <c r="C1089" s="125">
        <f>+IFERROR(VLOOKUP(L1089,'TB mapping'!A:C,3,0),0)</f>
        <v>6.3</v>
      </c>
      <c r="D1089" s="125" t="str">
        <f t="shared" si="118"/>
        <v>LIC1736.1</v>
      </c>
      <c r="E1089" s="125" t="str">
        <f t="shared" si="119"/>
        <v>LIC1736.3</v>
      </c>
      <c r="F1089" s="158" t="str">
        <f>+VLOOKUP(H1089,'code mapping'!A:C,3,0)</f>
        <v>LIC173</v>
      </c>
      <c r="G1089" s="127" t="s">
        <v>453</v>
      </c>
      <c r="H1089" s="127" t="s">
        <v>614</v>
      </c>
      <c r="I1089" s="127" t="s">
        <v>615</v>
      </c>
      <c r="J1089" s="128">
        <v>550000</v>
      </c>
      <c r="K1089" s="127" t="s">
        <v>550</v>
      </c>
      <c r="L1089" s="151">
        <v>555597</v>
      </c>
      <c r="M1089" s="128">
        <v>0</v>
      </c>
      <c r="N1089" s="127" t="s">
        <v>574</v>
      </c>
      <c r="O1089" s="127" t="s">
        <v>457</v>
      </c>
      <c r="P1089" s="128">
        <v>-247555.36</v>
      </c>
      <c r="Q1089" s="128">
        <v>0</v>
      </c>
      <c r="R1089" s="128">
        <v>0</v>
      </c>
      <c r="S1089" s="128">
        <v>0</v>
      </c>
      <c r="T1089" s="128">
        <v>-247555.36</v>
      </c>
      <c r="U1089" s="128">
        <v>0</v>
      </c>
      <c r="V1089" s="128">
        <v>-247555.36</v>
      </c>
      <c r="W1089" s="128">
        <v>0</v>
      </c>
      <c r="X1089" s="128">
        <v>0</v>
      </c>
      <c r="Y1089" s="128">
        <v>0</v>
      </c>
      <c r="Z1089" s="128">
        <v>-247555.36</v>
      </c>
      <c r="AA1089" s="128">
        <v>0</v>
      </c>
      <c r="AB1089" s="126">
        <f t="shared" si="120"/>
        <v>2.4755535999999998E-2</v>
      </c>
      <c r="AC1089" s="122" t="s">
        <v>1838</v>
      </c>
      <c r="AD1089" s="123">
        <f t="shared" ref="AD1089:AD1097" si="121">SUMIF(E:E,E1089,AB:AB)</f>
        <v>0.69390116300000004</v>
      </c>
    </row>
    <row r="1090" spans="1:30" ht="12.75" hidden="1" customHeight="1">
      <c r="A1090" s="125" t="str">
        <f t="shared" si="117"/>
        <v>LIC173SGST on Mfees</v>
      </c>
      <c r="B1090" s="125">
        <f>+IFERROR(VLOOKUP(L1090,'TB mapping'!A:D,4,0),0)</f>
        <v>6.1</v>
      </c>
      <c r="C1090" s="125">
        <f>+IFERROR(VLOOKUP(L1090,'TB mapping'!A:C,3,0),0)</f>
        <v>6.3</v>
      </c>
      <c r="D1090" s="125" t="str">
        <f t="shared" si="118"/>
        <v>LIC1736.1</v>
      </c>
      <c r="E1090" s="125" t="str">
        <f t="shared" si="119"/>
        <v>LIC1736.3</v>
      </c>
      <c r="F1090" s="158" t="str">
        <f>+VLOOKUP(H1090,'code mapping'!A:C,3,0)</f>
        <v>LIC173</v>
      </c>
      <c r="G1090" s="127" t="s">
        <v>453</v>
      </c>
      <c r="H1090" s="127" t="s">
        <v>614</v>
      </c>
      <c r="I1090" s="127" t="s">
        <v>615</v>
      </c>
      <c r="J1090" s="128">
        <v>550000</v>
      </c>
      <c r="K1090" s="127" t="s">
        <v>550</v>
      </c>
      <c r="L1090" s="151">
        <v>555598</v>
      </c>
      <c r="M1090" s="128">
        <v>0</v>
      </c>
      <c r="N1090" s="127" t="s">
        <v>575</v>
      </c>
      <c r="O1090" s="127" t="s">
        <v>457</v>
      </c>
      <c r="P1090" s="128">
        <v>-247555.33</v>
      </c>
      <c r="Q1090" s="128">
        <v>0</v>
      </c>
      <c r="R1090" s="128">
        <v>0</v>
      </c>
      <c r="S1090" s="128">
        <v>0</v>
      </c>
      <c r="T1090" s="128">
        <v>-247555.33</v>
      </c>
      <c r="U1090" s="128">
        <v>0</v>
      </c>
      <c r="V1090" s="128">
        <v>-247555.33</v>
      </c>
      <c r="W1090" s="128">
        <v>0</v>
      </c>
      <c r="X1090" s="128">
        <v>0</v>
      </c>
      <c r="Y1090" s="128">
        <v>0</v>
      </c>
      <c r="Z1090" s="128">
        <v>-247555.33</v>
      </c>
      <c r="AA1090" s="128">
        <v>0</v>
      </c>
      <c r="AB1090" s="126">
        <f t="shared" si="120"/>
        <v>2.4755533E-2</v>
      </c>
      <c r="AC1090" s="122" t="s">
        <v>1838</v>
      </c>
      <c r="AD1090" s="123">
        <f t="shared" si="121"/>
        <v>0.69390116300000004</v>
      </c>
    </row>
    <row r="1091" spans="1:30" ht="12.75" hidden="1" customHeight="1">
      <c r="A1091" s="125" t="str">
        <f t="shared" si="117"/>
        <v>LIC173CGST on Mfees -GDP</v>
      </c>
      <c r="B1091" s="125">
        <f>+IFERROR(VLOOKUP(L1091,'TB mapping'!A:D,4,0),0)</f>
        <v>6.1</v>
      </c>
      <c r="C1091" s="125">
        <f>+IFERROR(VLOOKUP(L1091,'TB mapping'!A:C,3,0),0)</f>
        <v>6.3</v>
      </c>
      <c r="D1091" s="125" t="str">
        <f t="shared" si="118"/>
        <v>LIC1736.1</v>
      </c>
      <c r="E1091" s="125" t="str">
        <f t="shared" si="119"/>
        <v>LIC1736.3</v>
      </c>
      <c r="F1091" s="158" t="str">
        <f>+VLOOKUP(H1091,'code mapping'!A:C,3,0)</f>
        <v>LIC173</v>
      </c>
      <c r="G1091" s="127" t="s">
        <v>453</v>
      </c>
      <c r="H1091" s="127" t="s">
        <v>614</v>
      </c>
      <c r="I1091" s="127" t="s">
        <v>615</v>
      </c>
      <c r="J1091" s="128">
        <v>550000</v>
      </c>
      <c r="K1091" s="127" t="s">
        <v>550</v>
      </c>
      <c r="L1091" s="151">
        <v>555599</v>
      </c>
      <c r="M1091" s="128">
        <v>0</v>
      </c>
      <c r="N1091" s="127" t="s">
        <v>576</v>
      </c>
      <c r="O1091" s="127" t="s">
        <v>457</v>
      </c>
      <c r="P1091" s="128">
        <v>0</v>
      </c>
      <c r="Q1091" s="128">
        <v>0.03</v>
      </c>
      <c r="R1091" s="128">
        <v>0</v>
      </c>
      <c r="S1091" s="128">
        <v>0</v>
      </c>
      <c r="T1091" s="128">
        <v>0</v>
      </c>
      <c r="U1091" s="128">
        <v>0.03</v>
      </c>
      <c r="V1091" s="128">
        <v>0</v>
      </c>
      <c r="W1091" s="128">
        <v>0.03</v>
      </c>
      <c r="X1091" s="128">
        <v>0</v>
      </c>
      <c r="Y1091" s="128">
        <v>0</v>
      </c>
      <c r="Z1091" s="128">
        <v>0</v>
      </c>
      <c r="AA1091" s="128">
        <v>0.03</v>
      </c>
      <c r="AB1091" s="126">
        <f t="shared" si="120"/>
        <v>-3E-9</v>
      </c>
      <c r="AC1091" s="122" t="s">
        <v>1838</v>
      </c>
      <c r="AD1091" s="123">
        <f t="shared" si="121"/>
        <v>0.69390116300000004</v>
      </c>
    </row>
    <row r="1092" spans="1:30" ht="12.75" hidden="1" customHeight="1">
      <c r="A1092" s="125" t="str">
        <f t="shared" si="117"/>
        <v>LIC173Operating Expenses</v>
      </c>
      <c r="B1092" s="125">
        <f>+IFERROR(VLOOKUP(L1092,'TB mapping'!A:D,4,0),0)</f>
        <v>0</v>
      </c>
      <c r="C1092" s="125">
        <f>+IFERROR(VLOOKUP(L1092,'TB mapping'!A:C,3,0),0)</f>
        <v>6.3</v>
      </c>
      <c r="D1092" s="125" t="str">
        <f t="shared" si="118"/>
        <v>LIC1730</v>
      </c>
      <c r="E1092" s="125" t="str">
        <f t="shared" si="119"/>
        <v>LIC1736.3</v>
      </c>
      <c r="F1092" s="158" t="str">
        <f>+VLOOKUP(H1092,'code mapping'!A:C,3,0)</f>
        <v>LIC173</v>
      </c>
      <c r="G1092" s="127" t="s">
        <v>453</v>
      </c>
      <c r="H1092" s="127" t="s">
        <v>614</v>
      </c>
      <c r="I1092" s="127" t="s">
        <v>615</v>
      </c>
      <c r="J1092" s="128">
        <v>550000</v>
      </c>
      <c r="K1092" s="127" t="s">
        <v>550</v>
      </c>
      <c r="L1092" s="151">
        <v>556421</v>
      </c>
      <c r="M1092" s="128">
        <v>0</v>
      </c>
      <c r="N1092" s="127" t="s">
        <v>578</v>
      </c>
      <c r="O1092" s="127" t="s">
        <v>457</v>
      </c>
      <c r="P1092" s="128">
        <v>-717</v>
      </c>
      <c r="Q1092" s="128">
        <v>0</v>
      </c>
      <c r="R1092" s="128">
        <v>0</v>
      </c>
      <c r="S1092" s="128">
        <v>0</v>
      </c>
      <c r="T1092" s="128">
        <v>-717</v>
      </c>
      <c r="U1092" s="128">
        <v>0</v>
      </c>
      <c r="V1092" s="128">
        <v>-717</v>
      </c>
      <c r="W1092" s="128">
        <v>0</v>
      </c>
      <c r="X1092" s="128">
        <v>0</v>
      </c>
      <c r="Y1092" s="128">
        <v>0</v>
      </c>
      <c r="Z1092" s="128">
        <v>-717</v>
      </c>
      <c r="AA1092" s="128">
        <v>0</v>
      </c>
      <c r="AB1092" s="126">
        <f t="shared" si="120"/>
        <v>7.1699999999999995E-5</v>
      </c>
      <c r="AC1092" s="122" t="s">
        <v>1838</v>
      </c>
      <c r="AD1092" s="123">
        <f t="shared" si="121"/>
        <v>0.69390116300000004</v>
      </c>
    </row>
    <row r="1093" spans="1:30" ht="12.75" hidden="1" customHeight="1">
      <c r="A1093" s="125" t="str">
        <f t="shared" si="117"/>
        <v>LIC173Management Fee</v>
      </c>
      <c r="B1093" s="125">
        <f>+IFERROR(VLOOKUP(L1093,'TB mapping'!A:D,4,0),0)</f>
        <v>6.1</v>
      </c>
      <c r="C1093" s="125">
        <f>+IFERROR(VLOOKUP(L1093,'TB mapping'!A:C,3,0),0)</f>
        <v>6.3</v>
      </c>
      <c r="D1093" s="125" t="str">
        <f t="shared" si="118"/>
        <v>LIC1736.1</v>
      </c>
      <c r="E1093" s="125" t="str">
        <f t="shared" si="119"/>
        <v>LIC1736.3</v>
      </c>
      <c r="F1093" s="158" t="str">
        <f>+VLOOKUP(H1093,'code mapping'!A:C,3,0)</f>
        <v>LIC173</v>
      </c>
      <c r="G1093" s="127" t="s">
        <v>453</v>
      </c>
      <c r="H1093" s="127" t="s">
        <v>614</v>
      </c>
      <c r="I1093" s="127" t="s">
        <v>615</v>
      </c>
      <c r="J1093" s="128">
        <v>555100</v>
      </c>
      <c r="K1093" s="127" t="s">
        <v>579</v>
      </c>
      <c r="L1093" s="151">
        <v>555100</v>
      </c>
      <c r="M1093" s="128">
        <v>0</v>
      </c>
      <c r="N1093" s="127" t="s">
        <v>580</v>
      </c>
      <c r="O1093" s="127" t="s">
        <v>457</v>
      </c>
      <c r="P1093" s="128">
        <v>-1364486.55</v>
      </c>
      <c r="Q1093" s="128">
        <v>0</v>
      </c>
      <c r="R1093" s="128">
        <v>0</v>
      </c>
      <c r="S1093" s="128">
        <v>0</v>
      </c>
      <c r="T1093" s="128">
        <v>-1364486.55</v>
      </c>
      <c r="U1093" s="128">
        <v>0</v>
      </c>
      <c r="V1093" s="128">
        <v>-1364486.55</v>
      </c>
      <c r="W1093" s="128">
        <v>0</v>
      </c>
      <c r="X1093" s="128">
        <v>0</v>
      </c>
      <c r="Y1093" s="128">
        <v>0</v>
      </c>
      <c r="Z1093" s="128">
        <v>-1364486.55</v>
      </c>
      <c r="AA1093" s="128">
        <v>0</v>
      </c>
      <c r="AB1093" s="126">
        <f t="shared" si="120"/>
        <v>0.136448655</v>
      </c>
      <c r="AC1093" s="122" t="s">
        <v>1838</v>
      </c>
      <c r="AD1093" s="123">
        <f t="shared" si="121"/>
        <v>0.69390116300000004</v>
      </c>
    </row>
    <row r="1094" spans="1:30" ht="12.75" hidden="1" customHeight="1">
      <c r="A1094" s="125" t="str">
        <f t="shared" si="117"/>
        <v>LIC173Management Fees-RG</v>
      </c>
      <c r="B1094" s="125">
        <f>+IFERROR(VLOOKUP(L1094,'TB mapping'!A:D,4,0),0)</f>
        <v>6.1</v>
      </c>
      <c r="C1094" s="125">
        <f>+IFERROR(VLOOKUP(L1094,'TB mapping'!A:C,3,0),0)</f>
        <v>6.3</v>
      </c>
      <c r="D1094" s="125" t="str">
        <f t="shared" si="118"/>
        <v>LIC1736.1</v>
      </c>
      <c r="E1094" s="125" t="str">
        <f t="shared" si="119"/>
        <v>LIC1736.3</v>
      </c>
      <c r="F1094" s="158" t="str">
        <f>+VLOOKUP(H1094,'code mapping'!A:C,3,0)</f>
        <v>LIC173</v>
      </c>
      <c r="G1094" s="127" t="s">
        <v>453</v>
      </c>
      <c r="H1094" s="127" t="s">
        <v>614</v>
      </c>
      <c r="I1094" s="127" t="s">
        <v>615</v>
      </c>
      <c r="J1094" s="128">
        <v>555100</v>
      </c>
      <c r="K1094" s="127" t="s">
        <v>579</v>
      </c>
      <c r="L1094" s="151">
        <v>555191</v>
      </c>
      <c r="M1094" s="128">
        <v>0</v>
      </c>
      <c r="N1094" s="127" t="s">
        <v>581</v>
      </c>
      <c r="O1094" s="127" t="s">
        <v>457</v>
      </c>
      <c r="P1094" s="128">
        <v>-1444107.18</v>
      </c>
      <c r="Q1094" s="128">
        <v>0</v>
      </c>
      <c r="R1094" s="128">
        <v>0</v>
      </c>
      <c r="S1094" s="128">
        <v>0</v>
      </c>
      <c r="T1094" s="128">
        <v>-1444107.18</v>
      </c>
      <c r="U1094" s="128">
        <v>0</v>
      </c>
      <c r="V1094" s="128">
        <v>-1444107.18</v>
      </c>
      <c r="W1094" s="128">
        <v>0</v>
      </c>
      <c r="X1094" s="128">
        <v>0</v>
      </c>
      <c r="Y1094" s="128">
        <v>0</v>
      </c>
      <c r="Z1094" s="128">
        <v>-1444107.18</v>
      </c>
      <c r="AA1094" s="128">
        <v>0</v>
      </c>
      <c r="AB1094" s="126">
        <f t="shared" si="120"/>
        <v>0.14441071799999999</v>
      </c>
      <c r="AC1094" s="122" t="s">
        <v>1838</v>
      </c>
      <c r="AD1094" s="123">
        <f t="shared" si="121"/>
        <v>0.69390116300000004</v>
      </c>
    </row>
    <row r="1095" spans="1:30" ht="12.75" hidden="1" customHeight="1">
      <c r="A1095" s="125" t="str">
        <f t="shared" si="117"/>
        <v>LIC173Management Fees-RD</v>
      </c>
      <c r="B1095" s="125">
        <f>+IFERROR(VLOOKUP(L1095,'TB mapping'!A:D,4,0),0)</f>
        <v>6.1</v>
      </c>
      <c r="C1095" s="125">
        <f>+IFERROR(VLOOKUP(L1095,'TB mapping'!A:C,3,0),0)</f>
        <v>6.3</v>
      </c>
      <c r="D1095" s="125" t="str">
        <f t="shared" si="118"/>
        <v>LIC1736.1</v>
      </c>
      <c r="E1095" s="125" t="str">
        <f t="shared" si="119"/>
        <v>LIC1736.3</v>
      </c>
      <c r="F1095" s="158" t="str">
        <f>+VLOOKUP(H1095,'code mapping'!A:C,3,0)</f>
        <v>LIC173</v>
      </c>
      <c r="G1095" s="127" t="s">
        <v>453</v>
      </c>
      <c r="H1095" s="127" t="s">
        <v>614</v>
      </c>
      <c r="I1095" s="127" t="s">
        <v>615</v>
      </c>
      <c r="J1095" s="128">
        <v>555100</v>
      </c>
      <c r="K1095" s="127" t="s">
        <v>579</v>
      </c>
      <c r="L1095" s="151">
        <v>555192</v>
      </c>
      <c r="M1095" s="128">
        <v>0</v>
      </c>
      <c r="N1095" s="127" t="s">
        <v>582</v>
      </c>
      <c r="O1095" s="127" t="s">
        <v>457</v>
      </c>
      <c r="P1095" s="128">
        <v>-81199.7</v>
      </c>
      <c r="Q1095" s="128">
        <v>0</v>
      </c>
      <c r="R1095" s="128">
        <v>0</v>
      </c>
      <c r="S1095" s="128">
        <v>0</v>
      </c>
      <c r="T1095" s="128">
        <v>-81199.7</v>
      </c>
      <c r="U1095" s="128">
        <v>0</v>
      </c>
      <c r="V1095" s="128">
        <v>-81199.7</v>
      </c>
      <c r="W1095" s="128">
        <v>0</v>
      </c>
      <c r="X1095" s="128">
        <v>0</v>
      </c>
      <c r="Y1095" s="128">
        <v>0</v>
      </c>
      <c r="Z1095" s="128">
        <v>-81199.7</v>
      </c>
      <c r="AA1095" s="128">
        <v>0</v>
      </c>
      <c r="AB1095" s="126">
        <f t="shared" si="120"/>
        <v>8.1199699999999989E-3</v>
      </c>
      <c r="AC1095" s="122" t="s">
        <v>1838</v>
      </c>
      <c r="AD1095" s="123">
        <f t="shared" si="121"/>
        <v>0.69390116300000004</v>
      </c>
    </row>
    <row r="1096" spans="1:30" ht="12.75" hidden="1" customHeight="1">
      <c r="A1096" s="125" t="str">
        <f t="shared" si="117"/>
        <v>LIC173Management Fees-GDP</v>
      </c>
      <c r="B1096" s="125">
        <f>+IFERROR(VLOOKUP(L1096,'TB mapping'!A:D,4,0),0)</f>
        <v>6.1</v>
      </c>
      <c r="C1096" s="125">
        <f>+IFERROR(VLOOKUP(L1096,'TB mapping'!A:C,3,0),0)</f>
        <v>6.3</v>
      </c>
      <c r="D1096" s="125" t="str">
        <f t="shared" si="118"/>
        <v>LIC1736.1</v>
      </c>
      <c r="E1096" s="125" t="str">
        <f t="shared" si="119"/>
        <v>LIC1736.3</v>
      </c>
      <c r="F1096" s="158" t="str">
        <f>+VLOOKUP(H1096,'code mapping'!A:C,3,0)</f>
        <v>LIC173</v>
      </c>
      <c r="G1096" s="127" t="s">
        <v>453</v>
      </c>
      <c r="H1096" s="127" t="s">
        <v>614</v>
      </c>
      <c r="I1096" s="127" t="s">
        <v>615</v>
      </c>
      <c r="J1096" s="128">
        <v>555100</v>
      </c>
      <c r="K1096" s="127" t="s">
        <v>579</v>
      </c>
      <c r="L1096" s="151">
        <v>555329</v>
      </c>
      <c r="M1096" s="128">
        <v>0</v>
      </c>
      <c r="N1096" s="127" t="s">
        <v>584</v>
      </c>
      <c r="O1096" s="127" t="s">
        <v>457</v>
      </c>
      <c r="P1096" s="128">
        <v>-681622.96</v>
      </c>
      <c r="Q1096" s="128">
        <v>0</v>
      </c>
      <c r="R1096" s="128">
        <v>0</v>
      </c>
      <c r="S1096" s="128">
        <v>0</v>
      </c>
      <c r="T1096" s="128">
        <v>-681622.96</v>
      </c>
      <c r="U1096" s="128">
        <v>0</v>
      </c>
      <c r="V1096" s="128">
        <v>-681622.96</v>
      </c>
      <c r="W1096" s="128">
        <v>0</v>
      </c>
      <c r="X1096" s="128">
        <v>0</v>
      </c>
      <c r="Y1096" s="128">
        <v>0</v>
      </c>
      <c r="Z1096" s="128">
        <v>-681622.96</v>
      </c>
      <c r="AA1096" s="128">
        <v>0</v>
      </c>
      <c r="AB1096" s="126">
        <f t="shared" si="120"/>
        <v>6.8162295999999997E-2</v>
      </c>
      <c r="AC1096" s="122" t="s">
        <v>1838</v>
      </c>
      <c r="AD1096" s="123">
        <f t="shared" si="121"/>
        <v>0.69390116300000004</v>
      </c>
    </row>
    <row r="1097" spans="1:30" ht="12.75" hidden="1" customHeight="1">
      <c r="A1097" s="125" t="str">
        <f t="shared" si="117"/>
        <v>LIC173Management Fees-DDP</v>
      </c>
      <c r="B1097" s="125">
        <f>+IFERROR(VLOOKUP(L1097,'TB mapping'!A:D,4,0),0)</f>
        <v>6.1</v>
      </c>
      <c r="C1097" s="125">
        <f>+IFERROR(VLOOKUP(L1097,'TB mapping'!A:C,3,0),0)</f>
        <v>6.3</v>
      </c>
      <c r="D1097" s="125" t="str">
        <f t="shared" si="118"/>
        <v>LIC1736.1</v>
      </c>
      <c r="E1097" s="125" t="str">
        <f t="shared" si="119"/>
        <v>LIC1736.3</v>
      </c>
      <c r="F1097" s="158" t="str">
        <f>+VLOOKUP(H1097,'code mapping'!A:C,3,0)</f>
        <v>LIC173</v>
      </c>
      <c r="G1097" s="127" t="s">
        <v>453</v>
      </c>
      <c r="H1097" s="127" t="s">
        <v>614</v>
      </c>
      <c r="I1097" s="127" t="s">
        <v>615</v>
      </c>
      <c r="J1097" s="128">
        <v>555100</v>
      </c>
      <c r="K1097" s="127" t="s">
        <v>579</v>
      </c>
      <c r="L1097" s="151">
        <v>555330</v>
      </c>
      <c r="M1097" s="128">
        <v>0</v>
      </c>
      <c r="N1097" s="127" t="s">
        <v>585</v>
      </c>
      <c r="O1097" s="127" t="s">
        <v>457</v>
      </c>
      <c r="P1097" s="128">
        <v>-1301.4000000000001</v>
      </c>
      <c r="Q1097" s="128">
        <v>0</v>
      </c>
      <c r="R1097" s="128">
        <v>0</v>
      </c>
      <c r="S1097" s="128">
        <v>0</v>
      </c>
      <c r="T1097" s="128">
        <v>-1301.4000000000001</v>
      </c>
      <c r="U1097" s="128">
        <v>0</v>
      </c>
      <c r="V1097" s="128">
        <v>-1301.4000000000001</v>
      </c>
      <c r="W1097" s="128">
        <v>0</v>
      </c>
      <c r="X1097" s="128">
        <v>0</v>
      </c>
      <c r="Y1097" s="128">
        <v>0</v>
      </c>
      <c r="Z1097" s="128">
        <v>-1301.4000000000001</v>
      </c>
      <c r="AA1097" s="128">
        <v>0</v>
      </c>
      <c r="AB1097" s="126">
        <f t="shared" si="120"/>
        <v>1.3014E-4</v>
      </c>
      <c r="AC1097" s="122" t="s">
        <v>1838</v>
      </c>
      <c r="AD1097" s="123">
        <f t="shared" si="121"/>
        <v>0.69390116300000004</v>
      </c>
    </row>
    <row r="1098" spans="1:30" ht="12.75" hidden="1" customHeight="1">
      <c r="A1098" s="125" t="str">
        <f t="shared" si="117"/>
        <v>LIC174Investment - Equities</v>
      </c>
      <c r="B1098" s="125">
        <f>+IFERROR(VLOOKUP(L1098,'TB mapping'!A:D,4,0),0)</f>
        <v>0</v>
      </c>
      <c r="C1098" s="125">
        <f>+IFERROR(VLOOKUP(L1098,'TB mapping'!A:C,3,0),0)</f>
        <v>0</v>
      </c>
      <c r="D1098" s="125" t="str">
        <f t="shared" si="118"/>
        <v>LIC1740</v>
      </c>
      <c r="E1098" s="125" t="str">
        <f t="shared" si="119"/>
        <v>LIC1740</v>
      </c>
      <c r="F1098" s="158" t="str">
        <f>+VLOOKUP(H1098,'code mapping'!A:C,3,0)</f>
        <v>LIC174</v>
      </c>
      <c r="G1098" s="127" t="s">
        <v>453</v>
      </c>
      <c r="H1098" s="127" t="s">
        <v>616</v>
      </c>
      <c r="I1098" s="127" t="s">
        <v>617</v>
      </c>
      <c r="J1098" s="128">
        <v>101000</v>
      </c>
      <c r="K1098" s="127" t="s">
        <v>591</v>
      </c>
      <c r="L1098" s="151">
        <v>101100</v>
      </c>
      <c r="M1098" s="128">
        <v>0</v>
      </c>
      <c r="N1098" s="127" t="s">
        <v>592</v>
      </c>
      <c r="O1098" s="127" t="s">
        <v>457</v>
      </c>
      <c r="P1098" s="128">
        <v>-70143745.790000007</v>
      </c>
      <c r="Q1098" s="128">
        <v>0</v>
      </c>
      <c r="R1098" s="128">
        <v>0</v>
      </c>
      <c r="S1098" s="128">
        <v>0</v>
      </c>
      <c r="T1098" s="128">
        <v>-70143745.790000007</v>
      </c>
      <c r="U1098" s="128">
        <v>0</v>
      </c>
      <c r="V1098" s="128">
        <v>-70143745.790000007</v>
      </c>
      <c r="W1098" s="128">
        <v>0</v>
      </c>
      <c r="X1098" s="128">
        <v>0</v>
      </c>
      <c r="Y1098" s="128">
        <v>0</v>
      </c>
      <c r="Z1098" s="128">
        <v>-70143745.790000007</v>
      </c>
      <c r="AA1098" s="128">
        <v>0</v>
      </c>
      <c r="AB1098" s="126">
        <f t="shared" si="120"/>
        <v>7.0143745790000009</v>
      </c>
      <c r="AC1098" s="122" t="s">
        <v>1838</v>
      </c>
      <c r="AD1098" s="123">
        <f t="shared" ref="AD1098:AD1129" si="122">SUMIF(C:C,C1098,AB:AB)</f>
        <v>1983.9723217250009</v>
      </c>
    </row>
    <row r="1099" spans="1:30" ht="12.75" hidden="1" customHeight="1">
      <c r="A1099" s="125" t="str">
        <f t="shared" si="117"/>
        <v>LIC174Investment - Corp Bond/Debent.</v>
      </c>
      <c r="B1099" s="125">
        <f>+IFERROR(VLOOKUP(L1099,'TB mapping'!A:D,4,0),0)</f>
        <v>0</v>
      </c>
      <c r="C1099" s="125">
        <f>+IFERROR(VLOOKUP(L1099,'TB mapping'!A:C,3,0),0)</f>
        <v>0</v>
      </c>
      <c r="D1099" s="125" t="str">
        <f t="shared" si="118"/>
        <v>LIC1740</v>
      </c>
      <c r="E1099" s="125" t="str">
        <f t="shared" si="119"/>
        <v>LIC1740</v>
      </c>
      <c r="F1099" s="158" t="str">
        <f>+VLOOKUP(H1099,'code mapping'!A:C,3,0)</f>
        <v>LIC174</v>
      </c>
      <c r="G1099" s="127" t="s">
        <v>453</v>
      </c>
      <c r="H1099" s="127" t="s">
        <v>616</v>
      </c>
      <c r="I1099" s="127" t="s">
        <v>617</v>
      </c>
      <c r="J1099" s="128">
        <v>102000</v>
      </c>
      <c r="K1099" s="127" t="s">
        <v>455</v>
      </c>
      <c r="L1099" s="151">
        <v>102120</v>
      </c>
      <c r="M1099" s="128">
        <v>0</v>
      </c>
      <c r="N1099" s="127" t="s">
        <v>456</v>
      </c>
      <c r="O1099" s="127" t="s">
        <v>457</v>
      </c>
      <c r="P1099" s="128">
        <v>-97710860</v>
      </c>
      <c r="Q1099" s="128">
        <v>0</v>
      </c>
      <c r="R1099" s="128">
        <v>0</v>
      </c>
      <c r="S1099" s="128">
        <v>0</v>
      </c>
      <c r="T1099" s="128">
        <v>-97710860</v>
      </c>
      <c r="U1099" s="128">
        <v>0</v>
      </c>
      <c r="V1099" s="128">
        <v>-97710860</v>
      </c>
      <c r="W1099" s="128">
        <v>0</v>
      </c>
      <c r="X1099" s="128">
        <v>0</v>
      </c>
      <c r="Y1099" s="128">
        <v>0</v>
      </c>
      <c r="Z1099" s="128">
        <v>-97710860</v>
      </c>
      <c r="AA1099" s="128">
        <v>0</v>
      </c>
      <c r="AB1099" s="126">
        <f t="shared" si="120"/>
        <v>9.7710860000000004</v>
      </c>
      <c r="AC1099" s="122" t="s">
        <v>1838</v>
      </c>
      <c r="AD1099" s="123">
        <f t="shared" si="122"/>
        <v>1983.9723217250009</v>
      </c>
    </row>
    <row r="1100" spans="1:30" ht="12.75" hidden="1" customHeight="1">
      <c r="A1100" s="125" t="str">
        <f t="shared" si="117"/>
        <v>LIC174Investment - Zero Coupon Bond</v>
      </c>
      <c r="B1100" s="125">
        <f>+IFERROR(VLOOKUP(L1100,'TB mapping'!A:D,4,0),0)</f>
        <v>0</v>
      </c>
      <c r="C1100" s="125">
        <f>+IFERROR(VLOOKUP(L1100,'TB mapping'!A:C,3,0),0)</f>
        <v>0</v>
      </c>
      <c r="D1100" s="125" t="str">
        <f t="shared" si="118"/>
        <v>LIC1740</v>
      </c>
      <c r="E1100" s="125" t="str">
        <f t="shared" si="119"/>
        <v>LIC1740</v>
      </c>
      <c r="F1100" s="158" t="str">
        <f>+VLOOKUP(H1100,'code mapping'!A:C,3,0)</f>
        <v>LIC174</v>
      </c>
      <c r="G1100" s="127" t="s">
        <v>453</v>
      </c>
      <c r="H1100" s="127" t="s">
        <v>616</v>
      </c>
      <c r="I1100" s="127" t="s">
        <v>617</v>
      </c>
      <c r="J1100" s="128">
        <v>102000</v>
      </c>
      <c r="K1100" s="127" t="s">
        <v>455</v>
      </c>
      <c r="L1100" s="151">
        <v>102145</v>
      </c>
      <c r="M1100" s="128">
        <v>0</v>
      </c>
      <c r="N1100" s="127" t="s">
        <v>609</v>
      </c>
      <c r="O1100" s="127" t="s">
        <v>457</v>
      </c>
      <c r="P1100" s="128">
        <v>-19008549</v>
      </c>
      <c r="Q1100" s="128">
        <v>0</v>
      </c>
      <c r="R1100" s="128">
        <v>0</v>
      </c>
      <c r="S1100" s="128">
        <v>0</v>
      </c>
      <c r="T1100" s="128">
        <v>-19008549</v>
      </c>
      <c r="U1100" s="128">
        <v>0</v>
      </c>
      <c r="V1100" s="128">
        <v>-19008549</v>
      </c>
      <c r="W1100" s="128">
        <v>0</v>
      </c>
      <c r="X1100" s="128">
        <v>0</v>
      </c>
      <c r="Y1100" s="128">
        <v>0</v>
      </c>
      <c r="Z1100" s="128">
        <v>-19008549</v>
      </c>
      <c r="AA1100" s="128">
        <v>0</v>
      </c>
      <c r="AB1100" s="126">
        <f t="shared" si="120"/>
        <v>1.9008548999999999</v>
      </c>
      <c r="AC1100" s="122" t="s">
        <v>1838</v>
      </c>
      <c r="AD1100" s="123">
        <f t="shared" si="122"/>
        <v>1983.9723217250009</v>
      </c>
    </row>
    <row r="1101" spans="1:30" ht="12.75" hidden="1" customHeight="1">
      <c r="A1101" s="125" t="str">
        <f t="shared" si="117"/>
        <v>LIC174Investment Mutual Fund</v>
      </c>
      <c r="B1101" s="125">
        <f>+IFERROR(VLOOKUP(L1101,'TB mapping'!A:D,4,0),0)</f>
        <v>0</v>
      </c>
      <c r="C1101" s="125">
        <f>+IFERROR(VLOOKUP(L1101,'TB mapping'!A:C,3,0),0)</f>
        <v>0</v>
      </c>
      <c r="D1101" s="125" t="str">
        <f t="shared" si="118"/>
        <v>LIC1740</v>
      </c>
      <c r="E1101" s="125" t="str">
        <f t="shared" si="119"/>
        <v>LIC1740</v>
      </c>
      <c r="F1101" s="158" t="str">
        <f>+VLOOKUP(H1101,'code mapping'!A:C,3,0)</f>
        <v>LIC174</v>
      </c>
      <c r="G1101" s="127" t="s">
        <v>453</v>
      </c>
      <c r="H1101" s="127" t="s">
        <v>616</v>
      </c>
      <c r="I1101" s="127" t="s">
        <v>617</v>
      </c>
      <c r="J1101" s="128">
        <v>105000</v>
      </c>
      <c r="K1101" s="127" t="s">
        <v>460</v>
      </c>
      <c r="L1101" s="151">
        <v>105100</v>
      </c>
      <c r="M1101" s="128">
        <v>0</v>
      </c>
      <c r="N1101" s="127" t="s">
        <v>461</v>
      </c>
      <c r="O1101" s="127" t="s">
        <v>457</v>
      </c>
      <c r="P1101" s="128">
        <v>-0.01</v>
      </c>
      <c r="Q1101" s="128">
        <v>0</v>
      </c>
      <c r="R1101" s="128">
        <v>0</v>
      </c>
      <c r="S1101" s="128">
        <v>0</v>
      </c>
      <c r="T1101" s="128">
        <v>-0.01</v>
      </c>
      <c r="U1101" s="128">
        <v>0</v>
      </c>
      <c r="V1101" s="128">
        <v>-0.01</v>
      </c>
      <c r="W1101" s="128">
        <v>0</v>
      </c>
      <c r="X1101" s="128">
        <v>0</v>
      </c>
      <c r="Y1101" s="128">
        <v>0</v>
      </c>
      <c r="Z1101" s="128">
        <v>-0.01</v>
      </c>
      <c r="AA1101" s="128">
        <v>0</v>
      </c>
      <c r="AB1101" s="126">
        <f t="shared" si="120"/>
        <v>1.0000000000000001E-9</v>
      </c>
      <c r="AC1101" s="122" t="s">
        <v>1838</v>
      </c>
      <c r="AD1101" s="123">
        <f t="shared" si="122"/>
        <v>1983.9723217250009</v>
      </c>
    </row>
    <row r="1102" spans="1:30" ht="12.75" hidden="1" customHeight="1">
      <c r="A1102" s="125" t="str">
        <f t="shared" si="117"/>
        <v>LIC174Investment - CBLO</v>
      </c>
      <c r="B1102" s="125">
        <f>+IFERROR(VLOOKUP(L1102,'TB mapping'!A:D,4,0),0)</f>
        <v>0</v>
      </c>
      <c r="C1102" s="125">
        <f>+IFERROR(VLOOKUP(L1102,'TB mapping'!A:C,3,0),0)</f>
        <v>0</v>
      </c>
      <c r="D1102" s="125" t="str">
        <f t="shared" si="118"/>
        <v>LIC1740</v>
      </c>
      <c r="E1102" s="125" t="str">
        <f t="shared" si="119"/>
        <v>LIC1740</v>
      </c>
      <c r="F1102" s="158" t="str">
        <f>+VLOOKUP(H1102,'code mapping'!A:C,3,0)</f>
        <v>LIC174</v>
      </c>
      <c r="G1102" s="127" t="s">
        <v>453</v>
      </c>
      <c r="H1102" s="127" t="s">
        <v>616</v>
      </c>
      <c r="I1102" s="127" t="s">
        <v>617</v>
      </c>
      <c r="J1102" s="128">
        <v>110000</v>
      </c>
      <c r="K1102" s="127" t="s">
        <v>462</v>
      </c>
      <c r="L1102" s="151">
        <v>110100</v>
      </c>
      <c r="M1102" s="128">
        <v>0</v>
      </c>
      <c r="N1102" s="127" t="s">
        <v>463</v>
      </c>
      <c r="O1102" s="127" t="s">
        <v>457</v>
      </c>
      <c r="P1102" s="128">
        <v>-41349495.43</v>
      </c>
      <c r="Q1102" s="128">
        <v>0</v>
      </c>
      <c r="R1102" s="128">
        <v>0</v>
      </c>
      <c r="S1102" s="128">
        <v>0</v>
      </c>
      <c r="T1102" s="128">
        <v>-41349495.43</v>
      </c>
      <c r="U1102" s="128">
        <v>0</v>
      </c>
      <c r="V1102" s="128">
        <v>-41349495.43</v>
      </c>
      <c r="W1102" s="128">
        <v>0</v>
      </c>
      <c r="X1102" s="128">
        <v>0</v>
      </c>
      <c r="Y1102" s="128">
        <v>0</v>
      </c>
      <c r="Z1102" s="128">
        <v>-41349495.43</v>
      </c>
      <c r="AA1102" s="128">
        <v>0</v>
      </c>
      <c r="AB1102" s="126">
        <f t="shared" si="120"/>
        <v>4.1349495430000003</v>
      </c>
      <c r="AC1102" s="122" t="s">
        <v>1838</v>
      </c>
      <c r="AD1102" s="123">
        <f t="shared" si="122"/>
        <v>1983.9723217250009</v>
      </c>
    </row>
    <row r="1103" spans="1:30" ht="12.75" hidden="1" customHeight="1">
      <c r="A1103" s="125" t="str">
        <f t="shared" si="117"/>
        <v>LIC174Dividend Receivable</v>
      </c>
      <c r="B1103" s="125">
        <f>+IFERROR(VLOOKUP(L1103,'TB mapping'!A:D,4,0),0)</f>
        <v>0</v>
      </c>
      <c r="C1103" s="125">
        <f>+IFERROR(VLOOKUP(L1103,'TB mapping'!A:C,3,0),0)</f>
        <v>0</v>
      </c>
      <c r="D1103" s="125" t="str">
        <f t="shared" si="118"/>
        <v>LIC1740</v>
      </c>
      <c r="E1103" s="125" t="str">
        <f t="shared" si="119"/>
        <v>LIC1740</v>
      </c>
      <c r="F1103" s="158" t="str">
        <f>+VLOOKUP(H1103,'code mapping'!A:C,3,0)</f>
        <v>LIC174</v>
      </c>
      <c r="G1103" s="127" t="s">
        <v>453</v>
      </c>
      <c r="H1103" s="127" t="s">
        <v>616</v>
      </c>
      <c r="I1103" s="127" t="s">
        <v>617</v>
      </c>
      <c r="J1103" s="128">
        <v>132000</v>
      </c>
      <c r="K1103" s="127" t="s">
        <v>466</v>
      </c>
      <c r="L1103" s="151">
        <v>132100</v>
      </c>
      <c r="M1103" s="128">
        <v>0</v>
      </c>
      <c r="N1103" s="127" t="s">
        <v>593</v>
      </c>
      <c r="O1103" s="127" t="s">
        <v>457</v>
      </c>
      <c r="P1103" s="128">
        <v>-35071.5</v>
      </c>
      <c r="Q1103" s="128">
        <v>0</v>
      </c>
      <c r="R1103" s="128">
        <v>0</v>
      </c>
      <c r="S1103" s="128">
        <v>0</v>
      </c>
      <c r="T1103" s="128">
        <v>-35071.5</v>
      </c>
      <c r="U1103" s="128">
        <v>0</v>
      </c>
      <c r="V1103" s="128">
        <v>-35071.5</v>
      </c>
      <c r="W1103" s="128">
        <v>0</v>
      </c>
      <c r="X1103" s="128">
        <v>0</v>
      </c>
      <c r="Y1103" s="128">
        <v>0</v>
      </c>
      <c r="Z1103" s="128">
        <v>-35071.5</v>
      </c>
      <c r="AA1103" s="128">
        <v>0</v>
      </c>
      <c r="AB1103" s="126">
        <f t="shared" si="120"/>
        <v>3.5071500000000001E-3</v>
      </c>
      <c r="AC1103" s="122" t="s">
        <v>1838</v>
      </c>
      <c r="AD1103" s="123">
        <f t="shared" si="122"/>
        <v>1983.9723217250009</v>
      </c>
    </row>
    <row r="1104" spans="1:30" ht="12.75" hidden="1" customHeight="1">
      <c r="A1104" s="125" t="str">
        <f t="shared" si="117"/>
        <v>LIC174Receivable from AMC</v>
      </c>
      <c r="B1104" s="125">
        <f>+IFERROR(VLOOKUP(L1104,'TB mapping'!A:D,4,0),0)</f>
        <v>0</v>
      </c>
      <c r="C1104" s="125">
        <f>+IFERROR(VLOOKUP(L1104,'TB mapping'!A:C,3,0),0)</f>
        <v>0</v>
      </c>
      <c r="D1104" s="125" t="str">
        <f t="shared" si="118"/>
        <v>LIC1740</v>
      </c>
      <c r="E1104" s="125" t="str">
        <f t="shared" si="119"/>
        <v>LIC1740</v>
      </c>
      <c r="F1104" s="158" t="str">
        <f>+VLOOKUP(H1104,'code mapping'!A:C,3,0)</f>
        <v>LIC174</v>
      </c>
      <c r="G1104" s="127" t="s">
        <v>453</v>
      </c>
      <c r="H1104" s="127" t="s">
        <v>616</v>
      </c>
      <c r="I1104" s="127" t="s">
        <v>617</v>
      </c>
      <c r="J1104" s="128">
        <v>132000</v>
      </c>
      <c r="K1104" s="127" t="s">
        <v>466</v>
      </c>
      <c r="L1104" s="151">
        <v>152400</v>
      </c>
      <c r="M1104" s="128">
        <v>0</v>
      </c>
      <c r="N1104" s="127" t="s">
        <v>471</v>
      </c>
      <c r="O1104" s="127" t="s">
        <v>457</v>
      </c>
      <c r="P1104" s="128">
        <v>-0.24</v>
      </c>
      <c r="Q1104" s="128">
        <v>0</v>
      </c>
      <c r="R1104" s="128">
        <v>0</v>
      </c>
      <c r="S1104" s="128">
        <v>0</v>
      </c>
      <c r="T1104" s="128">
        <v>-0.24</v>
      </c>
      <c r="U1104" s="128">
        <v>0</v>
      </c>
      <c r="V1104" s="128">
        <v>-0.24</v>
      </c>
      <c r="W1104" s="128">
        <v>0</v>
      </c>
      <c r="X1104" s="128">
        <v>0</v>
      </c>
      <c r="Y1104" s="128">
        <v>0</v>
      </c>
      <c r="Z1104" s="128">
        <v>-0.24</v>
      </c>
      <c r="AA1104" s="128">
        <v>0</v>
      </c>
      <c r="AB1104" s="126">
        <f t="shared" si="120"/>
        <v>2.4E-8</v>
      </c>
      <c r="AC1104" s="122" t="s">
        <v>1838</v>
      </c>
      <c r="AD1104" s="123">
        <f t="shared" si="122"/>
        <v>1983.9723217250009</v>
      </c>
    </row>
    <row r="1105" spans="1:30" ht="12.75" hidden="1" customHeight="1">
      <c r="A1105" s="125" t="str">
        <f t="shared" si="117"/>
        <v>LIC174HDFC Current Account</v>
      </c>
      <c r="B1105" s="125">
        <f>+IFERROR(VLOOKUP(L1105,'TB mapping'!A:D,4,0),0)</f>
        <v>0</v>
      </c>
      <c r="C1105" s="125">
        <f>+IFERROR(VLOOKUP(L1105,'TB mapping'!A:C,3,0),0)</f>
        <v>0</v>
      </c>
      <c r="D1105" s="125" t="str">
        <f t="shared" si="118"/>
        <v>LIC1740</v>
      </c>
      <c r="E1105" s="125" t="str">
        <f t="shared" si="119"/>
        <v>LIC1740</v>
      </c>
      <c r="F1105" s="158" t="str">
        <f>+VLOOKUP(H1105,'code mapping'!A:C,3,0)</f>
        <v>LIC174</v>
      </c>
      <c r="G1105" s="127" t="s">
        <v>453</v>
      </c>
      <c r="H1105" s="127" t="s">
        <v>616</v>
      </c>
      <c r="I1105" s="127" t="s">
        <v>617</v>
      </c>
      <c r="J1105" s="128">
        <v>140000</v>
      </c>
      <c r="K1105" s="127" t="s">
        <v>472</v>
      </c>
      <c r="L1105" s="151">
        <v>140330</v>
      </c>
      <c r="M1105" s="128">
        <v>0</v>
      </c>
      <c r="N1105" s="127" t="s">
        <v>475</v>
      </c>
      <c r="O1105" s="127" t="s">
        <v>457</v>
      </c>
      <c r="P1105" s="128">
        <v>0</v>
      </c>
      <c r="Q1105" s="128">
        <v>0.19</v>
      </c>
      <c r="R1105" s="128">
        <v>0</v>
      </c>
      <c r="S1105" s="128">
        <v>0</v>
      </c>
      <c r="T1105" s="128">
        <v>0</v>
      </c>
      <c r="U1105" s="128">
        <v>0.19</v>
      </c>
      <c r="V1105" s="128">
        <v>0</v>
      </c>
      <c r="W1105" s="128">
        <v>0.19</v>
      </c>
      <c r="X1105" s="128">
        <v>0</v>
      </c>
      <c r="Y1105" s="128">
        <v>0</v>
      </c>
      <c r="Z1105" s="128">
        <v>0</v>
      </c>
      <c r="AA1105" s="128">
        <v>0.19</v>
      </c>
      <c r="AB1105" s="126">
        <f t="shared" si="120"/>
        <v>-1.9000000000000001E-8</v>
      </c>
      <c r="AC1105" s="122" t="s">
        <v>1838</v>
      </c>
      <c r="AD1105" s="123">
        <f t="shared" si="122"/>
        <v>1983.9723217250009</v>
      </c>
    </row>
    <row r="1106" spans="1:30" ht="12.75" hidden="1" customHeight="1">
      <c r="A1106" s="125" t="str">
        <f t="shared" si="117"/>
        <v>LIC174HDFC Bank Ltd</v>
      </c>
      <c r="B1106" s="125">
        <f>+IFERROR(VLOOKUP(L1106,'TB mapping'!A:D,4,0),0)</f>
        <v>0</v>
      </c>
      <c r="C1106" s="125">
        <f>+IFERROR(VLOOKUP(L1106,'TB mapping'!A:C,3,0),0)</f>
        <v>0</v>
      </c>
      <c r="D1106" s="125" t="str">
        <f t="shared" si="118"/>
        <v>LIC1740</v>
      </c>
      <c r="E1106" s="125" t="str">
        <f t="shared" si="119"/>
        <v>LIC1740</v>
      </c>
      <c r="F1106" s="158" t="str">
        <f>+VLOOKUP(H1106,'code mapping'!A:C,3,0)</f>
        <v>LIC174</v>
      </c>
      <c r="G1106" s="127" t="s">
        <v>453</v>
      </c>
      <c r="H1106" s="127" t="s">
        <v>616</v>
      </c>
      <c r="I1106" s="127" t="s">
        <v>617</v>
      </c>
      <c r="J1106" s="128">
        <v>140000</v>
      </c>
      <c r="K1106" s="127" t="s">
        <v>472</v>
      </c>
      <c r="L1106" s="151">
        <v>140372</v>
      </c>
      <c r="M1106" s="128">
        <v>0</v>
      </c>
      <c r="N1106" s="127" t="s">
        <v>476</v>
      </c>
      <c r="O1106" s="127" t="s">
        <v>457</v>
      </c>
      <c r="P1106" s="128">
        <v>0</v>
      </c>
      <c r="Q1106" s="128">
        <v>3.17</v>
      </c>
      <c r="R1106" s="128">
        <v>0</v>
      </c>
      <c r="S1106" s="128">
        <v>0</v>
      </c>
      <c r="T1106" s="128">
        <v>0</v>
      </c>
      <c r="U1106" s="128">
        <v>3.17</v>
      </c>
      <c r="V1106" s="128">
        <v>0</v>
      </c>
      <c r="W1106" s="128">
        <v>3.17</v>
      </c>
      <c r="X1106" s="128">
        <v>0</v>
      </c>
      <c r="Y1106" s="128">
        <v>0</v>
      </c>
      <c r="Z1106" s="128">
        <v>0</v>
      </c>
      <c r="AA1106" s="128">
        <v>3.17</v>
      </c>
      <c r="AB1106" s="126">
        <f t="shared" si="120"/>
        <v>-3.1699999999999999E-7</v>
      </c>
      <c r="AC1106" s="122" t="s">
        <v>1838</v>
      </c>
      <c r="AD1106" s="123">
        <f t="shared" si="122"/>
        <v>1983.9723217250009</v>
      </c>
    </row>
    <row r="1107" spans="1:30" ht="12.75" hidden="1" customHeight="1">
      <c r="A1107" s="125" t="str">
        <f t="shared" si="117"/>
        <v>LIC174Standard Chartered Bank- India</v>
      </c>
      <c r="B1107" s="125">
        <f>+IFERROR(VLOOKUP(L1107,'TB mapping'!A:D,4,0),0)</f>
        <v>0</v>
      </c>
      <c r="C1107" s="125">
        <f>+IFERROR(VLOOKUP(L1107,'TB mapping'!A:C,3,0),0)</f>
        <v>0</v>
      </c>
      <c r="D1107" s="125" t="str">
        <f t="shared" si="118"/>
        <v>LIC1740</v>
      </c>
      <c r="E1107" s="125" t="str">
        <f t="shared" si="119"/>
        <v>LIC1740</v>
      </c>
      <c r="F1107" s="158" t="str">
        <f>+VLOOKUP(H1107,'code mapping'!A:C,3,0)</f>
        <v>LIC174</v>
      </c>
      <c r="G1107" s="127" t="s">
        <v>453</v>
      </c>
      <c r="H1107" s="127" t="s">
        <v>616</v>
      </c>
      <c r="I1107" s="127" t="s">
        <v>617</v>
      </c>
      <c r="J1107" s="128">
        <v>140000</v>
      </c>
      <c r="K1107" s="127" t="s">
        <v>472</v>
      </c>
      <c r="L1107" s="151">
        <v>140500</v>
      </c>
      <c r="M1107" s="128">
        <v>0</v>
      </c>
      <c r="N1107" s="127" t="s">
        <v>477</v>
      </c>
      <c r="O1107" s="127" t="s">
        <v>457</v>
      </c>
      <c r="P1107" s="128">
        <v>-27746.83</v>
      </c>
      <c r="Q1107" s="128">
        <v>0</v>
      </c>
      <c r="R1107" s="128">
        <v>0</v>
      </c>
      <c r="S1107" s="128">
        <v>0</v>
      </c>
      <c r="T1107" s="128">
        <v>-27746.83</v>
      </c>
      <c r="U1107" s="128">
        <v>0</v>
      </c>
      <c r="V1107" s="128">
        <v>-27746.83</v>
      </c>
      <c r="W1107" s="128">
        <v>0</v>
      </c>
      <c r="X1107" s="128">
        <v>0</v>
      </c>
      <c r="Y1107" s="128">
        <v>0</v>
      </c>
      <c r="Z1107" s="128">
        <v>-27746.83</v>
      </c>
      <c r="AA1107" s="128">
        <v>0</v>
      </c>
      <c r="AB1107" s="126">
        <f t="shared" si="120"/>
        <v>2.774683E-3</v>
      </c>
      <c r="AC1107" s="122" t="s">
        <v>1838</v>
      </c>
      <c r="AD1107" s="123">
        <f t="shared" si="122"/>
        <v>1983.9723217250009</v>
      </c>
    </row>
    <row r="1108" spans="1:30" ht="12.75" hidden="1" customHeight="1">
      <c r="A1108" s="125" t="str">
        <f t="shared" si="117"/>
        <v>LIC174Int Accrual - Corporate Bonds</v>
      </c>
      <c r="B1108" s="125">
        <f>+IFERROR(VLOOKUP(L1108,'TB mapping'!A:D,4,0),0)</f>
        <v>0</v>
      </c>
      <c r="C1108" s="125">
        <f>+IFERROR(VLOOKUP(L1108,'TB mapping'!A:C,3,0),0)</f>
        <v>0</v>
      </c>
      <c r="D1108" s="125" t="str">
        <f t="shared" si="118"/>
        <v>LIC1740</v>
      </c>
      <c r="E1108" s="125" t="str">
        <f t="shared" si="119"/>
        <v>LIC1740</v>
      </c>
      <c r="F1108" s="158" t="str">
        <f>+VLOOKUP(H1108,'code mapping'!A:C,3,0)</f>
        <v>LIC174</v>
      </c>
      <c r="G1108" s="127" t="s">
        <v>453</v>
      </c>
      <c r="H1108" s="127" t="s">
        <v>616</v>
      </c>
      <c r="I1108" s="127" t="s">
        <v>617</v>
      </c>
      <c r="J1108" s="128">
        <v>152000</v>
      </c>
      <c r="K1108" s="127" t="s">
        <v>478</v>
      </c>
      <c r="L1108" s="151">
        <v>152120</v>
      </c>
      <c r="M1108" s="128">
        <v>0</v>
      </c>
      <c r="N1108" s="127" t="s">
        <v>479</v>
      </c>
      <c r="O1108" s="127" t="s">
        <v>457</v>
      </c>
      <c r="P1108" s="128">
        <v>-1139602.2</v>
      </c>
      <c r="Q1108" s="128">
        <v>0</v>
      </c>
      <c r="R1108" s="128">
        <v>0</v>
      </c>
      <c r="S1108" s="128">
        <v>0</v>
      </c>
      <c r="T1108" s="128">
        <v>-1139602.2</v>
      </c>
      <c r="U1108" s="128">
        <v>0</v>
      </c>
      <c r="V1108" s="128">
        <v>-1139602.2</v>
      </c>
      <c r="W1108" s="128">
        <v>0</v>
      </c>
      <c r="X1108" s="128">
        <v>0</v>
      </c>
      <c r="Y1108" s="128">
        <v>0</v>
      </c>
      <c r="Z1108" s="128">
        <v>-1139602.2</v>
      </c>
      <c r="AA1108" s="128">
        <v>0</v>
      </c>
      <c r="AB1108" s="126">
        <f t="shared" si="120"/>
        <v>0.11396022</v>
      </c>
      <c r="AC1108" s="122" t="s">
        <v>1838</v>
      </c>
      <c r="AD1108" s="123">
        <f t="shared" si="122"/>
        <v>1983.9723217250009</v>
      </c>
    </row>
    <row r="1109" spans="1:30" ht="12.75" hidden="1" customHeight="1">
      <c r="A1109" s="125" t="str">
        <f t="shared" si="117"/>
        <v>LIC174Amort Receivable-ZCB</v>
      </c>
      <c r="B1109" s="125">
        <f>+IFERROR(VLOOKUP(L1109,'TB mapping'!A:D,4,0),0)</f>
        <v>0</v>
      </c>
      <c r="C1109" s="125">
        <f>+IFERROR(VLOOKUP(L1109,'TB mapping'!A:C,3,0),0)</f>
        <v>0</v>
      </c>
      <c r="D1109" s="125" t="str">
        <f t="shared" si="118"/>
        <v>LIC1740</v>
      </c>
      <c r="E1109" s="125" t="str">
        <f t="shared" si="119"/>
        <v>LIC1740</v>
      </c>
      <c r="F1109" s="158" t="str">
        <f>+VLOOKUP(H1109,'code mapping'!A:C,3,0)</f>
        <v>LIC174</v>
      </c>
      <c r="G1109" s="127" t="s">
        <v>453</v>
      </c>
      <c r="H1109" s="127" t="s">
        <v>616</v>
      </c>
      <c r="I1109" s="127" t="s">
        <v>617</v>
      </c>
      <c r="J1109" s="128">
        <v>152000</v>
      </c>
      <c r="K1109" s="127" t="s">
        <v>478</v>
      </c>
      <c r="L1109" s="151">
        <v>152145</v>
      </c>
      <c r="M1109" s="128">
        <v>0</v>
      </c>
      <c r="N1109" s="127" t="s">
        <v>610</v>
      </c>
      <c r="O1109" s="127" t="s">
        <v>457</v>
      </c>
      <c r="P1109" s="128">
        <v>-4524879.03</v>
      </c>
      <c r="Q1109" s="128">
        <v>0</v>
      </c>
      <c r="R1109" s="128">
        <v>0</v>
      </c>
      <c r="S1109" s="128">
        <v>0</v>
      </c>
      <c r="T1109" s="128">
        <v>-4524879.03</v>
      </c>
      <c r="U1109" s="128">
        <v>0</v>
      </c>
      <c r="V1109" s="128">
        <v>-4524879.03</v>
      </c>
      <c r="W1109" s="128">
        <v>0</v>
      </c>
      <c r="X1109" s="128">
        <v>0</v>
      </c>
      <c r="Y1109" s="128">
        <v>0</v>
      </c>
      <c r="Z1109" s="128">
        <v>-4524879.03</v>
      </c>
      <c r="AA1109" s="128">
        <v>0</v>
      </c>
      <c r="AB1109" s="126">
        <f t="shared" si="120"/>
        <v>0.45248790300000002</v>
      </c>
      <c r="AC1109" s="122" t="s">
        <v>1838</v>
      </c>
      <c r="AD1109" s="123">
        <f t="shared" si="122"/>
        <v>1983.9723217250009</v>
      </c>
    </row>
    <row r="1110" spans="1:30" ht="12.75" hidden="1" customHeight="1">
      <c r="A1110" s="125" t="str">
        <f t="shared" si="117"/>
        <v>LIC174Amort Receivable - CBLO</v>
      </c>
      <c r="B1110" s="125">
        <f>+IFERROR(VLOOKUP(L1110,'TB mapping'!A:D,4,0),0)</f>
        <v>0</v>
      </c>
      <c r="C1110" s="125">
        <f>+IFERROR(VLOOKUP(L1110,'TB mapping'!A:C,3,0),0)</f>
        <v>0</v>
      </c>
      <c r="D1110" s="125" t="str">
        <f t="shared" si="118"/>
        <v>LIC1740</v>
      </c>
      <c r="E1110" s="125" t="str">
        <f t="shared" si="119"/>
        <v>LIC1740</v>
      </c>
      <c r="F1110" s="158" t="str">
        <f>+VLOOKUP(H1110,'code mapping'!A:C,3,0)</f>
        <v>LIC174</v>
      </c>
      <c r="G1110" s="127" t="s">
        <v>453</v>
      </c>
      <c r="H1110" s="127" t="s">
        <v>616</v>
      </c>
      <c r="I1110" s="127" t="s">
        <v>617</v>
      </c>
      <c r="J1110" s="128">
        <v>152000</v>
      </c>
      <c r="K1110" s="127" t="s">
        <v>478</v>
      </c>
      <c r="L1110" s="151">
        <v>152232</v>
      </c>
      <c r="M1110" s="128">
        <v>0</v>
      </c>
      <c r="N1110" s="127" t="s">
        <v>482</v>
      </c>
      <c r="O1110" s="127" t="s">
        <v>457</v>
      </c>
      <c r="P1110" s="128">
        <v>-18498.439999999999</v>
      </c>
      <c r="Q1110" s="128">
        <v>0</v>
      </c>
      <c r="R1110" s="128">
        <v>0</v>
      </c>
      <c r="S1110" s="128">
        <v>0</v>
      </c>
      <c r="T1110" s="128">
        <v>-18498.439999999999</v>
      </c>
      <c r="U1110" s="128">
        <v>0</v>
      </c>
      <c r="V1110" s="128">
        <v>-18498.439999999999</v>
      </c>
      <c r="W1110" s="128">
        <v>0</v>
      </c>
      <c r="X1110" s="128">
        <v>0</v>
      </c>
      <c r="Y1110" s="128">
        <v>0</v>
      </c>
      <c r="Z1110" s="128">
        <v>-18498.439999999999</v>
      </c>
      <c r="AA1110" s="128">
        <v>0</v>
      </c>
      <c r="AB1110" s="126">
        <f t="shared" si="120"/>
        <v>1.8498439999999998E-3</v>
      </c>
      <c r="AC1110" s="122" t="s">
        <v>1838</v>
      </c>
      <c r="AD1110" s="123">
        <f t="shared" si="122"/>
        <v>1983.9723217250009</v>
      </c>
    </row>
    <row r="1111" spans="1:30" ht="12.75" hidden="1" customHeight="1">
      <c r="A1111" s="125" t="str">
        <f t="shared" si="117"/>
        <v>LIC174Prov Unr P/L - Equities</v>
      </c>
      <c r="B1111" s="125">
        <f>+IFERROR(VLOOKUP(L1111,'TB mapping'!A:D,4,0),0)</f>
        <v>0</v>
      </c>
      <c r="C1111" s="125">
        <f>+IFERROR(VLOOKUP(L1111,'TB mapping'!A:C,3,0),0)</f>
        <v>0</v>
      </c>
      <c r="D1111" s="125" t="str">
        <f t="shared" si="118"/>
        <v>LIC1740</v>
      </c>
      <c r="E1111" s="125" t="str">
        <f t="shared" si="119"/>
        <v>LIC1740</v>
      </c>
      <c r="F1111" s="158" t="str">
        <f>+VLOOKUP(H1111,'code mapping'!A:C,3,0)</f>
        <v>LIC174</v>
      </c>
      <c r="G1111" s="127" t="s">
        <v>453</v>
      </c>
      <c r="H1111" s="127" t="s">
        <v>616</v>
      </c>
      <c r="I1111" s="127" t="s">
        <v>617</v>
      </c>
      <c r="J1111" s="128">
        <v>160000</v>
      </c>
      <c r="K1111" s="127" t="s">
        <v>483</v>
      </c>
      <c r="L1111" s="151">
        <v>161100</v>
      </c>
      <c r="M1111" s="128">
        <v>0</v>
      </c>
      <c r="N1111" s="127" t="s">
        <v>595</v>
      </c>
      <c r="O1111" s="127" t="s">
        <v>457</v>
      </c>
      <c r="P1111" s="128">
        <v>-11150758.01</v>
      </c>
      <c r="Q1111" s="128">
        <v>0</v>
      </c>
      <c r="R1111" s="128">
        <v>0</v>
      </c>
      <c r="S1111" s="128">
        <v>0</v>
      </c>
      <c r="T1111" s="128">
        <v>-11150758.01</v>
      </c>
      <c r="U1111" s="128">
        <v>0</v>
      </c>
      <c r="V1111" s="128">
        <v>-11150758.01</v>
      </c>
      <c r="W1111" s="128">
        <v>0</v>
      </c>
      <c r="X1111" s="128">
        <v>0</v>
      </c>
      <c r="Y1111" s="128">
        <v>0</v>
      </c>
      <c r="Z1111" s="128">
        <v>-11150758.01</v>
      </c>
      <c r="AA1111" s="128">
        <v>0</v>
      </c>
      <c r="AB1111" s="126">
        <f t="shared" si="120"/>
        <v>1.1150758009999999</v>
      </c>
      <c r="AC1111" s="122" t="s">
        <v>1838</v>
      </c>
      <c r="AD1111" s="123">
        <f t="shared" si="122"/>
        <v>1983.9723217250009</v>
      </c>
    </row>
    <row r="1112" spans="1:30" ht="12.75" hidden="1" customHeight="1">
      <c r="A1112" s="125" t="str">
        <f t="shared" si="117"/>
        <v>LIC174Prov Unr P/L - CorpBond/Debent</v>
      </c>
      <c r="B1112" s="125">
        <f>+IFERROR(VLOOKUP(L1112,'TB mapping'!A:D,4,0),0)</f>
        <v>0</v>
      </c>
      <c r="C1112" s="125">
        <f>+IFERROR(VLOOKUP(L1112,'TB mapping'!A:C,3,0),0)</f>
        <v>0</v>
      </c>
      <c r="D1112" s="125" t="str">
        <f t="shared" si="118"/>
        <v>LIC1740</v>
      </c>
      <c r="E1112" s="125" t="str">
        <f t="shared" si="119"/>
        <v>LIC1740</v>
      </c>
      <c r="F1112" s="158" t="str">
        <f>+VLOOKUP(H1112,'code mapping'!A:C,3,0)</f>
        <v>LIC174</v>
      </c>
      <c r="G1112" s="127" t="s">
        <v>453</v>
      </c>
      <c r="H1112" s="127" t="s">
        <v>616</v>
      </c>
      <c r="I1112" s="127" t="s">
        <v>617</v>
      </c>
      <c r="J1112" s="128">
        <v>160000</v>
      </c>
      <c r="K1112" s="127" t="s">
        <v>483</v>
      </c>
      <c r="L1112" s="151">
        <v>162120</v>
      </c>
      <c r="M1112" s="128">
        <v>0</v>
      </c>
      <c r="N1112" s="127" t="s">
        <v>484</v>
      </c>
      <c r="O1112" s="127" t="s">
        <v>457</v>
      </c>
      <c r="P1112" s="128">
        <v>-184725</v>
      </c>
      <c r="Q1112" s="128">
        <v>0</v>
      </c>
      <c r="R1112" s="128">
        <v>0</v>
      </c>
      <c r="S1112" s="128">
        <v>0</v>
      </c>
      <c r="T1112" s="128">
        <v>-184725</v>
      </c>
      <c r="U1112" s="128">
        <v>0</v>
      </c>
      <c r="V1112" s="128">
        <v>-184725</v>
      </c>
      <c r="W1112" s="128">
        <v>0</v>
      </c>
      <c r="X1112" s="128">
        <v>0</v>
      </c>
      <c r="Y1112" s="128">
        <v>0</v>
      </c>
      <c r="Z1112" s="128">
        <v>-184725</v>
      </c>
      <c r="AA1112" s="128">
        <v>0</v>
      </c>
      <c r="AB1112" s="126">
        <f t="shared" si="120"/>
        <v>1.8472499999999999E-2</v>
      </c>
      <c r="AC1112" s="122" t="s">
        <v>1838</v>
      </c>
      <c r="AD1112" s="123">
        <f t="shared" si="122"/>
        <v>1983.9723217250009</v>
      </c>
    </row>
    <row r="1113" spans="1:30" ht="12.75" hidden="1" customHeight="1">
      <c r="A1113" s="125" t="str">
        <f t="shared" si="117"/>
        <v>LIC174Prov Unr P/L -ZCB</v>
      </c>
      <c r="B1113" s="125">
        <f>+IFERROR(VLOOKUP(L1113,'TB mapping'!A:D,4,0),0)</f>
        <v>0</v>
      </c>
      <c r="C1113" s="125">
        <f>+IFERROR(VLOOKUP(L1113,'TB mapping'!A:C,3,0),0)</f>
        <v>0</v>
      </c>
      <c r="D1113" s="125" t="str">
        <f t="shared" si="118"/>
        <v>LIC1740</v>
      </c>
      <c r="E1113" s="125" t="str">
        <f t="shared" si="119"/>
        <v>LIC1740</v>
      </c>
      <c r="F1113" s="158" t="str">
        <f>+VLOOKUP(H1113,'code mapping'!A:C,3,0)</f>
        <v>LIC174</v>
      </c>
      <c r="G1113" s="127" t="s">
        <v>453</v>
      </c>
      <c r="H1113" s="127" t="s">
        <v>616</v>
      </c>
      <c r="I1113" s="127" t="s">
        <v>617</v>
      </c>
      <c r="J1113" s="128">
        <v>160000</v>
      </c>
      <c r="K1113" s="127" t="s">
        <v>483</v>
      </c>
      <c r="L1113" s="151">
        <v>162145</v>
      </c>
      <c r="M1113" s="128">
        <v>0</v>
      </c>
      <c r="N1113" s="127" t="s">
        <v>611</v>
      </c>
      <c r="O1113" s="127" t="s">
        <v>457</v>
      </c>
      <c r="P1113" s="128">
        <v>0</v>
      </c>
      <c r="Q1113" s="128">
        <v>128322.03</v>
      </c>
      <c r="R1113" s="128">
        <v>0</v>
      </c>
      <c r="S1113" s="128">
        <v>0</v>
      </c>
      <c r="T1113" s="128">
        <v>0</v>
      </c>
      <c r="U1113" s="128">
        <v>128322.03</v>
      </c>
      <c r="V1113" s="128">
        <v>0</v>
      </c>
      <c r="W1113" s="128">
        <v>128322.03</v>
      </c>
      <c r="X1113" s="128">
        <v>0</v>
      </c>
      <c r="Y1113" s="128">
        <v>0</v>
      </c>
      <c r="Z1113" s="128">
        <v>0</v>
      </c>
      <c r="AA1113" s="128">
        <v>128322.03</v>
      </c>
      <c r="AB1113" s="126">
        <f t="shared" si="120"/>
        <v>-1.2832203E-2</v>
      </c>
      <c r="AC1113" s="122" t="s">
        <v>1838</v>
      </c>
      <c r="AD1113" s="123">
        <f t="shared" si="122"/>
        <v>1983.9723217250009</v>
      </c>
    </row>
    <row r="1114" spans="1:30" ht="12.75" hidden="1" customHeight="1">
      <c r="A1114" s="125" t="str">
        <f t="shared" si="117"/>
        <v>LIC174Audit Fee-Payable</v>
      </c>
      <c r="B1114" s="125">
        <f>+IFERROR(VLOOKUP(L1114,'TB mapping'!A:D,4,0),0)</f>
        <v>0</v>
      </c>
      <c r="C1114" s="125">
        <f>+IFERROR(VLOOKUP(L1114,'TB mapping'!A:C,3,0),0)</f>
        <v>0</v>
      </c>
      <c r="D1114" s="125" t="str">
        <f t="shared" si="118"/>
        <v>LIC1740</v>
      </c>
      <c r="E1114" s="125" t="str">
        <f t="shared" si="119"/>
        <v>LIC1740</v>
      </c>
      <c r="F1114" s="158" t="str">
        <f>+VLOOKUP(H1114,'code mapping'!A:C,3,0)</f>
        <v>LIC174</v>
      </c>
      <c r="G1114" s="127" t="s">
        <v>453</v>
      </c>
      <c r="H1114" s="127" t="s">
        <v>616</v>
      </c>
      <c r="I1114" s="127" t="s">
        <v>617</v>
      </c>
      <c r="J1114" s="128">
        <v>212000</v>
      </c>
      <c r="K1114" s="127" t="s">
        <v>487</v>
      </c>
      <c r="L1114" s="151">
        <v>212194</v>
      </c>
      <c r="M1114" s="128">
        <v>0</v>
      </c>
      <c r="N1114" s="127" t="s">
        <v>496</v>
      </c>
      <c r="O1114" s="127" t="s">
        <v>457</v>
      </c>
      <c r="P1114" s="128">
        <v>-237.3</v>
      </c>
      <c r="Q1114" s="128">
        <v>0</v>
      </c>
      <c r="R1114" s="128">
        <v>0</v>
      </c>
      <c r="S1114" s="128">
        <v>0</v>
      </c>
      <c r="T1114" s="128">
        <v>-237.3</v>
      </c>
      <c r="U1114" s="128">
        <v>0</v>
      </c>
      <c r="V1114" s="128">
        <v>-237.3</v>
      </c>
      <c r="W1114" s="128">
        <v>0</v>
      </c>
      <c r="X1114" s="128">
        <v>0</v>
      </c>
      <c r="Y1114" s="128">
        <v>0</v>
      </c>
      <c r="Z1114" s="128">
        <v>-237.3</v>
      </c>
      <c r="AA1114" s="128">
        <v>0</v>
      </c>
      <c r="AB1114" s="126">
        <f t="shared" si="120"/>
        <v>2.3730000000000001E-5</v>
      </c>
      <c r="AC1114" s="122" t="s">
        <v>1838</v>
      </c>
      <c r="AD1114" s="123">
        <f t="shared" si="122"/>
        <v>1983.9723217250009</v>
      </c>
    </row>
    <row r="1115" spans="1:30" ht="12.75" hidden="1" customHeight="1">
      <c r="A1115" s="125" t="str">
        <f t="shared" si="117"/>
        <v>LIC174Other Exp- Payable</v>
      </c>
      <c r="B1115" s="125">
        <f>+IFERROR(VLOOKUP(L1115,'TB mapping'!A:D,4,0),0)</f>
        <v>0</v>
      </c>
      <c r="C1115" s="125">
        <f>+IFERROR(VLOOKUP(L1115,'TB mapping'!A:C,3,0),0)</f>
        <v>0</v>
      </c>
      <c r="D1115" s="125" t="str">
        <f t="shared" si="118"/>
        <v>LIC1740</v>
      </c>
      <c r="E1115" s="125" t="str">
        <f t="shared" si="119"/>
        <v>LIC1740</v>
      </c>
      <c r="F1115" s="158" t="str">
        <f>+VLOOKUP(H1115,'code mapping'!A:C,3,0)</f>
        <v>LIC174</v>
      </c>
      <c r="G1115" s="127" t="s">
        <v>453</v>
      </c>
      <c r="H1115" s="127" t="s">
        <v>616</v>
      </c>
      <c r="I1115" s="127" t="s">
        <v>617</v>
      </c>
      <c r="J1115" s="128">
        <v>212000</v>
      </c>
      <c r="K1115" s="127" t="s">
        <v>487</v>
      </c>
      <c r="L1115" s="151">
        <v>212220</v>
      </c>
      <c r="M1115" s="128">
        <v>0</v>
      </c>
      <c r="N1115" s="127" t="s">
        <v>497</v>
      </c>
      <c r="O1115" s="127" t="s">
        <v>457</v>
      </c>
      <c r="P1115" s="128">
        <v>0</v>
      </c>
      <c r="Q1115" s="128">
        <v>230648.04</v>
      </c>
      <c r="R1115" s="128">
        <v>0</v>
      </c>
      <c r="S1115" s="128">
        <v>0</v>
      </c>
      <c r="T1115" s="128">
        <v>0</v>
      </c>
      <c r="U1115" s="128">
        <v>230648.04</v>
      </c>
      <c r="V1115" s="128">
        <v>0</v>
      </c>
      <c r="W1115" s="128">
        <v>230648.04</v>
      </c>
      <c r="X1115" s="128">
        <v>0</v>
      </c>
      <c r="Y1115" s="128">
        <v>0</v>
      </c>
      <c r="Z1115" s="128">
        <v>0</v>
      </c>
      <c r="AA1115" s="128">
        <v>230648.04</v>
      </c>
      <c r="AB1115" s="126">
        <f t="shared" si="120"/>
        <v>-2.3064804000000001E-2</v>
      </c>
      <c r="AC1115" s="122" t="s">
        <v>1838</v>
      </c>
      <c r="AD1115" s="123">
        <f t="shared" si="122"/>
        <v>1983.9723217250009</v>
      </c>
    </row>
    <row r="1116" spans="1:30" ht="12.75" hidden="1" customHeight="1">
      <c r="A1116" s="125" t="str">
        <f t="shared" si="117"/>
        <v>LIC174Expense Allocation-Liab'ity Ac</v>
      </c>
      <c r="B1116" s="125">
        <f>+IFERROR(VLOOKUP(L1116,'TB mapping'!A:D,4,0),0)</f>
        <v>0</v>
      </c>
      <c r="C1116" s="125">
        <f>+IFERROR(VLOOKUP(L1116,'TB mapping'!A:C,3,0),0)</f>
        <v>0</v>
      </c>
      <c r="D1116" s="125" t="str">
        <f t="shared" si="118"/>
        <v>LIC1740</v>
      </c>
      <c r="E1116" s="125" t="str">
        <f t="shared" si="119"/>
        <v>LIC1740</v>
      </c>
      <c r="F1116" s="158" t="str">
        <f>+VLOOKUP(H1116,'code mapping'!A:C,3,0)</f>
        <v>LIC174</v>
      </c>
      <c r="G1116" s="127" t="s">
        <v>453</v>
      </c>
      <c r="H1116" s="127" t="s">
        <v>616</v>
      </c>
      <c r="I1116" s="127" t="s">
        <v>617</v>
      </c>
      <c r="J1116" s="128">
        <v>212000</v>
      </c>
      <c r="K1116" s="127" t="s">
        <v>487</v>
      </c>
      <c r="L1116" s="151">
        <v>212223</v>
      </c>
      <c r="M1116" s="128">
        <v>0</v>
      </c>
      <c r="N1116" s="127" t="s">
        <v>498</v>
      </c>
      <c r="O1116" s="127" t="s">
        <v>457</v>
      </c>
      <c r="P1116" s="128">
        <v>-98355.64</v>
      </c>
      <c r="Q1116" s="128">
        <v>0</v>
      </c>
      <c r="R1116" s="128">
        <v>0</v>
      </c>
      <c r="S1116" s="128">
        <v>0</v>
      </c>
      <c r="T1116" s="128">
        <v>-98355.64</v>
      </c>
      <c r="U1116" s="128">
        <v>0</v>
      </c>
      <c r="V1116" s="128">
        <v>-98355.64</v>
      </c>
      <c r="W1116" s="128">
        <v>0</v>
      </c>
      <c r="X1116" s="128">
        <v>0</v>
      </c>
      <c r="Y1116" s="128">
        <v>0</v>
      </c>
      <c r="Z1116" s="128">
        <v>-98355.64</v>
      </c>
      <c r="AA1116" s="128">
        <v>0</v>
      </c>
      <c r="AB1116" s="126">
        <f t="shared" si="120"/>
        <v>9.8355639999999998E-3</v>
      </c>
      <c r="AC1116" s="122" t="s">
        <v>1838</v>
      </c>
      <c r="AD1116" s="123">
        <f t="shared" si="122"/>
        <v>1983.9723217250009</v>
      </c>
    </row>
    <row r="1117" spans="1:30" ht="12.75" hidden="1" customHeight="1">
      <c r="A1117" s="125" t="str">
        <f t="shared" si="117"/>
        <v>LIC174Investor Education Payable</v>
      </c>
      <c r="B1117" s="125">
        <f>+IFERROR(VLOOKUP(L1117,'TB mapping'!A:D,4,0),0)</f>
        <v>0</v>
      </c>
      <c r="C1117" s="125">
        <f>+IFERROR(VLOOKUP(L1117,'TB mapping'!A:C,3,0),0)</f>
        <v>0</v>
      </c>
      <c r="D1117" s="125" t="str">
        <f t="shared" si="118"/>
        <v>LIC1740</v>
      </c>
      <c r="E1117" s="125" t="str">
        <f t="shared" si="119"/>
        <v>LIC1740</v>
      </c>
      <c r="F1117" s="158" t="str">
        <f>+VLOOKUP(H1117,'code mapping'!A:C,3,0)</f>
        <v>LIC174</v>
      </c>
      <c r="G1117" s="127" t="s">
        <v>453</v>
      </c>
      <c r="H1117" s="127" t="s">
        <v>616</v>
      </c>
      <c r="I1117" s="127" t="s">
        <v>617</v>
      </c>
      <c r="J1117" s="128">
        <v>212000</v>
      </c>
      <c r="K1117" s="127" t="s">
        <v>487</v>
      </c>
      <c r="L1117" s="151">
        <v>212240</v>
      </c>
      <c r="M1117" s="128">
        <v>0</v>
      </c>
      <c r="N1117" s="127" t="s">
        <v>500</v>
      </c>
      <c r="O1117" s="127" t="s">
        <v>457</v>
      </c>
      <c r="P1117" s="128">
        <v>0</v>
      </c>
      <c r="Q1117" s="128">
        <v>2086.41</v>
      </c>
      <c r="R1117" s="128">
        <v>0</v>
      </c>
      <c r="S1117" s="128">
        <v>0</v>
      </c>
      <c r="T1117" s="128">
        <v>0</v>
      </c>
      <c r="U1117" s="128">
        <v>2086.41</v>
      </c>
      <c r="V1117" s="128">
        <v>0</v>
      </c>
      <c r="W1117" s="128">
        <v>2086.41</v>
      </c>
      <c r="X1117" s="128">
        <v>0</v>
      </c>
      <c r="Y1117" s="128">
        <v>0</v>
      </c>
      <c r="Z1117" s="128">
        <v>0</v>
      </c>
      <c r="AA1117" s="128">
        <v>2086.41</v>
      </c>
      <c r="AB1117" s="126">
        <f t="shared" si="120"/>
        <v>-2.08641E-4</v>
      </c>
      <c r="AC1117" s="122" t="s">
        <v>1838</v>
      </c>
      <c r="AD1117" s="123">
        <f t="shared" si="122"/>
        <v>1983.9723217250009</v>
      </c>
    </row>
    <row r="1118" spans="1:30" ht="12.75" hidden="1" customHeight="1">
      <c r="A1118" s="125" t="str">
        <f t="shared" si="117"/>
        <v>LIC174Transaction Charges Payable</v>
      </c>
      <c r="B1118" s="125">
        <f>+IFERROR(VLOOKUP(L1118,'TB mapping'!A:D,4,0),0)</f>
        <v>0</v>
      </c>
      <c r="C1118" s="125">
        <f>+IFERROR(VLOOKUP(L1118,'TB mapping'!A:C,3,0),0)</f>
        <v>0</v>
      </c>
      <c r="D1118" s="125" t="str">
        <f t="shared" si="118"/>
        <v>LIC1740</v>
      </c>
      <c r="E1118" s="125" t="str">
        <f t="shared" si="119"/>
        <v>LIC1740</v>
      </c>
      <c r="F1118" s="158" t="str">
        <f>+VLOOKUP(H1118,'code mapping'!A:C,3,0)</f>
        <v>LIC174</v>
      </c>
      <c r="G1118" s="127" t="s">
        <v>453</v>
      </c>
      <c r="H1118" s="127" t="s">
        <v>616</v>
      </c>
      <c r="I1118" s="127" t="s">
        <v>617</v>
      </c>
      <c r="J1118" s="128">
        <v>212000</v>
      </c>
      <c r="K1118" s="127" t="s">
        <v>487</v>
      </c>
      <c r="L1118" s="151">
        <v>212247</v>
      </c>
      <c r="M1118" s="128">
        <v>0</v>
      </c>
      <c r="N1118" s="127" t="s">
        <v>501</v>
      </c>
      <c r="O1118" s="127" t="s">
        <v>457</v>
      </c>
      <c r="P1118" s="128">
        <v>0</v>
      </c>
      <c r="Q1118" s="128">
        <v>400</v>
      </c>
      <c r="R1118" s="128">
        <v>0</v>
      </c>
      <c r="S1118" s="128">
        <v>0</v>
      </c>
      <c r="T1118" s="128">
        <v>0</v>
      </c>
      <c r="U1118" s="128">
        <v>400</v>
      </c>
      <c r="V1118" s="128">
        <v>0</v>
      </c>
      <c r="W1118" s="128">
        <v>400</v>
      </c>
      <c r="X1118" s="128">
        <v>0</v>
      </c>
      <c r="Y1118" s="128">
        <v>0</v>
      </c>
      <c r="Z1118" s="128">
        <v>0</v>
      </c>
      <c r="AA1118" s="128">
        <v>400</v>
      </c>
      <c r="AB1118" s="126">
        <f t="shared" si="120"/>
        <v>-4.0000000000000003E-5</v>
      </c>
      <c r="AC1118" s="122" t="s">
        <v>1838</v>
      </c>
      <c r="AD1118" s="123">
        <f t="shared" si="122"/>
        <v>1983.9723217250009</v>
      </c>
    </row>
    <row r="1119" spans="1:30" ht="12.75" hidden="1" customHeight="1">
      <c r="A1119" s="125" t="str">
        <f t="shared" si="117"/>
        <v>LIC174Brokerage &amp; Dist Exp Payable</v>
      </c>
      <c r="B1119" s="125">
        <f>+IFERROR(VLOOKUP(L1119,'TB mapping'!A:D,4,0),0)</f>
        <v>0</v>
      </c>
      <c r="C1119" s="125">
        <f>+IFERROR(VLOOKUP(L1119,'TB mapping'!A:C,3,0),0)</f>
        <v>0</v>
      </c>
      <c r="D1119" s="125" t="str">
        <f t="shared" si="118"/>
        <v>LIC1740</v>
      </c>
      <c r="E1119" s="125" t="str">
        <f t="shared" si="119"/>
        <v>LIC1740</v>
      </c>
      <c r="F1119" s="158" t="str">
        <f>+VLOOKUP(H1119,'code mapping'!A:C,3,0)</f>
        <v>LIC174</v>
      </c>
      <c r="G1119" s="127" t="s">
        <v>453</v>
      </c>
      <c r="H1119" s="127" t="s">
        <v>616</v>
      </c>
      <c r="I1119" s="127" t="s">
        <v>617</v>
      </c>
      <c r="J1119" s="128">
        <v>212000</v>
      </c>
      <c r="K1119" s="127" t="s">
        <v>487</v>
      </c>
      <c r="L1119" s="151">
        <v>212255</v>
      </c>
      <c r="M1119" s="128">
        <v>0</v>
      </c>
      <c r="N1119" s="127" t="s">
        <v>503</v>
      </c>
      <c r="O1119" s="127" t="s">
        <v>457</v>
      </c>
      <c r="P1119" s="128">
        <v>0</v>
      </c>
      <c r="Q1119" s="128">
        <v>201477.79</v>
      </c>
      <c r="R1119" s="128">
        <v>0</v>
      </c>
      <c r="S1119" s="128">
        <v>0</v>
      </c>
      <c r="T1119" s="128">
        <v>0</v>
      </c>
      <c r="U1119" s="128">
        <v>201477.79</v>
      </c>
      <c r="V1119" s="128">
        <v>0</v>
      </c>
      <c r="W1119" s="128">
        <v>201477.79</v>
      </c>
      <c r="X1119" s="128">
        <v>0</v>
      </c>
      <c r="Y1119" s="128">
        <v>0</v>
      </c>
      <c r="Z1119" s="128">
        <v>0</v>
      </c>
      <c r="AA1119" s="128">
        <v>201477.79</v>
      </c>
      <c r="AB1119" s="126">
        <f t="shared" si="120"/>
        <v>-2.0147779000000001E-2</v>
      </c>
      <c r="AC1119" s="122" t="s">
        <v>1838</v>
      </c>
      <c r="AD1119" s="123">
        <f t="shared" si="122"/>
        <v>1983.9723217250009</v>
      </c>
    </row>
    <row r="1120" spans="1:30" ht="12.75" hidden="1" customHeight="1">
      <c r="A1120" s="125" t="str">
        <f t="shared" si="117"/>
        <v>LIC174Upfront Brk &amp; Trail Paid-Liab</v>
      </c>
      <c r="B1120" s="125">
        <f>+IFERROR(VLOOKUP(L1120,'TB mapping'!A:D,4,0),0)</f>
        <v>0</v>
      </c>
      <c r="C1120" s="125">
        <f>+IFERROR(VLOOKUP(L1120,'TB mapping'!A:C,3,0),0)</f>
        <v>0</v>
      </c>
      <c r="D1120" s="125" t="str">
        <f t="shared" si="118"/>
        <v>LIC1740</v>
      </c>
      <c r="E1120" s="125" t="str">
        <f t="shared" si="119"/>
        <v>LIC1740</v>
      </c>
      <c r="F1120" s="158" t="str">
        <f>+VLOOKUP(H1120,'code mapping'!A:C,3,0)</f>
        <v>LIC174</v>
      </c>
      <c r="G1120" s="127" t="s">
        <v>453</v>
      </c>
      <c r="H1120" s="127" t="s">
        <v>616</v>
      </c>
      <c r="I1120" s="127" t="s">
        <v>617</v>
      </c>
      <c r="J1120" s="128">
        <v>212000</v>
      </c>
      <c r="K1120" s="127" t="s">
        <v>487</v>
      </c>
      <c r="L1120" s="151">
        <v>212257</v>
      </c>
      <c r="M1120" s="128">
        <v>0</v>
      </c>
      <c r="N1120" s="127" t="s">
        <v>504</v>
      </c>
      <c r="O1120" s="127" t="s">
        <v>457</v>
      </c>
      <c r="P1120" s="128">
        <v>-1205.1000000000001</v>
      </c>
      <c r="Q1120" s="128">
        <v>0</v>
      </c>
      <c r="R1120" s="128">
        <v>0</v>
      </c>
      <c r="S1120" s="128">
        <v>0</v>
      </c>
      <c r="T1120" s="128">
        <v>-1205.1000000000001</v>
      </c>
      <c r="U1120" s="128">
        <v>0</v>
      </c>
      <c r="V1120" s="128">
        <v>-1205.1000000000001</v>
      </c>
      <c r="W1120" s="128">
        <v>0</v>
      </c>
      <c r="X1120" s="128">
        <v>0</v>
      </c>
      <c r="Y1120" s="128">
        <v>0</v>
      </c>
      <c r="Z1120" s="128">
        <v>-1205.1000000000001</v>
      </c>
      <c r="AA1120" s="128">
        <v>0</v>
      </c>
      <c r="AB1120" s="126">
        <f t="shared" si="120"/>
        <v>1.2051000000000001E-4</v>
      </c>
      <c r="AC1120" s="122" t="s">
        <v>1838</v>
      </c>
      <c r="AD1120" s="123">
        <f t="shared" si="122"/>
        <v>1983.9723217250009</v>
      </c>
    </row>
    <row r="1121" spans="1:30" ht="12.75" hidden="1" customHeight="1">
      <c r="A1121" s="125" t="str">
        <f t="shared" si="117"/>
        <v>LIC174Payable CGST on Mfees</v>
      </c>
      <c r="B1121" s="125">
        <f>+IFERROR(VLOOKUP(L1121,'TB mapping'!A:D,4,0),0)</f>
        <v>0</v>
      </c>
      <c r="C1121" s="125">
        <f>+IFERROR(VLOOKUP(L1121,'TB mapping'!A:C,3,0),0)</f>
        <v>0</v>
      </c>
      <c r="D1121" s="125" t="str">
        <f t="shared" si="118"/>
        <v>LIC1740</v>
      </c>
      <c r="E1121" s="125" t="str">
        <f t="shared" si="119"/>
        <v>LIC1740</v>
      </c>
      <c r="F1121" s="158" t="str">
        <f>+VLOOKUP(H1121,'code mapping'!A:C,3,0)</f>
        <v>LIC174</v>
      </c>
      <c r="G1121" s="127" t="s">
        <v>453</v>
      </c>
      <c r="H1121" s="127" t="s">
        <v>616</v>
      </c>
      <c r="I1121" s="127" t="s">
        <v>617</v>
      </c>
      <c r="J1121" s="128">
        <v>212000</v>
      </c>
      <c r="K1121" s="127" t="s">
        <v>487</v>
      </c>
      <c r="L1121" s="151">
        <v>212271</v>
      </c>
      <c r="M1121" s="128">
        <v>0</v>
      </c>
      <c r="N1121" s="127" t="s">
        <v>505</v>
      </c>
      <c r="O1121" s="127" t="s">
        <v>457</v>
      </c>
      <c r="P1121" s="128">
        <v>0</v>
      </c>
      <c r="Q1121" s="128">
        <v>3290.13</v>
      </c>
      <c r="R1121" s="128">
        <v>0</v>
      </c>
      <c r="S1121" s="128">
        <v>0</v>
      </c>
      <c r="T1121" s="128">
        <v>0</v>
      </c>
      <c r="U1121" s="128">
        <v>3290.13</v>
      </c>
      <c r="V1121" s="128">
        <v>0</v>
      </c>
      <c r="W1121" s="128">
        <v>3290.13</v>
      </c>
      <c r="X1121" s="128">
        <v>0</v>
      </c>
      <c r="Y1121" s="128">
        <v>0</v>
      </c>
      <c r="Z1121" s="128">
        <v>0</v>
      </c>
      <c r="AA1121" s="128">
        <v>3290.13</v>
      </c>
      <c r="AB1121" s="126">
        <f t="shared" si="120"/>
        <v>-3.2901300000000002E-4</v>
      </c>
      <c r="AC1121" s="122" t="s">
        <v>1838</v>
      </c>
      <c r="AD1121" s="123">
        <f t="shared" si="122"/>
        <v>1983.9723217250009</v>
      </c>
    </row>
    <row r="1122" spans="1:30" ht="12.75" hidden="1" customHeight="1">
      <c r="A1122" s="125" t="str">
        <f t="shared" si="117"/>
        <v>LIC174Payable SGST on Mfees</v>
      </c>
      <c r="B1122" s="125">
        <f>+IFERROR(VLOOKUP(L1122,'TB mapping'!A:D,4,0),0)</f>
        <v>0</v>
      </c>
      <c r="C1122" s="125">
        <f>+IFERROR(VLOOKUP(L1122,'TB mapping'!A:C,3,0),0)</f>
        <v>0</v>
      </c>
      <c r="D1122" s="125" t="str">
        <f t="shared" si="118"/>
        <v>LIC1740</v>
      </c>
      <c r="E1122" s="125" t="str">
        <f t="shared" si="119"/>
        <v>LIC1740</v>
      </c>
      <c r="F1122" s="158" t="str">
        <f>+VLOOKUP(H1122,'code mapping'!A:C,3,0)</f>
        <v>LIC174</v>
      </c>
      <c r="G1122" s="127" t="s">
        <v>453</v>
      </c>
      <c r="H1122" s="127" t="s">
        <v>616</v>
      </c>
      <c r="I1122" s="127" t="s">
        <v>617</v>
      </c>
      <c r="J1122" s="128">
        <v>212000</v>
      </c>
      <c r="K1122" s="127" t="s">
        <v>487</v>
      </c>
      <c r="L1122" s="151">
        <v>212272</v>
      </c>
      <c r="M1122" s="128">
        <v>0</v>
      </c>
      <c r="N1122" s="127" t="s">
        <v>506</v>
      </c>
      <c r="O1122" s="127" t="s">
        <v>457</v>
      </c>
      <c r="P1122" s="128">
        <v>0</v>
      </c>
      <c r="Q1122" s="128">
        <v>3290.13</v>
      </c>
      <c r="R1122" s="128">
        <v>0</v>
      </c>
      <c r="S1122" s="128">
        <v>0</v>
      </c>
      <c r="T1122" s="128">
        <v>0</v>
      </c>
      <c r="U1122" s="128">
        <v>3290.13</v>
      </c>
      <c r="V1122" s="128">
        <v>0</v>
      </c>
      <c r="W1122" s="128">
        <v>3290.13</v>
      </c>
      <c r="X1122" s="128">
        <v>0</v>
      </c>
      <c r="Y1122" s="128">
        <v>0</v>
      </c>
      <c r="Z1122" s="128">
        <v>0</v>
      </c>
      <c r="AA1122" s="128">
        <v>3290.13</v>
      </c>
      <c r="AB1122" s="126">
        <f t="shared" si="120"/>
        <v>-3.2901300000000002E-4</v>
      </c>
      <c r="AC1122" s="122" t="s">
        <v>1838</v>
      </c>
      <c r="AD1122" s="123">
        <f t="shared" si="122"/>
        <v>1983.9723217250009</v>
      </c>
    </row>
    <row r="1123" spans="1:30" ht="12.75" hidden="1" customHeight="1">
      <c r="A1123" s="125" t="str">
        <f t="shared" si="117"/>
        <v>LIC174Payable -Inv Educ Fund-AMFI</v>
      </c>
      <c r="B1123" s="125">
        <f>+IFERROR(VLOOKUP(L1123,'TB mapping'!A:D,4,0),0)</f>
        <v>0</v>
      </c>
      <c r="C1123" s="125">
        <f>+IFERROR(VLOOKUP(L1123,'TB mapping'!A:C,3,0),0)</f>
        <v>0</v>
      </c>
      <c r="D1123" s="125" t="str">
        <f t="shared" si="118"/>
        <v>LIC1740</v>
      </c>
      <c r="E1123" s="125" t="str">
        <f t="shared" si="119"/>
        <v>LIC1740</v>
      </c>
      <c r="F1123" s="158" t="str">
        <f>+VLOOKUP(H1123,'code mapping'!A:C,3,0)</f>
        <v>LIC174</v>
      </c>
      <c r="G1123" s="127" t="s">
        <v>453</v>
      </c>
      <c r="H1123" s="127" t="s">
        <v>616</v>
      </c>
      <c r="I1123" s="127" t="s">
        <v>617</v>
      </c>
      <c r="J1123" s="128">
        <v>212000</v>
      </c>
      <c r="K1123" s="127" t="s">
        <v>487</v>
      </c>
      <c r="L1123" s="151">
        <v>213166</v>
      </c>
      <c r="M1123" s="128">
        <v>0</v>
      </c>
      <c r="N1123" s="127" t="s">
        <v>507</v>
      </c>
      <c r="O1123" s="127" t="s">
        <v>457</v>
      </c>
      <c r="P1123" s="128">
        <v>0</v>
      </c>
      <c r="Q1123" s="128">
        <v>2086.41</v>
      </c>
      <c r="R1123" s="128">
        <v>0</v>
      </c>
      <c r="S1123" s="128">
        <v>0</v>
      </c>
      <c r="T1123" s="128">
        <v>0</v>
      </c>
      <c r="U1123" s="128">
        <v>2086.41</v>
      </c>
      <c r="V1123" s="128">
        <v>0</v>
      </c>
      <c r="W1123" s="128">
        <v>2086.41</v>
      </c>
      <c r="X1123" s="128">
        <v>0</v>
      </c>
      <c r="Y1123" s="128">
        <v>0</v>
      </c>
      <c r="Z1123" s="128">
        <v>0</v>
      </c>
      <c r="AA1123" s="128">
        <v>2086.41</v>
      </c>
      <c r="AB1123" s="126">
        <f t="shared" si="120"/>
        <v>-2.08641E-4</v>
      </c>
      <c r="AC1123" s="122" t="s">
        <v>1838</v>
      </c>
      <c r="AD1123" s="123">
        <f t="shared" si="122"/>
        <v>1983.9723217250009</v>
      </c>
    </row>
    <row r="1124" spans="1:30" ht="12.75" hidden="1" customHeight="1">
      <c r="A1124" s="125" t="str">
        <f t="shared" si="117"/>
        <v>LIC174Management Fee Payable</v>
      </c>
      <c r="B1124" s="125">
        <f>+IFERROR(VLOOKUP(L1124,'TB mapping'!A:D,4,0),0)</f>
        <v>0</v>
      </c>
      <c r="C1124" s="125">
        <f>+IFERROR(VLOOKUP(L1124,'TB mapping'!A:C,3,0),0)</f>
        <v>0</v>
      </c>
      <c r="D1124" s="125" t="str">
        <f t="shared" si="118"/>
        <v>LIC1740</v>
      </c>
      <c r="E1124" s="125" t="str">
        <f t="shared" si="119"/>
        <v>LIC1740</v>
      </c>
      <c r="F1124" s="158" t="str">
        <f>+VLOOKUP(H1124,'code mapping'!A:C,3,0)</f>
        <v>LIC174</v>
      </c>
      <c r="G1124" s="127" t="s">
        <v>453</v>
      </c>
      <c r="H1124" s="127" t="s">
        <v>616</v>
      </c>
      <c r="I1124" s="127" t="s">
        <v>617</v>
      </c>
      <c r="J1124" s="128">
        <v>213000</v>
      </c>
      <c r="K1124" s="127" t="s">
        <v>508</v>
      </c>
      <c r="L1124" s="151">
        <v>213500</v>
      </c>
      <c r="M1124" s="128">
        <v>0</v>
      </c>
      <c r="N1124" s="127" t="s">
        <v>509</v>
      </c>
      <c r="O1124" s="127" t="s">
        <v>457</v>
      </c>
      <c r="P1124" s="128">
        <v>0</v>
      </c>
      <c r="Q1124" s="128">
        <v>36554.47</v>
      </c>
      <c r="R1124" s="128">
        <v>0</v>
      </c>
      <c r="S1124" s="128">
        <v>0</v>
      </c>
      <c r="T1124" s="128">
        <v>0</v>
      </c>
      <c r="U1124" s="128">
        <v>36554.47</v>
      </c>
      <c r="V1124" s="128">
        <v>0</v>
      </c>
      <c r="W1124" s="128">
        <v>36554.47</v>
      </c>
      <c r="X1124" s="128">
        <v>0</v>
      </c>
      <c r="Y1124" s="128">
        <v>0</v>
      </c>
      <c r="Z1124" s="128">
        <v>0</v>
      </c>
      <c r="AA1124" s="128">
        <v>36554.47</v>
      </c>
      <c r="AB1124" s="126">
        <f t="shared" si="120"/>
        <v>-3.655447E-3</v>
      </c>
      <c r="AC1124" s="122" t="s">
        <v>1838</v>
      </c>
      <c r="AD1124" s="123">
        <f t="shared" si="122"/>
        <v>1983.9723217250009</v>
      </c>
    </row>
    <row r="1125" spans="1:30" ht="12.75" hidden="1" customHeight="1">
      <c r="A1125" s="125" t="str">
        <f t="shared" si="117"/>
        <v>LIC174Other Adjustment A/c.</v>
      </c>
      <c r="B1125" s="125">
        <f>+IFERROR(VLOOKUP(L1125,'TB mapping'!A:D,4,0),0)</f>
        <v>0</v>
      </c>
      <c r="C1125" s="125">
        <f>+IFERROR(VLOOKUP(L1125,'TB mapping'!A:C,3,0),0)</f>
        <v>0</v>
      </c>
      <c r="D1125" s="125" t="str">
        <f t="shared" si="118"/>
        <v>LIC1740</v>
      </c>
      <c r="E1125" s="125" t="str">
        <f t="shared" si="119"/>
        <v>LIC1740</v>
      </c>
      <c r="F1125" s="158" t="str">
        <f>+VLOOKUP(H1125,'code mapping'!A:C,3,0)</f>
        <v>LIC174</v>
      </c>
      <c r="G1125" s="127" t="s">
        <v>453</v>
      </c>
      <c r="H1125" s="127" t="s">
        <v>616</v>
      </c>
      <c r="I1125" s="127" t="s">
        <v>617</v>
      </c>
      <c r="J1125" s="128">
        <v>220000</v>
      </c>
      <c r="K1125" s="127" t="s">
        <v>510</v>
      </c>
      <c r="L1125" s="151">
        <v>190000</v>
      </c>
      <c r="M1125" s="128">
        <v>0</v>
      </c>
      <c r="N1125" s="127" t="s">
        <v>511</v>
      </c>
      <c r="O1125" s="127" t="s">
        <v>457</v>
      </c>
      <c r="P1125" s="128">
        <v>0</v>
      </c>
      <c r="Q1125" s="128">
        <v>0.66</v>
      </c>
      <c r="R1125" s="128">
        <v>0</v>
      </c>
      <c r="S1125" s="128">
        <v>0</v>
      </c>
      <c r="T1125" s="128">
        <v>0</v>
      </c>
      <c r="U1125" s="128">
        <v>0.66</v>
      </c>
      <c r="V1125" s="128">
        <v>0</v>
      </c>
      <c r="W1125" s="128">
        <v>0.66</v>
      </c>
      <c r="X1125" s="128">
        <v>0</v>
      </c>
      <c r="Y1125" s="128">
        <v>0</v>
      </c>
      <c r="Z1125" s="128">
        <v>0</v>
      </c>
      <c r="AA1125" s="128">
        <v>0.66</v>
      </c>
      <c r="AB1125" s="126">
        <f t="shared" si="120"/>
        <v>-6.6000000000000009E-8</v>
      </c>
      <c r="AC1125" s="122" t="s">
        <v>1838</v>
      </c>
      <c r="AD1125" s="123">
        <f t="shared" si="122"/>
        <v>1983.9723217250009</v>
      </c>
    </row>
    <row r="1126" spans="1:30" ht="12.75" hidden="1" customHeight="1">
      <c r="A1126" s="125" t="str">
        <f t="shared" si="117"/>
        <v>LIC174Prov For Withholding Brokerage</v>
      </c>
      <c r="B1126" s="125">
        <f>+IFERROR(VLOOKUP(L1126,'TB mapping'!A:D,4,0),0)</f>
        <v>0</v>
      </c>
      <c r="C1126" s="125">
        <f>+IFERROR(VLOOKUP(L1126,'TB mapping'!A:C,3,0),0)</f>
        <v>0</v>
      </c>
      <c r="D1126" s="125" t="str">
        <f t="shared" si="118"/>
        <v>LIC1740</v>
      </c>
      <c r="E1126" s="125" t="str">
        <f t="shared" si="119"/>
        <v>LIC1740</v>
      </c>
      <c r="F1126" s="158" t="str">
        <f>+VLOOKUP(H1126,'code mapping'!A:C,3,0)</f>
        <v>LIC174</v>
      </c>
      <c r="G1126" s="127" t="s">
        <v>453</v>
      </c>
      <c r="H1126" s="127" t="s">
        <v>616</v>
      </c>
      <c r="I1126" s="127" t="s">
        <v>617</v>
      </c>
      <c r="J1126" s="128">
        <v>220000</v>
      </c>
      <c r="K1126" s="127" t="s">
        <v>510</v>
      </c>
      <c r="L1126" s="151">
        <v>210162</v>
      </c>
      <c r="M1126" s="128">
        <v>0</v>
      </c>
      <c r="N1126" s="127" t="s">
        <v>512</v>
      </c>
      <c r="O1126" s="127" t="s">
        <v>457</v>
      </c>
      <c r="P1126" s="128">
        <v>0</v>
      </c>
      <c r="Q1126" s="128">
        <v>12210.49</v>
      </c>
      <c r="R1126" s="128">
        <v>0</v>
      </c>
      <c r="S1126" s="128">
        <v>0</v>
      </c>
      <c r="T1126" s="128">
        <v>0</v>
      </c>
      <c r="U1126" s="128">
        <v>12210.49</v>
      </c>
      <c r="V1126" s="128">
        <v>0</v>
      </c>
      <c r="W1126" s="128">
        <v>12210.49</v>
      </c>
      <c r="X1126" s="128">
        <v>0</v>
      </c>
      <c r="Y1126" s="128">
        <v>0</v>
      </c>
      <c r="Z1126" s="128">
        <v>0</v>
      </c>
      <c r="AA1126" s="128">
        <v>12210.49</v>
      </c>
      <c r="AB1126" s="126">
        <f t="shared" si="120"/>
        <v>-1.2210489999999999E-3</v>
      </c>
      <c r="AC1126" s="122" t="s">
        <v>1838</v>
      </c>
      <c r="AD1126" s="123">
        <f t="shared" si="122"/>
        <v>1983.9723217250009</v>
      </c>
    </row>
    <row r="1127" spans="1:30" ht="12.75" hidden="1" customHeight="1">
      <c r="A1127" s="125" t="str">
        <f t="shared" si="117"/>
        <v>LIC174Prov  Withholding Brok 2016-17</v>
      </c>
      <c r="B1127" s="125">
        <f>+IFERROR(VLOOKUP(L1127,'TB mapping'!A:D,4,0),0)</f>
        <v>0</v>
      </c>
      <c r="C1127" s="125">
        <f>+IFERROR(VLOOKUP(L1127,'TB mapping'!A:C,3,0),0)</f>
        <v>0</v>
      </c>
      <c r="D1127" s="125" t="str">
        <f t="shared" si="118"/>
        <v>LIC1740</v>
      </c>
      <c r="E1127" s="125" t="str">
        <f t="shared" si="119"/>
        <v>LIC1740</v>
      </c>
      <c r="F1127" s="158" t="str">
        <f>+VLOOKUP(H1127,'code mapping'!A:C,3,0)</f>
        <v>LIC174</v>
      </c>
      <c r="G1127" s="127" t="s">
        <v>453</v>
      </c>
      <c r="H1127" s="127" t="s">
        <v>616</v>
      </c>
      <c r="I1127" s="127" t="s">
        <v>617</v>
      </c>
      <c r="J1127" s="128">
        <v>220000</v>
      </c>
      <c r="K1127" s="127" t="s">
        <v>510</v>
      </c>
      <c r="L1127" s="151">
        <v>210163</v>
      </c>
      <c r="M1127" s="128">
        <v>0</v>
      </c>
      <c r="N1127" s="127" t="s">
        <v>513</v>
      </c>
      <c r="O1127" s="127" t="s">
        <v>457</v>
      </c>
      <c r="P1127" s="128">
        <v>0</v>
      </c>
      <c r="Q1127" s="128">
        <v>33184.959999999999</v>
      </c>
      <c r="R1127" s="128">
        <v>0</v>
      </c>
      <c r="S1127" s="128">
        <v>0</v>
      </c>
      <c r="T1127" s="128">
        <v>0</v>
      </c>
      <c r="U1127" s="128">
        <v>33184.959999999999</v>
      </c>
      <c r="V1127" s="128">
        <v>0</v>
      </c>
      <c r="W1127" s="128">
        <v>33184.959999999999</v>
      </c>
      <c r="X1127" s="128">
        <v>0</v>
      </c>
      <c r="Y1127" s="128">
        <v>0</v>
      </c>
      <c r="Z1127" s="128">
        <v>0</v>
      </c>
      <c r="AA1127" s="128">
        <v>33184.959999999999</v>
      </c>
      <c r="AB1127" s="126">
        <f t="shared" si="120"/>
        <v>-3.3184959999999998E-3</v>
      </c>
      <c r="AC1127" s="122" t="s">
        <v>1838</v>
      </c>
      <c r="AD1127" s="123">
        <f t="shared" si="122"/>
        <v>1983.9723217250009</v>
      </c>
    </row>
    <row r="1128" spans="1:30" ht="12.75" hidden="1" customHeight="1">
      <c r="A1128" s="125" t="str">
        <f t="shared" si="117"/>
        <v>LIC174Unit Capital</v>
      </c>
      <c r="B1128" s="125">
        <f>+IFERROR(VLOOKUP(L1128,'TB mapping'!A:D,4,0),0)</f>
        <v>0</v>
      </c>
      <c r="C1128" s="125">
        <f>+IFERROR(VLOOKUP(L1128,'TB mapping'!A:C,3,0),0)</f>
        <v>0</v>
      </c>
      <c r="D1128" s="125" t="str">
        <f t="shared" si="118"/>
        <v>LIC1740</v>
      </c>
      <c r="E1128" s="125" t="str">
        <f t="shared" si="119"/>
        <v>LIC1740</v>
      </c>
      <c r="F1128" s="158" t="str">
        <f>+VLOOKUP(H1128,'code mapping'!A:C,3,0)</f>
        <v>LIC174</v>
      </c>
      <c r="G1128" s="127" t="s">
        <v>453</v>
      </c>
      <c r="H1128" s="127" t="s">
        <v>616</v>
      </c>
      <c r="I1128" s="127" t="s">
        <v>617</v>
      </c>
      <c r="J1128" s="128">
        <v>301000</v>
      </c>
      <c r="K1128" s="127" t="s">
        <v>514</v>
      </c>
      <c r="L1128" s="151">
        <v>310000</v>
      </c>
      <c r="M1128" s="128">
        <v>0</v>
      </c>
      <c r="N1128" s="127" t="s">
        <v>515</v>
      </c>
      <c r="O1128" s="127" t="s">
        <v>457</v>
      </c>
      <c r="P1128" s="128">
        <v>0</v>
      </c>
      <c r="Q1128" s="128">
        <v>205431678.38999999</v>
      </c>
      <c r="R1128" s="128">
        <v>0</v>
      </c>
      <c r="S1128" s="128">
        <v>0</v>
      </c>
      <c r="T1128" s="128">
        <v>0</v>
      </c>
      <c r="U1128" s="128">
        <v>205431678.38999999</v>
      </c>
      <c r="V1128" s="128">
        <v>0</v>
      </c>
      <c r="W1128" s="128">
        <v>205431678.38999999</v>
      </c>
      <c r="X1128" s="128">
        <v>0</v>
      </c>
      <c r="Y1128" s="128">
        <v>0</v>
      </c>
      <c r="Z1128" s="128">
        <v>0</v>
      </c>
      <c r="AA1128" s="128">
        <v>205431678.38999999</v>
      </c>
      <c r="AB1128" s="126">
        <f t="shared" si="120"/>
        <v>-20.543167838999999</v>
      </c>
      <c r="AC1128" s="122" t="s">
        <v>1838</v>
      </c>
      <c r="AD1128" s="123">
        <f t="shared" si="122"/>
        <v>1983.9723217250009</v>
      </c>
    </row>
    <row r="1129" spans="1:30" ht="12.75" hidden="1" customHeight="1">
      <c r="A1129" s="125" t="str">
        <f t="shared" si="117"/>
        <v>LIC174Net Earnings</v>
      </c>
      <c r="B1129" s="125">
        <f>+IFERROR(VLOOKUP(L1129,'TB mapping'!A:D,4,0),0)</f>
        <v>0</v>
      </c>
      <c r="C1129" s="125">
        <f>+IFERROR(VLOOKUP(L1129,'TB mapping'!A:C,3,0),0)</f>
        <v>0</v>
      </c>
      <c r="D1129" s="125" t="str">
        <f t="shared" si="118"/>
        <v>LIC1740</v>
      </c>
      <c r="E1129" s="125" t="str">
        <f t="shared" si="119"/>
        <v>LIC1740</v>
      </c>
      <c r="F1129" s="158" t="str">
        <f>+VLOOKUP(H1129,'code mapping'!A:C,3,0)</f>
        <v>LIC174</v>
      </c>
      <c r="G1129" s="127" t="s">
        <v>453</v>
      </c>
      <c r="H1129" s="127" t="s">
        <v>616</v>
      </c>
      <c r="I1129" s="127" t="s">
        <v>617</v>
      </c>
      <c r="J1129" s="128">
        <v>303000</v>
      </c>
      <c r="K1129" s="127" t="s">
        <v>516</v>
      </c>
      <c r="L1129" s="151">
        <v>390000</v>
      </c>
      <c r="M1129" s="128">
        <v>0</v>
      </c>
      <c r="N1129" s="127" t="s">
        <v>521</v>
      </c>
      <c r="O1129" s="127" t="s">
        <v>457</v>
      </c>
      <c r="P1129" s="128">
        <v>0</v>
      </c>
      <c r="Q1129" s="128">
        <v>14331134.390000001</v>
      </c>
      <c r="R1129" s="128">
        <v>0</v>
      </c>
      <c r="S1129" s="128">
        <v>0</v>
      </c>
      <c r="T1129" s="128">
        <v>0</v>
      </c>
      <c r="U1129" s="128">
        <v>14331134.390000001</v>
      </c>
      <c r="V1129" s="128">
        <v>0</v>
      </c>
      <c r="W1129" s="128">
        <v>14331134.390000001</v>
      </c>
      <c r="X1129" s="128">
        <v>0</v>
      </c>
      <c r="Y1129" s="128">
        <v>0</v>
      </c>
      <c r="Z1129" s="128">
        <v>0</v>
      </c>
      <c r="AA1129" s="128">
        <v>14331134.390000001</v>
      </c>
      <c r="AB1129" s="126">
        <f t="shared" si="120"/>
        <v>-1.433113439</v>
      </c>
      <c r="AC1129" s="122" t="s">
        <v>1838</v>
      </c>
      <c r="AD1129" s="123">
        <f t="shared" si="122"/>
        <v>1983.9723217250009</v>
      </c>
    </row>
    <row r="1130" spans="1:30" ht="12.75" hidden="1" customHeight="1">
      <c r="A1130" s="125" t="str">
        <f t="shared" si="117"/>
        <v>LIC174R/L G/P - Equities</v>
      </c>
      <c r="B1130" s="125">
        <f>+IFERROR(VLOOKUP(L1130,'TB mapping'!A:D,4,0),0)</f>
        <v>0</v>
      </c>
      <c r="C1130" s="125">
        <f>+IFERROR(VLOOKUP(L1130,'TB mapping'!A:C,3,0),0)</f>
        <v>5.3</v>
      </c>
      <c r="D1130" s="125" t="str">
        <f t="shared" si="118"/>
        <v>LIC1740</v>
      </c>
      <c r="E1130" s="125" t="str">
        <f t="shared" si="119"/>
        <v>LIC1745.3</v>
      </c>
      <c r="F1130" s="158" t="str">
        <f>+VLOOKUP(H1130,'code mapping'!A:C,3,0)</f>
        <v>LIC174</v>
      </c>
      <c r="G1130" s="127" t="s">
        <v>453</v>
      </c>
      <c r="H1130" s="127" t="s">
        <v>616</v>
      </c>
      <c r="I1130" s="127" t="s">
        <v>617</v>
      </c>
      <c r="J1130" s="128">
        <v>410000</v>
      </c>
      <c r="K1130" s="127" t="s">
        <v>522</v>
      </c>
      <c r="L1130" s="151">
        <v>411100</v>
      </c>
      <c r="M1130" s="128">
        <v>0</v>
      </c>
      <c r="N1130" s="127" t="s">
        <v>596</v>
      </c>
      <c r="O1130" s="127" t="s">
        <v>457</v>
      </c>
      <c r="P1130" s="128">
        <v>0</v>
      </c>
      <c r="Q1130" s="128">
        <v>7470861.4100000001</v>
      </c>
      <c r="R1130" s="128">
        <v>0</v>
      </c>
      <c r="S1130" s="128">
        <v>0</v>
      </c>
      <c r="T1130" s="128">
        <v>0</v>
      </c>
      <c r="U1130" s="128">
        <v>7470861.4100000001</v>
      </c>
      <c r="V1130" s="128">
        <v>0</v>
      </c>
      <c r="W1130" s="128">
        <v>7470861.4100000001</v>
      </c>
      <c r="X1130" s="128">
        <v>0</v>
      </c>
      <c r="Y1130" s="128">
        <v>0</v>
      </c>
      <c r="Z1130" s="128">
        <v>0</v>
      </c>
      <c r="AA1130" s="128">
        <v>7470861.4100000001</v>
      </c>
      <c r="AB1130" s="126">
        <f t="shared" si="120"/>
        <v>-0.74708614100000004</v>
      </c>
      <c r="AC1130" s="122" t="s">
        <v>1838</v>
      </c>
      <c r="AD1130" s="123">
        <f>SUMIF(E:E,E1130,AB:AB)</f>
        <v>-0.59705023000000002</v>
      </c>
    </row>
    <row r="1131" spans="1:30" ht="12.75" hidden="1" customHeight="1">
      <c r="A1131" s="125" t="str">
        <f t="shared" si="117"/>
        <v>LIC174Profit on Sale-Mutual Fd Units</v>
      </c>
      <c r="B1131" s="125">
        <f>+IFERROR(VLOOKUP(L1131,'TB mapping'!A:D,4,0),0)</f>
        <v>0</v>
      </c>
      <c r="C1131" s="125">
        <f>+IFERROR(VLOOKUP(L1131,'TB mapping'!A:C,3,0),0)</f>
        <v>5.3</v>
      </c>
      <c r="D1131" s="125" t="str">
        <f t="shared" si="118"/>
        <v>LIC1740</v>
      </c>
      <c r="E1131" s="125" t="str">
        <f t="shared" si="119"/>
        <v>LIC1745.3</v>
      </c>
      <c r="F1131" s="158" t="str">
        <f>+VLOOKUP(H1131,'code mapping'!A:C,3,0)</f>
        <v>LIC174</v>
      </c>
      <c r="G1131" s="127" t="s">
        <v>453</v>
      </c>
      <c r="H1131" s="127" t="s">
        <v>616</v>
      </c>
      <c r="I1131" s="127" t="s">
        <v>617</v>
      </c>
      <c r="J1131" s="128">
        <v>410000</v>
      </c>
      <c r="K1131" s="127" t="s">
        <v>522</v>
      </c>
      <c r="L1131" s="151">
        <v>415102</v>
      </c>
      <c r="M1131" s="128">
        <v>0</v>
      </c>
      <c r="N1131" s="127" t="s">
        <v>526</v>
      </c>
      <c r="O1131" s="127" t="s">
        <v>457</v>
      </c>
      <c r="P1131" s="128">
        <v>0</v>
      </c>
      <c r="Q1131" s="128">
        <v>7562.22</v>
      </c>
      <c r="R1131" s="128">
        <v>0</v>
      </c>
      <c r="S1131" s="128">
        <v>0</v>
      </c>
      <c r="T1131" s="128">
        <v>0</v>
      </c>
      <c r="U1131" s="128">
        <v>7562.22</v>
      </c>
      <c r="V1131" s="128">
        <v>0</v>
      </c>
      <c r="W1131" s="128">
        <v>7562.22</v>
      </c>
      <c r="X1131" s="128">
        <v>0</v>
      </c>
      <c r="Y1131" s="128">
        <v>0</v>
      </c>
      <c r="Z1131" s="128">
        <v>0</v>
      </c>
      <c r="AA1131" s="128">
        <v>7562.22</v>
      </c>
      <c r="AB1131" s="126">
        <f t="shared" si="120"/>
        <v>-7.5622200000000008E-4</v>
      </c>
      <c r="AC1131" s="122" t="s">
        <v>1838</v>
      </c>
      <c r="AD1131" s="123">
        <f>SUMIF(E:E,E1131,AB:AB)</f>
        <v>-0.59705023000000002</v>
      </c>
    </row>
    <row r="1132" spans="1:30" ht="12.75" hidden="1" customHeight="1">
      <c r="A1132" s="125" t="str">
        <f t="shared" si="117"/>
        <v>LIC174UR/L G/P - Equities</v>
      </c>
      <c r="B1132" s="125">
        <f>+IFERROR(VLOOKUP(L1132,'TB mapping'!A:D,4,0),0)</f>
        <v>0</v>
      </c>
      <c r="C1132" s="125" t="str">
        <f>+IFERROR(VLOOKUP(L1132,'TB mapping'!A:C,3,0),0)</f>
        <v>Ignore</v>
      </c>
      <c r="D1132" s="125" t="str">
        <f t="shared" si="118"/>
        <v>LIC1740</v>
      </c>
      <c r="E1132" s="125" t="str">
        <f t="shared" si="119"/>
        <v>LIC174Ignore</v>
      </c>
      <c r="F1132" s="158" t="str">
        <f>+VLOOKUP(H1132,'code mapping'!A:C,3,0)</f>
        <v>LIC174</v>
      </c>
      <c r="G1132" s="127" t="s">
        <v>453</v>
      </c>
      <c r="H1132" s="127" t="s">
        <v>616</v>
      </c>
      <c r="I1132" s="127" t="s">
        <v>617</v>
      </c>
      <c r="J1132" s="128">
        <v>430000</v>
      </c>
      <c r="K1132" s="127" t="s">
        <v>528</v>
      </c>
      <c r="L1132" s="151">
        <v>431100</v>
      </c>
      <c r="M1132" s="128">
        <v>0</v>
      </c>
      <c r="N1132" s="127" t="s">
        <v>597</v>
      </c>
      <c r="O1132" s="127" t="s">
        <v>457</v>
      </c>
      <c r="P1132" s="128">
        <v>0</v>
      </c>
      <c r="Q1132" s="128">
        <v>11150758.01</v>
      </c>
      <c r="R1132" s="128">
        <v>0</v>
      </c>
      <c r="S1132" s="128">
        <v>0</v>
      </c>
      <c r="T1132" s="128">
        <v>0</v>
      </c>
      <c r="U1132" s="128">
        <v>11150758.01</v>
      </c>
      <c r="V1132" s="128">
        <v>0</v>
      </c>
      <c r="W1132" s="128">
        <v>11150758.01</v>
      </c>
      <c r="X1132" s="128">
        <v>0</v>
      </c>
      <c r="Y1132" s="128">
        <v>0</v>
      </c>
      <c r="Z1132" s="128">
        <v>0</v>
      </c>
      <c r="AA1132" s="128">
        <v>11150758.01</v>
      </c>
      <c r="AB1132" s="126">
        <f t="shared" si="120"/>
        <v>-1.1150758009999999</v>
      </c>
      <c r="AC1132" s="122" t="s">
        <v>1838</v>
      </c>
      <c r="AD1132" s="123">
        <f>SUMIF(C:C,C1132,AB:AB)</f>
        <v>-291.7660984179999</v>
      </c>
    </row>
    <row r="1133" spans="1:30" ht="12.75" hidden="1" customHeight="1">
      <c r="A1133" s="125" t="str">
        <f t="shared" si="117"/>
        <v>LIC174UR/L G/P - Corp Bond/Debenture</v>
      </c>
      <c r="B1133" s="125">
        <f>+IFERROR(VLOOKUP(L1133,'TB mapping'!A:D,4,0),0)</f>
        <v>0</v>
      </c>
      <c r="C1133" s="125" t="str">
        <f>+IFERROR(VLOOKUP(L1133,'TB mapping'!A:C,3,0),0)</f>
        <v>Ignore</v>
      </c>
      <c r="D1133" s="125" t="str">
        <f t="shared" si="118"/>
        <v>LIC1740</v>
      </c>
      <c r="E1133" s="125" t="str">
        <f t="shared" si="119"/>
        <v>LIC174Ignore</v>
      </c>
      <c r="F1133" s="158" t="str">
        <f>+VLOOKUP(H1133,'code mapping'!A:C,3,0)</f>
        <v>LIC174</v>
      </c>
      <c r="G1133" s="127" t="s">
        <v>453</v>
      </c>
      <c r="H1133" s="127" t="s">
        <v>616</v>
      </c>
      <c r="I1133" s="127" t="s">
        <v>617</v>
      </c>
      <c r="J1133" s="128">
        <v>430000</v>
      </c>
      <c r="K1133" s="127" t="s">
        <v>528</v>
      </c>
      <c r="L1133" s="151">
        <v>432120</v>
      </c>
      <c r="M1133" s="128">
        <v>0</v>
      </c>
      <c r="N1133" s="127" t="s">
        <v>529</v>
      </c>
      <c r="O1133" s="127" t="s">
        <v>457</v>
      </c>
      <c r="P1133" s="128">
        <v>0</v>
      </c>
      <c r="Q1133" s="128">
        <v>184725</v>
      </c>
      <c r="R1133" s="128">
        <v>0</v>
      </c>
      <c r="S1133" s="128">
        <v>0</v>
      </c>
      <c r="T1133" s="128">
        <v>0</v>
      </c>
      <c r="U1133" s="128">
        <v>184725</v>
      </c>
      <c r="V1133" s="128">
        <v>0</v>
      </c>
      <c r="W1133" s="128">
        <v>184725</v>
      </c>
      <c r="X1133" s="128">
        <v>0</v>
      </c>
      <c r="Y1133" s="128">
        <v>0</v>
      </c>
      <c r="Z1133" s="128">
        <v>0</v>
      </c>
      <c r="AA1133" s="128">
        <v>184725</v>
      </c>
      <c r="AB1133" s="126">
        <f t="shared" si="120"/>
        <v>-1.8472499999999999E-2</v>
      </c>
      <c r="AC1133" s="122" t="s">
        <v>1838</v>
      </c>
      <c r="AD1133" s="123">
        <f>SUMIF(C:C,C1133,AB:AB)</f>
        <v>-291.7660984179999</v>
      </c>
    </row>
    <row r="1134" spans="1:30" ht="12.75" hidden="1" customHeight="1">
      <c r="A1134" s="125" t="str">
        <f t="shared" si="117"/>
        <v>LIC174UR/L G/P-ZCB</v>
      </c>
      <c r="B1134" s="125">
        <f>+IFERROR(VLOOKUP(L1134,'TB mapping'!A:D,4,0),0)</f>
        <v>0</v>
      </c>
      <c r="C1134" s="125" t="str">
        <f>+IFERROR(VLOOKUP(L1134,'TB mapping'!A:C,3,0),0)</f>
        <v>Ignore</v>
      </c>
      <c r="D1134" s="125" t="str">
        <f t="shared" si="118"/>
        <v>LIC1740</v>
      </c>
      <c r="E1134" s="125" t="str">
        <f t="shared" si="119"/>
        <v>LIC174Ignore</v>
      </c>
      <c r="F1134" s="158" t="str">
        <f>+VLOOKUP(H1134,'code mapping'!A:C,3,0)</f>
        <v>LIC174</v>
      </c>
      <c r="G1134" s="127" t="s">
        <v>453</v>
      </c>
      <c r="H1134" s="127" t="s">
        <v>616</v>
      </c>
      <c r="I1134" s="127" t="s">
        <v>617</v>
      </c>
      <c r="J1134" s="128">
        <v>430000</v>
      </c>
      <c r="K1134" s="127" t="s">
        <v>528</v>
      </c>
      <c r="L1134" s="151">
        <v>432145</v>
      </c>
      <c r="M1134" s="128">
        <v>0</v>
      </c>
      <c r="N1134" s="127" t="s">
        <v>612</v>
      </c>
      <c r="O1134" s="127" t="s">
        <v>457</v>
      </c>
      <c r="P1134" s="128">
        <v>-128322.03</v>
      </c>
      <c r="Q1134" s="128">
        <v>0</v>
      </c>
      <c r="R1134" s="128">
        <v>0</v>
      </c>
      <c r="S1134" s="128">
        <v>0</v>
      </c>
      <c r="T1134" s="128">
        <v>-128322.03</v>
      </c>
      <c r="U1134" s="128">
        <v>0</v>
      </c>
      <c r="V1134" s="128">
        <v>-128322.03</v>
      </c>
      <c r="W1134" s="128">
        <v>0</v>
      </c>
      <c r="X1134" s="128">
        <v>0</v>
      </c>
      <c r="Y1134" s="128">
        <v>0</v>
      </c>
      <c r="Z1134" s="128">
        <v>-128322.03</v>
      </c>
      <c r="AA1134" s="128">
        <v>0</v>
      </c>
      <c r="AB1134" s="126">
        <f t="shared" si="120"/>
        <v>1.2832203E-2</v>
      </c>
      <c r="AC1134" s="122" t="s">
        <v>1838</v>
      </c>
      <c r="AD1134" s="123">
        <f>SUMIF(C:C,C1134,AB:AB)</f>
        <v>-291.7660984179999</v>
      </c>
    </row>
    <row r="1135" spans="1:30" ht="12.75" hidden="1" customHeight="1">
      <c r="A1135" s="125" t="str">
        <f t="shared" si="117"/>
        <v>LIC174Dividend Income - Equities</v>
      </c>
      <c r="B1135" s="125">
        <f>+IFERROR(VLOOKUP(L1135,'TB mapping'!A:D,4,0),0)</f>
        <v>0</v>
      </c>
      <c r="C1135" s="125">
        <f>+IFERROR(VLOOKUP(L1135,'TB mapping'!A:C,3,0),0)</f>
        <v>5.0999999999999996</v>
      </c>
      <c r="D1135" s="125" t="str">
        <f t="shared" si="118"/>
        <v>LIC1740</v>
      </c>
      <c r="E1135" s="125" t="str">
        <f t="shared" si="119"/>
        <v>LIC1745.1</v>
      </c>
      <c r="F1135" s="158" t="str">
        <f>+VLOOKUP(H1135,'code mapping'!A:C,3,0)</f>
        <v>LIC174</v>
      </c>
      <c r="G1135" s="127" t="s">
        <v>453</v>
      </c>
      <c r="H1135" s="127" t="s">
        <v>616</v>
      </c>
      <c r="I1135" s="127" t="s">
        <v>617</v>
      </c>
      <c r="J1135" s="128">
        <v>450000</v>
      </c>
      <c r="K1135" s="127" t="s">
        <v>532</v>
      </c>
      <c r="L1135" s="151">
        <v>451100</v>
      </c>
      <c r="M1135" s="128">
        <v>0</v>
      </c>
      <c r="N1135" s="127" t="s">
        <v>598</v>
      </c>
      <c r="O1135" s="127" t="s">
        <v>457</v>
      </c>
      <c r="P1135" s="128">
        <v>0</v>
      </c>
      <c r="Q1135" s="128">
        <v>1049706.8</v>
      </c>
      <c r="R1135" s="128">
        <v>0</v>
      </c>
      <c r="S1135" s="128">
        <v>0</v>
      </c>
      <c r="T1135" s="128">
        <v>0</v>
      </c>
      <c r="U1135" s="128">
        <v>1049706.8</v>
      </c>
      <c r="V1135" s="128">
        <v>0</v>
      </c>
      <c r="W1135" s="128">
        <v>1049706.8</v>
      </c>
      <c r="X1135" s="128">
        <v>0</v>
      </c>
      <c r="Y1135" s="128">
        <v>0</v>
      </c>
      <c r="Z1135" s="128">
        <v>0</v>
      </c>
      <c r="AA1135" s="128">
        <v>1049706.8</v>
      </c>
      <c r="AB1135" s="126">
        <f t="shared" si="120"/>
        <v>-0.10497068000000001</v>
      </c>
      <c r="AC1135" s="122" t="s">
        <v>1838</v>
      </c>
      <c r="AD1135" s="123">
        <f t="shared" ref="AD1135:AD1164" si="123">SUMIF(E:E,E1135,AB:AB)</f>
        <v>-0.10497068000000001</v>
      </c>
    </row>
    <row r="1136" spans="1:30" ht="12.75" hidden="1" customHeight="1">
      <c r="A1136" s="125" t="str">
        <f t="shared" si="117"/>
        <v>LIC174Int Income - Corporate Bonds</v>
      </c>
      <c r="B1136" s="125">
        <f>+IFERROR(VLOOKUP(L1136,'TB mapping'!A:D,4,0),0)</f>
        <v>0</v>
      </c>
      <c r="C1136" s="125">
        <f>+IFERROR(VLOOKUP(L1136,'TB mapping'!A:C,3,0),0)</f>
        <v>5.2</v>
      </c>
      <c r="D1136" s="125" t="str">
        <f t="shared" si="118"/>
        <v>LIC1740</v>
      </c>
      <c r="E1136" s="125" t="str">
        <f t="shared" si="119"/>
        <v>LIC1745.2</v>
      </c>
      <c r="F1136" s="158" t="str">
        <f>+VLOOKUP(H1136,'code mapping'!A:C,3,0)</f>
        <v>LIC174</v>
      </c>
      <c r="G1136" s="127" t="s">
        <v>453</v>
      </c>
      <c r="H1136" s="127" t="s">
        <v>616</v>
      </c>
      <c r="I1136" s="127" t="s">
        <v>617</v>
      </c>
      <c r="J1136" s="128">
        <v>450000</v>
      </c>
      <c r="K1136" s="127" t="s">
        <v>532</v>
      </c>
      <c r="L1136" s="151">
        <v>452120</v>
      </c>
      <c r="M1136" s="128">
        <v>0</v>
      </c>
      <c r="N1136" s="127" t="s">
        <v>534</v>
      </c>
      <c r="O1136" s="127" t="s">
        <v>457</v>
      </c>
      <c r="P1136" s="128">
        <v>0</v>
      </c>
      <c r="Q1136" s="128">
        <v>8224900.5300000003</v>
      </c>
      <c r="R1136" s="128">
        <v>0</v>
      </c>
      <c r="S1136" s="128">
        <v>0</v>
      </c>
      <c r="T1136" s="128">
        <v>0</v>
      </c>
      <c r="U1136" s="128">
        <v>8224900.5300000003</v>
      </c>
      <c r="V1136" s="128">
        <v>0</v>
      </c>
      <c r="W1136" s="128">
        <v>8224900.5300000003</v>
      </c>
      <c r="X1136" s="128">
        <v>0</v>
      </c>
      <c r="Y1136" s="128">
        <v>0</v>
      </c>
      <c r="Z1136" s="128">
        <v>0</v>
      </c>
      <c r="AA1136" s="128">
        <v>8224900.5300000003</v>
      </c>
      <c r="AB1136" s="126">
        <f t="shared" si="120"/>
        <v>-0.822490053</v>
      </c>
      <c r="AC1136" s="122" t="s">
        <v>1838</v>
      </c>
      <c r="AD1136" s="123">
        <f t="shared" si="123"/>
        <v>-1.1832299720000001</v>
      </c>
    </row>
    <row r="1137" spans="1:30" ht="12.75" hidden="1" customHeight="1">
      <c r="A1137" s="125" t="str">
        <f t="shared" si="117"/>
        <v>LIC174Amort. Income - ZCB</v>
      </c>
      <c r="B1137" s="125">
        <f>+IFERROR(VLOOKUP(L1137,'TB mapping'!A:D,4,0),0)</f>
        <v>0</v>
      </c>
      <c r="C1137" s="125">
        <f>+IFERROR(VLOOKUP(L1137,'TB mapping'!A:C,3,0),0)</f>
        <v>5.2</v>
      </c>
      <c r="D1137" s="125" t="str">
        <f t="shared" si="118"/>
        <v>LIC1740</v>
      </c>
      <c r="E1137" s="125" t="str">
        <f t="shared" si="119"/>
        <v>LIC1745.2</v>
      </c>
      <c r="F1137" s="158" t="str">
        <f>+VLOOKUP(H1137,'code mapping'!A:C,3,0)</f>
        <v>LIC174</v>
      </c>
      <c r="G1137" s="127" t="s">
        <v>453</v>
      </c>
      <c r="H1137" s="127" t="s">
        <v>616</v>
      </c>
      <c r="I1137" s="127" t="s">
        <v>617</v>
      </c>
      <c r="J1137" s="128">
        <v>450000</v>
      </c>
      <c r="K1137" s="127" t="s">
        <v>532</v>
      </c>
      <c r="L1137" s="151">
        <v>452145</v>
      </c>
      <c r="M1137" s="128">
        <v>0</v>
      </c>
      <c r="N1137" s="127" t="s">
        <v>613</v>
      </c>
      <c r="O1137" s="127" t="s">
        <v>457</v>
      </c>
      <c r="P1137" s="128">
        <v>0</v>
      </c>
      <c r="Q1137" s="128">
        <v>1917311.4300000004</v>
      </c>
      <c r="R1137" s="128">
        <v>0</v>
      </c>
      <c r="S1137" s="128">
        <v>0</v>
      </c>
      <c r="T1137" s="128">
        <v>0</v>
      </c>
      <c r="U1137" s="128">
        <v>1917311.4300000004</v>
      </c>
      <c r="V1137" s="128">
        <v>0</v>
      </c>
      <c r="W1137" s="128">
        <v>1917311.4300000004</v>
      </c>
      <c r="X1137" s="128">
        <v>0</v>
      </c>
      <c r="Y1137" s="128">
        <v>0</v>
      </c>
      <c r="Z1137" s="128">
        <v>0</v>
      </c>
      <c r="AA1137" s="128">
        <v>1917311.4300000004</v>
      </c>
      <c r="AB1137" s="126">
        <f t="shared" si="120"/>
        <v>-0.19173114300000005</v>
      </c>
      <c r="AC1137" s="122" t="s">
        <v>1838</v>
      </c>
      <c r="AD1137" s="123">
        <f t="shared" si="123"/>
        <v>-1.1832299720000001</v>
      </c>
    </row>
    <row r="1138" spans="1:30" ht="12.75" hidden="1" customHeight="1">
      <c r="A1138" s="125" t="str">
        <f t="shared" si="117"/>
        <v>LIC174Amort. Income - CBLO</v>
      </c>
      <c r="B1138" s="125">
        <f>+IFERROR(VLOOKUP(L1138,'TB mapping'!A:D,4,0),0)</f>
        <v>0</v>
      </c>
      <c r="C1138" s="125">
        <f>+IFERROR(VLOOKUP(L1138,'TB mapping'!A:C,3,0),0)</f>
        <v>5.2</v>
      </c>
      <c r="D1138" s="125" t="str">
        <f t="shared" si="118"/>
        <v>LIC1740</v>
      </c>
      <c r="E1138" s="125" t="str">
        <f t="shared" si="119"/>
        <v>LIC1745.2</v>
      </c>
      <c r="F1138" s="158" t="str">
        <f>+VLOOKUP(H1138,'code mapping'!A:C,3,0)</f>
        <v>LIC174</v>
      </c>
      <c r="G1138" s="127" t="s">
        <v>453</v>
      </c>
      <c r="H1138" s="127" t="s">
        <v>616</v>
      </c>
      <c r="I1138" s="127" t="s">
        <v>617</v>
      </c>
      <c r="J1138" s="128">
        <v>450000</v>
      </c>
      <c r="K1138" s="127" t="s">
        <v>532</v>
      </c>
      <c r="L1138" s="151">
        <v>452228</v>
      </c>
      <c r="M1138" s="128">
        <v>0</v>
      </c>
      <c r="N1138" s="127" t="s">
        <v>537</v>
      </c>
      <c r="O1138" s="127" t="s">
        <v>457</v>
      </c>
      <c r="P1138" s="128">
        <v>0</v>
      </c>
      <c r="Q1138" s="128">
        <v>1690087.76</v>
      </c>
      <c r="R1138" s="128">
        <v>0</v>
      </c>
      <c r="S1138" s="128">
        <v>0</v>
      </c>
      <c r="T1138" s="128">
        <v>0</v>
      </c>
      <c r="U1138" s="128">
        <v>1690087.76</v>
      </c>
      <c r="V1138" s="128">
        <v>0</v>
      </c>
      <c r="W1138" s="128">
        <v>1690087.76</v>
      </c>
      <c r="X1138" s="128">
        <v>0</v>
      </c>
      <c r="Y1138" s="128">
        <v>0</v>
      </c>
      <c r="Z1138" s="128">
        <v>0</v>
      </c>
      <c r="AA1138" s="128">
        <v>1690087.76</v>
      </c>
      <c r="AB1138" s="126">
        <f t="shared" si="120"/>
        <v>-0.169008776</v>
      </c>
      <c r="AC1138" s="122" t="s">
        <v>1838</v>
      </c>
      <c r="AD1138" s="123">
        <f t="shared" si="123"/>
        <v>-1.1832299720000001</v>
      </c>
    </row>
    <row r="1139" spans="1:30" ht="12.75" hidden="1" customHeight="1">
      <c r="A1139" s="125" t="str">
        <f t="shared" si="117"/>
        <v>LIC174Other Income</v>
      </c>
      <c r="B1139" s="125">
        <f>+IFERROR(VLOOKUP(L1139,'TB mapping'!A:D,4,0),0)</f>
        <v>0</v>
      </c>
      <c r="C1139" s="125">
        <f>+IFERROR(VLOOKUP(L1139,'TB mapping'!A:C,3,0),0)</f>
        <v>5.5</v>
      </c>
      <c r="D1139" s="125" t="str">
        <f t="shared" si="118"/>
        <v>LIC1740</v>
      </c>
      <c r="E1139" s="125" t="str">
        <f t="shared" si="119"/>
        <v>LIC1745.5</v>
      </c>
      <c r="F1139" s="158" t="str">
        <f>+VLOOKUP(H1139,'code mapping'!A:C,3,0)</f>
        <v>LIC174</v>
      </c>
      <c r="G1139" s="127" t="s">
        <v>453</v>
      </c>
      <c r="H1139" s="127" t="s">
        <v>616</v>
      </c>
      <c r="I1139" s="127" t="s">
        <v>617</v>
      </c>
      <c r="J1139" s="128">
        <v>460000</v>
      </c>
      <c r="K1139" s="127" t="s">
        <v>539</v>
      </c>
      <c r="L1139" s="151">
        <v>460000</v>
      </c>
      <c r="M1139" s="128">
        <v>0</v>
      </c>
      <c r="N1139" s="127" t="s">
        <v>541</v>
      </c>
      <c r="O1139" s="127" t="s">
        <v>457</v>
      </c>
      <c r="P1139" s="128">
        <v>-707.45</v>
      </c>
      <c r="Q1139" s="128">
        <v>0</v>
      </c>
      <c r="R1139" s="128">
        <v>0</v>
      </c>
      <c r="S1139" s="128">
        <v>0</v>
      </c>
      <c r="T1139" s="128">
        <v>-707.45</v>
      </c>
      <c r="U1139" s="128">
        <v>0</v>
      </c>
      <c r="V1139" s="128">
        <v>-707.45</v>
      </c>
      <c r="W1139" s="128">
        <v>0</v>
      </c>
      <c r="X1139" s="128">
        <v>0</v>
      </c>
      <c r="Y1139" s="128">
        <v>0</v>
      </c>
      <c r="Z1139" s="128">
        <v>-707.45</v>
      </c>
      <c r="AA1139" s="128">
        <v>0</v>
      </c>
      <c r="AB1139" s="126">
        <f t="shared" si="120"/>
        <v>7.0745000000000001E-5</v>
      </c>
      <c r="AC1139" s="122" t="s">
        <v>1838</v>
      </c>
      <c r="AD1139" s="123">
        <f t="shared" si="123"/>
        <v>7.0745000000000001E-5</v>
      </c>
    </row>
    <row r="1140" spans="1:30" ht="12.75" hidden="1" customHeight="1">
      <c r="A1140" s="125" t="str">
        <f t="shared" si="117"/>
        <v>LIC174Interplan Adjustment- RG</v>
      </c>
      <c r="B1140" s="125">
        <f>+IFERROR(VLOOKUP(L1140,'TB mapping'!A:D,4,0),0)</f>
        <v>0</v>
      </c>
      <c r="C1140" s="125">
        <f>+IFERROR(VLOOKUP(L1140,'TB mapping'!A:C,3,0),0)</f>
        <v>5.5</v>
      </c>
      <c r="D1140" s="125" t="str">
        <f t="shared" si="118"/>
        <v>LIC1740</v>
      </c>
      <c r="E1140" s="125" t="str">
        <f t="shared" si="119"/>
        <v>LIC1745.5</v>
      </c>
      <c r="F1140" s="158" t="str">
        <f>+VLOOKUP(H1140,'code mapping'!A:C,3,0)</f>
        <v>LIC174</v>
      </c>
      <c r="G1140" s="127" t="s">
        <v>453</v>
      </c>
      <c r="H1140" s="127" t="s">
        <v>616</v>
      </c>
      <c r="I1140" s="127" t="s">
        <v>617</v>
      </c>
      <c r="J1140" s="128">
        <v>460000</v>
      </c>
      <c r="K1140" s="127" t="s">
        <v>539</v>
      </c>
      <c r="L1140" s="151">
        <v>460101</v>
      </c>
      <c r="M1140" s="128">
        <v>0</v>
      </c>
      <c r="N1140" s="127" t="s">
        <v>542</v>
      </c>
      <c r="O1140" s="127" t="s">
        <v>457</v>
      </c>
      <c r="P1140" s="128">
        <v>-0.03</v>
      </c>
      <c r="Q1140" s="128">
        <v>0</v>
      </c>
      <c r="R1140" s="128">
        <v>0</v>
      </c>
      <c r="S1140" s="128">
        <v>0</v>
      </c>
      <c r="T1140" s="128">
        <v>-0.03</v>
      </c>
      <c r="U1140" s="128">
        <v>0</v>
      </c>
      <c r="V1140" s="128">
        <v>-0.03</v>
      </c>
      <c r="W1140" s="128">
        <v>0</v>
      </c>
      <c r="X1140" s="128">
        <v>0</v>
      </c>
      <c r="Y1140" s="128">
        <v>0</v>
      </c>
      <c r="Z1140" s="128">
        <v>-0.03</v>
      </c>
      <c r="AA1140" s="128">
        <v>0</v>
      </c>
      <c r="AB1140" s="126">
        <f t="shared" si="120"/>
        <v>3E-9</v>
      </c>
      <c r="AC1140" s="122" t="s">
        <v>1838</v>
      </c>
      <c r="AD1140" s="123">
        <f t="shared" si="123"/>
        <v>7.0745000000000001E-5</v>
      </c>
    </row>
    <row r="1141" spans="1:30" ht="12.75" hidden="1" customHeight="1">
      <c r="A1141" s="125" t="str">
        <f t="shared" si="117"/>
        <v>LIC174Interplan Adjustment- DDP</v>
      </c>
      <c r="B1141" s="125">
        <f>+IFERROR(VLOOKUP(L1141,'TB mapping'!A:D,4,0),0)</f>
        <v>0</v>
      </c>
      <c r="C1141" s="125">
        <f>+IFERROR(VLOOKUP(L1141,'TB mapping'!A:C,3,0),0)</f>
        <v>5.5</v>
      </c>
      <c r="D1141" s="125" t="str">
        <f t="shared" si="118"/>
        <v>LIC1740</v>
      </c>
      <c r="E1141" s="125" t="str">
        <f t="shared" si="119"/>
        <v>LIC1745.5</v>
      </c>
      <c r="F1141" s="158" t="str">
        <f>+VLOOKUP(H1141,'code mapping'!A:C,3,0)</f>
        <v>LIC174</v>
      </c>
      <c r="G1141" s="127" t="s">
        <v>453</v>
      </c>
      <c r="H1141" s="127" t="s">
        <v>616</v>
      </c>
      <c r="I1141" s="127" t="s">
        <v>617</v>
      </c>
      <c r="J1141" s="128">
        <v>460000</v>
      </c>
      <c r="K1141" s="127" t="s">
        <v>539</v>
      </c>
      <c r="L1141" s="151">
        <v>460144</v>
      </c>
      <c r="M1141" s="128">
        <v>0</v>
      </c>
      <c r="N1141" s="127" t="s">
        <v>545</v>
      </c>
      <c r="O1141" s="127" t="s">
        <v>457</v>
      </c>
      <c r="P1141" s="128">
        <v>0</v>
      </c>
      <c r="Q1141" s="128">
        <v>0.03</v>
      </c>
      <c r="R1141" s="128">
        <v>0</v>
      </c>
      <c r="S1141" s="128">
        <v>0</v>
      </c>
      <c r="T1141" s="128">
        <v>0</v>
      </c>
      <c r="U1141" s="128">
        <v>0.03</v>
      </c>
      <c r="V1141" s="128">
        <v>0</v>
      </c>
      <c r="W1141" s="128">
        <v>0.03</v>
      </c>
      <c r="X1141" s="128">
        <v>0</v>
      </c>
      <c r="Y1141" s="128">
        <v>0</v>
      </c>
      <c r="Z1141" s="128">
        <v>0</v>
      </c>
      <c r="AA1141" s="128">
        <v>0.03</v>
      </c>
      <c r="AB1141" s="126">
        <f t="shared" si="120"/>
        <v>-3E-9</v>
      </c>
      <c r="AC1141" s="122" t="s">
        <v>1838</v>
      </c>
      <c r="AD1141" s="123">
        <f t="shared" si="123"/>
        <v>7.0745000000000001E-5</v>
      </c>
    </row>
    <row r="1142" spans="1:30" ht="12.75" hidden="1" customHeight="1">
      <c r="A1142" s="125" t="str">
        <f t="shared" si="117"/>
        <v>LIC174R/L L/P - Equities</v>
      </c>
      <c r="B1142" s="125">
        <f>+IFERROR(VLOOKUP(L1142,'TB mapping'!A:D,4,0),0)</f>
        <v>0</v>
      </c>
      <c r="C1142" s="125">
        <f>+IFERROR(VLOOKUP(L1142,'TB mapping'!A:C,3,0),0)</f>
        <v>5.3</v>
      </c>
      <c r="D1142" s="125" t="str">
        <f t="shared" si="118"/>
        <v>LIC1740</v>
      </c>
      <c r="E1142" s="125" t="str">
        <f t="shared" si="119"/>
        <v>LIC1745.3</v>
      </c>
      <c r="F1142" s="158" t="str">
        <f>+VLOOKUP(H1142,'code mapping'!A:C,3,0)</f>
        <v>LIC174</v>
      </c>
      <c r="G1142" s="127" t="s">
        <v>453</v>
      </c>
      <c r="H1142" s="127" t="s">
        <v>616</v>
      </c>
      <c r="I1142" s="127" t="s">
        <v>617</v>
      </c>
      <c r="J1142" s="128">
        <v>510000</v>
      </c>
      <c r="K1142" s="127" t="s">
        <v>546</v>
      </c>
      <c r="L1142" s="151">
        <v>511100</v>
      </c>
      <c r="M1142" s="128">
        <v>0</v>
      </c>
      <c r="N1142" s="127" t="s">
        <v>599</v>
      </c>
      <c r="O1142" s="127" t="s">
        <v>457</v>
      </c>
      <c r="P1142" s="128">
        <v>-1507921.33</v>
      </c>
      <c r="Q1142" s="128">
        <v>0</v>
      </c>
      <c r="R1142" s="128">
        <v>0</v>
      </c>
      <c r="S1142" s="128">
        <v>0</v>
      </c>
      <c r="T1142" s="128">
        <v>-1507921.33</v>
      </c>
      <c r="U1142" s="128">
        <v>0</v>
      </c>
      <c r="V1142" s="128">
        <v>-1507921.33</v>
      </c>
      <c r="W1142" s="128">
        <v>0</v>
      </c>
      <c r="X1142" s="128">
        <v>0</v>
      </c>
      <c r="Y1142" s="128">
        <v>0</v>
      </c>
      <c r="Z1142" s="128">
        <v>-1507921.33</v>
      </c>
      <c r="AA1142" s="128">
        <v>0</v>
      </c>
      <c r="AB1142" s="126">
        <f t="shared" si="120"/>
        <v>0.15079213299999999</v>
      </c>
      <c r="AC1142" s="122" t="s">
        <v>1838</v>
      </c>
      <c r="AD1142" s="123">
        <f t="shared" si="123"/>
        <v>-0.59705023000000002</v>
      </c>
    </row>
    <row r="1143" spans="1:30" ht="12.75" hidden="1" customHeight="1">
      <c r="A1143" s="125" t="str">
        <f t="shared" si="117"/>
        <v>LIC174SEBI Fees</v>
      </c>
      <c r="B1143" s="125">
        <f>+IFERROR(VLOOKUP(L1143,'TB mapping'!A:D,4,0),0)</f>
        <v>0</v>
      </c>
      <c r="C1143" s="125">
        <f>+IFERROR(VLOOKUP(L1143,'TB mapping'!A:C,3,0),0)</f>
        <v>6.3</v>
      </c>
      <c r="D1143" s="125" t="str">
        <f t="shared" si="118"/>
        <v>LIC1740</v>
      </c>
      <c r="E1143" s="125" t="str">
        <f t="shared" si="119"/>
        <v>LIC1746.3</v>
      </c>
      <c r="F1143" s="158" t="str">
        <f>+VLOOKUP(H1143,'code mapping'!A:C,3,0)</f>
        <v>LIC174</v>
      </c>
      <c r="G1143" s="127" t="s">
        <v>453</v>
      </c>
      <c r="H1143" s="127" t="s">
        <v>616</v>
      </c>
      <c r="I1143" s="127" t="s">
        <v>617</v>
      </c>
      <c r="J1143" s="128">
        <v>550000</v>
      </c>
      <c r="K1143" s="127" t="s">
        <v>550</v>
      </c>
      <c r="L1143" s="151">
        <v>553007</v>
      </c>
      <c r="M1143" s="128">
        <v>0</v>
      </c>
      <c r="N1143" s="127" t="s">
        <v>551</v>
      </c>
      <c r="O1143" s="127" t="s">
        <v>457</v>
      </c>
      <c r="P1143" s="128">
        <v>-2845.35</v>
      </c>
      <c r="Q1143" s="128">
        <v>0</v>
      </c>
      <c r="R1143" s="128">
        <v>0</v>
      </c>
      <c r="S1143" s="128">
        <v>0</v>
      </c>
      <c r="T1143" s="128">
        <v>-2845.35</v>
      </c>
      <c r="U1143" s="128">
        <v>0</v>
      </c>
      <c r="V1143" s="128">
        <v>-2845.35</v>
      </c>
      <c r="W1143" s="128">
        <v>0</v>
      </c>
      <c r="X1143" s="128">
        <v>0</v>
      </c>
      <c r="Y1143" s="128">
        <v>0</v>
      </c>
      <c r="Z1143" s="128">
        <v>-2845.35</v>
      </c>
      <c r="AA1143" s="128">
        <v>0</v>
      </c>
      <c r="AB1143" s="126">
        <f t="shared" si="120"/>
        <v>2.8453499999999999E-4</v>
      </c>
      <c r="AC1143" s="122" t="s">
        <v>1838</v>
      </c>
      <c r="AD1143" s="123">
        <f t="shared" si="123"/>
        <v>0.51316004900000001</v>
      </c>
    </row>
    <row r="1144" spans="1:30" ht="12.75" hidden="1" customHeight="1">
      <c r="A1144" s="125" t="str">
        <f t="shared" si="117"/>
        <v>LIC174Audit Fee</v>
      </c>
      <c r="B1144" s="125">
        <f>+IFERROR(VLOOKUP(L1144,'TB mapping'!A:D,4,0),0)</f>
        <v>0</v>
      </c>
      <c r="C1144" s="125">
        <f>+IFERROR(VLOOKUP(L1144,'TB mapping'!A:C,3,0),0)</f>
        <v>6.3</v>
      </c>
      <c r="D1144" s="125" t="str">
        <f t="shared" si="118"/>
        <v>LIC1740</v>
      </c>
      <c r="E1144" s="125" t="str">
        <f t="shared" si="119"/>
        <v>LIC1746.3</v>
      </c>
      <c r="F1144" s="158" t="str">
        <f>+VLOOKUP(H1144,'code mapping'!A:C,3,0)</f>
        <v>LIC174</v>
      </c>
      <c r="G1144" s="127" t="s">
        <v>453</v>
      </c>
      <c r="H1144" s="127" t="s">
        <v>616</v>
      </c>
      <c r="I1144" s="127" t="s">
        <v>617</v>
      </c>
      <c r="J1144" s="128">
        <v>550000</v>
      </c>
      <c r="K1144" s="127" t="s">
        <v>550</v>
      </c>
      <c r="L1144" s="151">
        <v>553105</v>
      </c>
      <c r="M1144" s="128">
        <v>0</v>
      </c>
      <c r="N1144" s="127" t="s">
        <v>552</v>
      </c>
      <c r="O1144" s="127" t="s">
        <v>457</v>
      </c>
      <c r="P1144" s="128">
        <v>-11879.43</v>
      </c>
      <c r="Q1144" s="128">
        <v>0</v>
      </c>
      <c r="R1144" s="128">
        <v>0</v>
      </c>
      <c r="S1144" s="128">
        <v>0</v>
      </c>
      <c r="T1144" s="128">
        <v>-11879.43</v>
      </c>
      <c r="U1144" s="128">
        <v>0</v>
      </c>
      <c r="V1144" s="128">
        <v>-11879.43</v>
      </c>
      <c r="W1144" s="128">
        <v>0</v>
      </c>
      <c r="X1144" s="128">
        <v>0</v>
      </c>
      <c r="Y1144" s="128">
        <v>0</v>
      </c>
      <c r="Z1144" s="128">
        <v>-11879.43</v>
      </c>
      <c r="AA1144" s="128">
        <v>0</v>
      </c>
      <c r="AB1144" s="126">
        <f t="shared" si="120"/>
        <v>1.1879430000000001E-3</v>
      </c>
      <c r="AC1144" s="122" t="s">
        <v>1838</v>
      </c>
      <c r="AD1144" s="123">
        <f t="shared" si="123"/>
        <v>0.51316004900000001</v>
      </c>
    </row>
    <row r="1145" spans="1:30" ht="12.75" hidden="1" customHeight="1">
      <c r="A1145" s="125" t="str">
        <f t="shared" ref="A1145:A1208" si="124">+F1145&amp;N1145</f>
        <v>LIC174Custody Fee</v>
      </c>
      <c r="B1145" s="125">
        <f>+IFERROR(VLOOKUP(L1145,'TB mapping'!A:D,4,0),0)</f>
        <v>0</v>
      </c>
      <c r="C1145" s="125">
        <f>+IFERROR(VLOOKUP(L1145,'TB mapping'!A:C,3,0),0)</f>
        <v>6.3</v>
      </c>
      <c r="D1145" s="125" t="str">
        <f t="shared" ref="D1145:D1208" si="125">+F1145&amp;B1145</f>
        <v>LIC1740</v>
      </c>
      <c r="E1145" s="125" t="str">
        <f t="shared" ref="E1145:E1208" si="126">+F1145&amp;C1145</f>
        <v>LIC1746.3</v>
      </c>
      <c r="F1145" s="158" t="str">
        <f>+VLOOKUP(H1145,'code mapping'!A:C,3,0)</f>
        <v>LIC174</v>
      </c>
      <c r="G1145" s="127" t="s">
        <v>453</v>
      </c>
      <c r="H1145" s="127" t="s">
        <v>616</v>
      </c>
      <c r="I1145" s="127" t="s">
        <v>617</v>
      </c>
      <c r="J1145" s="128">
        <v>550000</v>
      </c>
      <c r="K1145" s="127" t="s">
        <v>550</v>
      </c>
      <c r="L1145" s="151">
        <v>553107</v>
      </c>
      <c r="M1145" s="128">
        <v>0</v>
      </c>
      <c r="N1145" s="127" t="s">
        <v>553</v>
      </c>
      <c r="O1145" s="127" t="s">
        <v>457</v>
      </c>
      <c r="P1145" s="128">
        <v>-23134.95</v>
      </c>
      <c r="Q1145" s="128">
        <v>0</v>
      </c>
      <c r="R1145" s="128">
        <v>0</v>
      </c>
      <c r="S1145" s="128">
        <v>0</v>
      </c>
      <c r="T1145" s="128">
        <v>-23134.95</v>
      </c>
      <c r="U1145" s="128">
        <v>0</v>
      </c>
      <c r="V1145" s="128">
        <v>-23134.95</v>
      </c>
      <c r="W1145" s="128">
        <v>0</v>
      </c>
      <c r="X1145" s="128">
        <v>0</v>
      </c>
      <c r="Y1145" s="128">
        <v>0</v>
      </c>
      <c r="Z1145" s="128">
        <v>-23134.95</v>
      </c>
      <c r="AA1145" s="128">
        <v>0</v>
      </c>
      <c r="AB1145" s="126">
        <f t="shared" ref="AB1145:AB1208" si="127">SUM(-Z1145-AA1145)/10^7</f>
        <v>2.313495E-3</v>
      </c>
      <c r="AC1145" s="122" t="s">
        <v>1838</v>
      </c>
      <c r="AD1145" s="123">
        <f t="shared" si="123"/>
        <v>0.51316004900000001</v>
      </c>
    </row>
    <row r="1146" spans="1:30" ht="12.75" hidden="1" customHeight="1">
      <c r="A1146" s="125" t="str">
        <f t="shared" si="124"/>
        <v>LIC174Expense Allocation Account</v>
      </c>
      <c r="B1146" s="125">
        <f>+IFERROR(VLOOKUP(L1146,'TB mapping'!A:D,4,0),0)</f>
        <v>0</v>
      </c>
      <c r="C1146" s="125">
        <f>+IFERROR(VLOOKUP(L1146,'TB mapping'!A:C,3,0),0)</f>
        <v>6.3</v>
      </c>
      <c r="D1146" s="125" t="str">
        <f t="shared" si="125"/>
        <v>LIC1740</v>
      </c>
      <c r="E1146" s="125" t="str">
        <f t="shared" si="126"/>
        <v>LIC1746.3</v>
      </c>
      <c r="F1146" s="158" t="str">
        <f>+VLOOKUP(H1146,'code mapping'!A:C,3,0)</f>
        <v>LIC174</v>
      </c>
      <c r="G1146" s="127" t="s">
        <v>453</v>
      </c>
      <c r="H1146" s="127" t="s">
        <v>616</v>
      </c>
      <c r="I1146" s="127" t="s">
        <v>617</v>
      </c>
      <c r="J1146" s="128">
        <v>550000</v>
      </c>
      <c r="K1146" s="127" t="s">
        <v>550</v>
      </c>
      <c r="L1146" s="151">
        <v>553111</v>
      </c>
      <c r="M1146" s="128">
        <v>0</v>
      </c>
      <c r="N1146" s="127" t="s">
        <v>554</v>
      </c>
      <c r="O1146" s="127" t="s">
        <v>457</v>
      </c>
      <c r="P1146" s="128">
        <v>0</v>
      </c>
      <c r="Q1146" s="128">
        <v>98355.8</v>
      </c>
      <c r="R1146" s="128">
        <v>0</v>
      </c>
      <c r="S1146" s="128">
        <v>0</v>
      </c>
      <c r="T1146" s="128">
        <v>0</v>
      </c>
      <c r="U1146" s="128">
        <v>98355.8</v>
      </c>
      <c r="V1146" s="128">
        <v>0</v>
      </c>
      <c r="W1146" s="128">
        <v>98355.8</v>
      </c>
      <c r="X1146" s="128">
        <v>0</v>
      </c>
      <c r="Y1146" s="128">
        <v>0</v>
      </c>
      <c r="Z1146" s="128">
        <v>0</v>
      </c>
      <c r="AA1146" s="128">
        <v>98355.8</v>
      </c>
      <c r="AB1146" s="126">
        <f t="shared" si="127"/>
        <v>-9.83558E-3</v>
      </c>
      <c r="AC1146" s="122" t="s">
        <v>1838</v>
      </c>
      <c r="AD1146" s="123">
        <f t="shared" si="123"/>
        <v>0.51316004900000001</v>
      </c>
    </row>
    <row r="1147" spans="1:30" ht="12.75" hidden="1" customHeight="1">
      <c r="A1147" s="125" t="str">
        <f t="shared" si="124"/>
        <v>LIC174Trustee Fee</v>
      </c>
      <c r="B1147" s="125">
        <f>+IFERROR(VLOOKUP(L1147,'TB mapping'!A:D,4,0),0)</f>
        <v>6.2</v>
      </c>
      <c r="C1147" s="125">
        <f>+IFERROR(VLOOKUP(L1147,'TB mapping'!A:C,3,0),0)</f>
        <v>6.3</v>
      </c>
      <c r="D1147" s="125" t="str">
        <f t="shared" si="125"/>
        <v>LIC1746.2</v>
      </c>
      <c r="E1147" s="125" t="str">
        <f t="shared" si="126"/>
        <v>LIC1746.3</v>
      </c>
      <c r="F1147" s="158" t="str">
        <f>+VLOOKUP(H1147,'code mapping'!A:C,3,0)</f>
        <v>LIC174</v>
      </c>
      <c r="G1147" s="127" t="s">
        <v>453</v>
      </c>
      <c r="H1147" s="127" t="s">
        <v>616</v>
      </c>
      <c r="I1147" s="127" t="s">
        <v>617</v>
      </c>
      <c r="J1147" s="128">
        <v>550000</v>
      </c>
      <c r="K1147" s="127" t="s">
        <v>550</v>
      </c>
      <c r="L1147" s="151">
        <v>553131</v>
      </c>
      <c r="M1147" s="128">
        <v>0</v>
      </c>
      <c r="N1147" s="127" t="s">
        <v>555</v>
      </c>
      <c r="O1147" s="127" t="s">
        <v>457</v>
      </c>
      <c r="P1147" s="128">
        <v>-2358.2400000000002</v>
      </c>
      <c r="Q1147" s="128">
        <v>0</v>
      </c>
      <c r="R1147" s="128">
        <v>0</v>
      </c>
      <c r="S1147" s="128">
        <v>0</v>
      </c>
      <c r="T1147" s="128">
        <v>-2358.2400000000002</v>
      </c>
      <c r="U1147" s="128">
        <v>0</v>
      </c>
      <c r="V1147" s="128">
        <v>-2358.2400000000002</v>
      </c>
      <c r="W1147" s="128">
        <v>0</v>
      </c>
      <c r="X1147" s="128">
        <v>0</v>
      </c>
      <c r="Y1147" s="128">
        <v>0</v>
      </c>
      <c r="Z1147" s="128">
        <v>-2358.2400000000002</v>
      </c>
      <c r="AA1147" s="128">
        <v>0</v>
      </c>
      <c r="AB1147" s="126">
        <f t="shared" si="127"/>
        <v>2.3582400000000001E-4</v>
      </c>
      <c r="AC1147" s="122" t="s">
        <v>1838</v>
      </c>
      <c r="AD1147" s="123">
        <f t="shared" si="123"/>
        <v>0.51316004900000001</v>
      </c>
    </row>
    <row r="1148" spans="1:30" ht="12.75" hidden="1" customHeight="1">
      <c r="A1148" s="125" t="str">
        <f t="shared" si="124"/>
        <v>LIC174Investor Education Fund Exps</v>
      </c>
      <c r="B1148" s="125">
        <f>+IFERROR(VLOOKUP(L1148,'TB mapping'!A:D,4,0),0)</f>
        <v>0</v>
      </c>
      <c r="C1148" s="125">
        <f>+IFERROR(VLOOKUP(L1148,'TB mapping'!A:C,3,0),0)</f>
        <v>6.3</v>
      </c>
      <c r="D1148" s="125" t="str">
        <f t="shared" si="125"/>
        <v>LIC1740</v>
      </c>
      <c r="E1148" s="125" t="str">
        <f t="shared" si="126"/>
        <v>LIC1746.3</v>
      </c>
      <c r="F1148" s="158" t="str">
        <f>+VLOOKUP(H1148,'code mapping'!A:C,3,0)</f>
        <v>LIC174</v>
      </c>
      <c r="G1148" s="127" t="s">
        <v>453</v>
      </c>
      <c r="H1148" s="127" t="s">
        <v>616</v>
      </c>
      <c r="I1148" s="127" t="s">
        <v>617</v>
      </c>
      <c r="J1148" s="128">
        <v>550000</v>
      </c>
      <c r="K1148" s="127" t="s">
        <v>550</v>
      </c>
      <c r="L1148" s="151">
        <v>553171</v>
      </c>
      <c r="M1148" s="128">
        <v>0</v>
      </c>
      <c r="N1148" s="127" t="s">
        <v>557</v>
      </c>
      <c r="O1148" s="127" t="s">
        <v>457</v>
      </c>
      <c r="P1148" s="128">
        <v>-24448.41</v>
      </c>
      <c r="Q1148" s="128">
        <v>0</v>
      </c>
      <c r="R1148" s="128">
        <v>0</v>
      </c>
      <c r="S1148" s="128">
        <v>0</v>
      </c>
      <c r="T1148" s="128">
        <v>-24448.41</v>
      </c>
      <c r="U1148" s="128">
        <v>0</v>
      </c>
      <c r="V1148" s="128">
        <v>-24448.41</v>
      </c>
      <c r="W1148" s="128">
        <v>0</v>
      </c>
      <c r="X1148" s="128">
        <v>0</v>
      </c>
      <c r="Y1148" s="128">
        <v>0</v>
      </c>
      <c r="Z1148" s="128">
        <v>-24448.41</v>
      </c>
      <c r="AA1148" s="128">
        <v>0</v>
      </c>
      <c r="AB1148" s="126">
        <f t="shared" si="127"/>
        <v>2.4448410000000001E-3</v>
      </c>
      <c r="AC1148" s="122" t="s">
        <v>1838</v>
      </c>
      <c r="AD1148" s="123">
        <f t="shared" si="123"/>
        <v>0.51316004900000001</v>
      </c>
    </row>
    <row r="1149" spans="1:30" ht="12.75" hidden="1" customHeight="1">
      <c r="A1149" s="125" t="str">
        <f t="shared" si="124"/>
        <v>LIC174Service Tax on Management Fees</v>
      </c>
      <c r="B1149" s="125">
        <f>+IFERROR(VLOOKUP(L1149,'TB mapping'!A:D,4,0),0)</f>
        <v>6.1</v>
      </c>
      <c r="C1149" s="125">
        <f>+IFERROR(VLOOKUP(L1149,'TB mapping'!A:C,3,0),0)</f>
        <v>6.3</v>
      </c>
      <c r="D1149" s="125" t="str">
        <f t="shared" si="125"/>
        <v>LIC1746.1</v>
      </c>
      <c r="E1149" s="125" t="str">
        <f t="shared" si="126"/>
        <v>LIC1746.3</v>
      </c>
      <c r="F1149" s="158" t="str">
        <f>+VLOOKUP(H1149,'code mapping'!A:C,3,0)</f>
        <v>LIC174</v>
      </c>
      <c r="G1149" s="127" t="s">
        <v>453</v>
      </c>
      <c r="H1149" s="127" t="s">
        <v>616</v>
      </c>
      <c r="I1149" s="127" t="s">
        <v>617</v>
      </c>
      <c r="J1149" s="128">
        <v>550000</v>
      </c>
      <c r="K1149" s="127" t="s">
        <v>550</v>
      </c>
      <c r="L1149" s="151">
        <v>553172</v>
      </c>
      <c r="M1149" s="128">
        <v>0</v>
      </c>
      <c r="N1149" s="127" t="s">
        <v>558</v>
      </c>
      <c r="O1149" s="127" t="s">
        <v>457</v>
      </c>
      <c r="P1149" s="128">
        <v>-96675.33</v>
      </c>
      <c r="Q1149" s="128">
        <v>0</v>
      </c>
      <c r="R1149" s="128">
        <v>0</v>
      </c>
      <c r="S1149" s="128">
        <v>0</v>
      </c>
      <c r="T1149" s="128">
        <v>-96675.33</v>
      </c>
      <c r="U1149" s="128">
        <v>0</v>
      </c>
      <c r="V1149" s="128">
        <v>-96675.33</v>
      </c>
      <c r="W1149" s="128">
        <v>0</v>
      </c>
      <c r="X1149" s="128">
        <v>0</v>
      </c>
      <c r="Y1149" s="128">
        <v>0</v>
      </c>
      <c r="Z1149" s="128">
        <v>-96675.33</v>
      </c>
      <c r="AA1149" s="128">
        <v>0</v>
      </c>
      <c r="AB1149" s="126">
        <f t="shared" si="127"/>
        <v>9.6675330000000007E-3</v>
      </c>
      <c r="AC1149" s="122" t="s">
        <v>1838</v>
      </c>
      <c r="AD1149" s="123">
        <f t="shared" si="123"/>
        <v>0.51316004900000001</v>
      </c>
    </row>
    <row r="1150" spans="1:30" ht="12.75" hidden="1" customHeight="1">
      <c r="A1150" s="125" t="str">
        <f t="shared" si="124"/>
        <v>LIC174CCIL Expenses</v>
      </c>
      <c r="B1150" s="125">
        <f>+IFERROR(VLOOKUP(L1150,'TB mapping'!A:D,4,0),0)</f>
        <v>0</v>
      </c>
      <c r="C1150" s="125">
        <f>+IFERROR(VLOOKUP(L1150,'TB mapping'!A:C,3,0),0)</f>
        <v>6.3</v>
      </c>
      <c r="D1150" s="125" t="str">
        <f t="shared" si="125"/>
        <v>LIC1740</v>
      </c>
      <c r="E1150" s="125" t="str">
        <f t="shared" si="126"/>
        <v>LIC1746.3</v>
      </c>
      <c r="F1150" s="158" t="str">
        <f>+VLOOKUP(H1150,'code mapping'!A:C,3,0)</f>
        <v>LIC174</v>
      </c>
      <c r="G1150" s="127" t="s">
        <v>453</v>
      </c>
      <c r="H1150" s="127" t="s">
        <v>616</v>
      </c>
      <c r="I1150" s="127" t="s">
        <v>617</v>
      </c>
      <c r="J1150" s="128">
        <v>550000</v>
      </c>
      <c r="K1150" s="127" t="s">
        <v>550</v>
      </c>
      <c r="L1150" s="151">
        <v>553176</v>
      </c>
      <c r="M1150" s="128">
        <v>0</v>
      </c>
      <c r="N1150" s="127" t="s">
        <v>559</v>
      </c>
      <c r="O1150" s="127" t="s">
        <v>457</v>
      </c>
      <c r="P1150" s="128">
        <v>-8173.66</v>
      </c>
      <c r="Q1150" s="128">
        <v>0</v>
      </c>
      <c r="R1150" s="128">
        <v>0</v>
      </c>
      <c r="S1150" s="128">
        <v>0</v>
      </c>
      <c r="T1150" s="128">
        <v>-8173.66</v>
      </c>
      <c r="U1150" s="128">
        <v>0</v>
      </c>
      <c r="V1150" s="128">
        <v>-8173.66</v>
      </c>
      <c r="W1150" s="128">
        <v>0</v>
      </c>
      <c r="X1150" s="128">
        <v>0</v>
      </c>
      <c r="Y1150" s="128">
        <v>0</v>
      </c>
      <c r="Z1150" s="128">
        <v>-8173.66</v>
      </c>
      <c r="AA1150" s="128">
        <v>0</v>
      </c>
      <c r="AB1150" s="126">
        <f t="shared" si="127"/>
        <v>8.1736600000000003E-4</v>
      </c>
      <c r="AC1150" s="122" t="s">
        <v>1838</v>
      </c>
      <c r="AD1150" s="123">
        <f t="shared" si="123"/>
        <v>0.51316004900000001</v>
      </c>
    </row>
    <row r="1151" spans="1:30" ht="12.75" hidden="1" customHeight="1">
      <c r="A1151" s="125" t="str">
        <f t="shared" si="124"/>
        <v>LIC174Out of Pocket Expenses - R&amp;T</v>
      </c>
      <c r="B1151" s="125">
        <f>+IFERROR(VLOOKUP(L1151,'TB mapping'!A:D,4,0),0)</f>
        <v>0</v>
      </c>
      <c r="C1151" s="125">
        <f>+IFERROR(VLOOKUP(L1151,'TB mapping'!A:C,3,0),0)</f>
        <v>6.3</v>
      </c>
      <c r="D1151" s="125" t="str">
        <f t="shared" si="125"/>
        <v>LIC1740</v>
      </c>
      <c r="E1151" s="125" t="str">
        <f t="shared" si="126"/>
        <v>LIC1746.3</v>
      </c>
      <c r="F1151" s="158" t="str">
        <f>+VLOOKUP(H1151,'code mapping'!A:C,3,0)</f>
        <v>LIC174</v>
      </c>
      <c r="G1151" s="127" t="s">
        <v>453</v>
      </c>
      <c r="H1151" s="127" t="s">
        <v>616</v>
      </c>
      <c r="I1151" s="127" t="s">
        <v>617</v>
      </c>
      <c r="J1151" s="128">
        <v>550000</v>
      </c>
      <c r="K1151" s="127" t="s">
        <v>550</v>
      </c>
      <c r="L1151" s="151">
        <v>553180</v>
      </c>
      <c r="M1151" s="128">
        <v>0</v>
      </c>
      <c r="N1151" s="127" t="s">
        <v>560</v>
      </c>
      <c r="O1151" s="127" t="s">
        <v>457</v>
      </c>
      <c r="P1151" s="128">
        <v>-4785.9000000000005</v>
      </c>
      <c r="Q1151" s="128">
        <v>0</v>
      </c>
      <c r="R1151" s="128">
        <v>0</v>
      </c>
      <c r="S1151" s="128">
        <v>0</v>
      </c>
      <c r="T1151" s="128">
        <v>-4785.9000000000005</v>
      </c>
      <c r="U1151" s="128">
        <v>0</v>
      </c>
      <c r="V1151" s="128">
        <v>-4785.9000000000005</v>
      </c>
      <c r="W1151" s="128">
        <v>0</v>
      </c>
      <c r="X1151" s="128">
        <v>0</v>
      </c>
      <c r="Y1151" s="128">
        <v>0</v>
      </c>
      <c r="Z1151" s="128">
        <v>-4785.9000000000005</v>
      </c>
      <c r="AA1151" s="128">
        <v>0</v>
      </c>
      <c r="AB1151" s="126">
        <f t="shared" si="127"/>
        <v>4.7859000000000004E-4</v>
      </c>
      <c r="AC1151" s="122" t="s">
        <v>1838</v>
      </c>
      <c r="AD1151" s="123">
        <f t="shared" si="123"/>
        <v>0.51316004900000001</v>
      </c>
    </row>
    <row r="1152" spans="1:30" ht="12.75" hidden="1" customHeight="1">
      <c r="A1152" s="125" t="str">
        <f t="shared" si="124"/>
        <v>LIC174Other Expenses</v>
      </c>
      <c r="B1152" s="125">
        <f>+IFERROR(VLOOKUP(L1152,'TB mapping'!A:D,4,0),0)</f>
        <v>0</v>
      </c>
      <c r="C1152" s="125">
        <f>+IFERROR(VLOOKUP(L1152,'TB mapping'!A:C,3,0),0)</f>
        <v>6.3</v>
      </c>
      <c r="D1152" s="125" t="str">
        <f t="shared" si="125"/>
        <v>LIC1740</v>
      </c>
      <c r="E1152" s="125" t="str">
        <f t="shared" si="126"/>
        <v>LIC1746.3</v>
      </c>
      <c r="F1152" s="158" t="str">
        <f>+VLOOKUP(H1152,'code mapping'!A:C,3,0)</f>
        <v>LIC174</v>
      </c>
      <c r="G1152" s="127" t="s">
        <v>453</v>
      </c>
      <c r="H1152" s="127" t="s">
        <v>616</v>
      </c>
      <c r="I1152" s="127" t="s">
        <v>617</v>
      </c>
      <c r="J1152" s="128">
        <v>550000</v>
      </c>
      <c r="K1152" s="127" t="s">
        <v>550</v>
      </c>
      <c r="L1152" s="151">
        <v>553190</v>
      </c>
      <c r="M1152" s="128">
        <v>0</v>
      </c>
      <c r="N1152" s="127" t="s">
        <v>561</v>
      </c>
      <c r="O1152" s="127" t="s">
        <v>457</v>
      </c>
      <c r="P1152" s="128">
        <v>-69211</v>
      </c>
      <c r="Q1152" s="128">
        <v>0</v>
      </c>
      <c r="R1152" s="128">
        <v>0</v>
      </c>
      <c r="S1152" s="128">
        <v>0</v>
      </c>
      <c r="T1152" s="128">
        <v>-69211</v>
      </c>
      <c r="U1152" s="128">
        <v>0</v>
      </c>
      <c r="V1152" s="128">
        <v>-69211</v>
      </c>
      <c r="W1152" s="128">
        <v>0</v>
      </c>
      <c r="X1152" s="128">
        <v>0</v>
      </c>
      <c r="Y1152" s="128">
        <v>0</v>
      </c>
      <c r="Z1152" s="128">
        <v>-69211</v>
      </c>
      <c r="AA1152" s="128">
        <v>0</v>
      </c>
      <c r="AB1152" s="126">
        <f t="shared" si="127"/>
        <v>6.9211000000000003E-3</v>
      </c>
      <c r="AC1152" s="122" t="s">
        <v>1838</v>
      </c>
      <c r="AD1152" s="123">
        <f t="shared" si="123"/>
        <v>0.51316004900000001</v>
      </c>
    </row>
    <row r="1153" spans="1:30" ht="12.75" hidden="1" customHeight="1">
      <c r="A1153" s="125" t="str">
        <f t="shared" si="124"/>
        <v>LIC174Other Expenses-RG</v>
      </c>
      <c r="B1153" s="125">
        <f>+IFERROR(VLOOKUP(L1153,'TB mapping'!A:D,4,0),0)</f>
        <v>0</v>
      </c>
      <c r="C1153" s="125">
        <f>+IFERROR(VLOOKUP(L1153,'TB mapping'!A:C,3,0),0)</f>
        <v>6.3</v>
      </c>
      <c r="D1153" s="125" t="str">
        <f t="shared" si="125"/>
        <v>LIC1740</v>
      </c>
      <c r="E1153" s="125" t="str">
        <f t="shared" si="126"/>
        <v>LIC1746.3</v>
      </c>
      <c r="F1153" s="158" t="str">
        <f>+VLOOKUP(H1153,'code mapping'!A:C,3,0)</f>
        <v>LIC174</v>
      </c>
      <c r="G1153" s="127" t="s">
        <v>453</v>
      </c>
      <c r="H1153" s="127" t="s">
        <v>616</v>
      </c>
      <c r="I1153" s="127" t="s">
        <v>617</v>
      </c>
      <c r="J1153" s="128">
        <v>550000</v>
      </c>
      <c r="K1153" s="127" t="s">
        <v>550</v>
      </c>
      <c r="L1153" s="151">
        <v>553191</v>
      </c>
      <c r="M1153" s="128">
        <v>0</v>
      </c>
      <c r="N1153" s="127" t="s">
        <v>562</v>
      </c>
      <c r="O1153" s="127" t="s">
        <v>457</v>
      </c>
      <c r="P1153" s="128">
        <v>-134216.33000000002</v>
      </c>
      <c r="Q1153" s="128">
        <v>0</v>
      </c>
      <c r="R1153" s="128">
        <v>0</v>
      </c>
      <c r="S1153" s="128">
        <v>0</v>
      </c>
      <c r="T1153" s="128">
        <v>-134216.33000000002</v>
      </c>
      <c r="U1153" s="128">
        <v>0</v>
      </c>
      <c r="V1153" s="128">
        <v>-134216.33000000002</v>
      </c>
      <c r="W1153" s="128">
        <v>0</v>
      </c>
      <c r="X1153" s="128">
        <v>0</v>
      </c>
      <c r="Y1153" s="128">
        <v>0</v>
      </c>
      <c r="Z1153" s="128">
        <v>-134216.33000000002</v>
      </c>
      <c r="AA1153" s="128">
        <v>0</v>
      </c>
      <c r="AB1153" s="126">
        <f t="shared" si="127"/>
        <v>1.3421633000000002E-2</v>
      </c>
      <c r="AC1153" s="122" t="s">
        <v>1838</v>
      </c>
      <c r="AD1153" s="123">
        <f t="shared" si="123"/>
        <v>0.51316004900000001</v>
      </c>
    </row>
    <row r="1154" spans="1:30" ht="12.75" hidden="1" customHeight="1">
      <c r="A1154" s="125" t="str">
        <f t="shared" si="124"/>
        <v>LIC174Other Expenses-RD</v>
      </c>
      <c r="B1154" s="125">
        <f>+IFERROR(VLOOKUP(L1154,'TB mapping'!A:D,4,0),0)</f>
        <v>0</v>
      </c>
      <c r="C1154" s="125">
        <f>+IFERROR(VLOOKUP(L1154,'TB mapping'!A:C,3,0),0)</f>
        <v>6.3</v>
      </c>
      <c r="D1154" s="125" t="str">
        <f t="shared" si="125"/>
        <v>LIC1740</v>
      </c>
      <c r="E1154" s="125" t="str">
        <f t="shared" si="126"/>
        <v>LIC1746.3</v>
      </c>
      <c r="F1154" s="158" t="str">
        <f>+VLOOKUP(H1154,'code mapping'!A:C,3,0)</f>
        <v>LIC174</v>
      </c>
      <c r="G1154" s="127" t="s">
        <v>453</v>
      </c>
      <c r="H1154" s="127" t="s">
        <v>616</v>
      </c>
      <c r="I1154" s="127" t="s">
        <v>617</v>
      </c>
      <c r="J1154" s="128">
        <v>550000</v>
      </c>
      <c r="K1154" s="127" t="s">
        <v>550</v>
      </c>
      <c r="L1154" s="151">
        <v>553192</v>
      </c>
      <c r="M1154" s="128">
        <v>0</v>
      </c>
      <c r="N1154" s="127" t="s">
        <v>563</v>
      </c>
      <c r="O1154" s="127" t="s">
        <v>457</v>
      </c>
      <c r="P1154" s="128">
        <v>-2863.27</v>
      </c>
      <c r="Q1154" s="128">
        <v>0</v>
      </c>
      <c r="R1154" s="128">
        <v>0</v>
      </c>
      <c r="S1154" s="128">
        <v>0</v>
      </c>
      <c r="T1154" s="128">
        <v>-2863.27</v>
      </c>
      <c r="U1154" s="128">
        <v>0</v>
      </c>
      <c r="V1154" s="128">
        <v>-2863.27</v>
      </c>
      <c r="W1154" s="128">
        <v>0</v>
      </c>
      <c r="X1154" s="128">
        <v>0</v>
      </c>
      <c r="Y1154" s="128">
        <v>0</v>
      </c>
      <c r="Z1154" s="128">
        <v>-2863.27</v>
      </c>
      <c r="AA1154" s="128">
        <v>0</v>
      </c>
      <c r="AB1154" s="126">
        <f t="shared" si="127"/>
        <v>2.8632700000000001E-4</v>
      </c>
      <c r="AC1154" s="122" t="s">
        <v>1838</v>
      </c>
      <c r="AD1154" s="123">
        <f t="shared" si="123"/>
        <v>0.51316004900000001</v>
      </c>
    </row>
    <row r="1155" spans="1:30" ht="12.75" hidden="1" customHeight="1">
      <c r="A1155" s="125" t="str">
        <f t="shared" si="124"/>
        <v>LIC174Other Exp - Brok - Indirect</v>
      </c>
      <c r="B1155" s="125">
        <f>+IFERROR(VLOOKUP(L1155,'TB mapping'!A:D,4,0),0)</f>
        <v>0</v>
      </c>
      <c r="C1155" s="125">
        <f>+IFERROR(VLOOKUP(L1155,'TB mapping'!A:C,3,0),0)</f>
        <v>6.3</v>
      </c>
      <c r="D1155" s="125" t="str">
        <f t="shared" si="125"/>
        <v>LIC1740</v>
      </c>
      <c r="E1155" s="125" t="str">
        <f t="shared" si="126"/>
        <v>LIC1746.3</v>
      </c>
      <c r="F1155" s="158" t="str">
        <f>+VLOOKUP(H1155,'code mapping'!A:C,3,0)</f>
        <v>LIC174</v>
      </c>
      <c r="G1155" s="127" t="s">
        <v>453</v>
      </c>
      <c r="H1155" s="127" t="s">
        <v>616</v>
      </c>
      <c r="I1155" s="127" t="s">
        <v>617</v>
      </c>
      <c r="J1155" s="128">
        <v>550000</v>
      </c>
      <c r="K1155" s="127" t="s">
        <v>550</v>
      </c>
      <c r="L1155" s="151">
        <v>553202</v>
      </c>
      <c r="M1155" s="128">
        <v>0</v>
      </c>
      <c r="N1155" s="127" t="s">
        <v>564</v>
      </c>
      <c r="O1155" s="127" t="s">
        <v>457</v>
      </c>
      <c r="P1155" s="128">
        <v>-732707.26</v>
      </c>
      <c r="Q1155" s="128">
        <v>0</v>
      </c>
      <c r="R1155" s="128">
        <v>0</v>
      </c>
      <c r="S1155" s="128">
        <v>0</v>
      </c>
      <c r="T1155" s="128">
        <v>-732707.26</v>
      </c>
      <c r="U1155" s="128">
        <v>0</v>
      </c>
      <c r="V1155" s="128">
        <v>-732707.26</v>
      </c>
      <c r="W1155" s="128">
        <v>0</v>
      </c>
      <c r="X1155" s="128">
        <v>0</v>
      </c>
      <c r="Y1155" s="128">
        <v>0</v>
      </c>
      <c r="Z1155" s="128">
        <v>-732707.26</v>
      </c>
      <c r="AA1155" s="128">
        <v>0</v>
      </c>
      <c r="AB1155" s="126">
        <f t="shared" si="127"/>
        <v>7.3270725999999994E-2</v>
      </c>
      <c r="AC1155" s="122" t="s">
        <v>1838</v>
      </c>
      <c r="AD1155" s="123">
        <f t="shared" si="123"/>
        <v>0.51316004900000001</v>
      </c>
    </row>
    <row r="1156" spans="1:30" ht="12.75" hidden="1" customHeight="1">
      <c r="A1156" s="125" t="str">
        <f t="shared" si="124"/>
        <v>LIC174Brokerage/Dist Exps</v>
      </c>
      <c r="B1156" s="125">
        <f>+IFERROR(VLOOKUP(L1156,'TB mapping'!A:D,4,0),0)</f>
        <v>0</v>
      </c>
      <c r="C1156" s="125">
        <f>+IFERROR(VLOOKUP(L1156,'TB mapping'!A:C,3,0),0)</f>
        <v>6.3</v>
      </c>
      <c r="D1156" s="125" t="str">
        <f t="shared" si="125"/>
        <v>LIC1740</v>
      </c>
      <c r="E1156" s="125" t="str">
        <f t="shared" si="126"/>
        <v>LIC1746.3</v>
      </c>
      <c r="F1156" s="158" t="str">
        <f>+VLOOKUP(H1156,'code mapping'!A:C,3,0)</f>
        <v>LIC174</v>
      </c>
      <c r="G1156" s="127" t="s">
        <v>453</v>
      </c>
      <c r="H1156" s="127" t="s">
        <v>616</v>
      </c>
      <c r="I1156" s="127" t="s">
        <v>617</v>
      </c>
      <c r="J1156" s="128">
        <v>550000</v>
      </c>
      <c r="K1156" s="127" t="s">
        <v>550</v>
      </c>
      <c r="L1156" s="151">
        <v>553208</v>
      </c>
      <c r="M1156" s="128">
        <v>0</v>
      </c>
      <c r="N1156" s="127" t="s">
        <v>565</v>
      </c>
      <c r="O1156" s="127" t="s">
        <v>457</v>
      </c>
      <c r="P1156" s="128">
        <v>0</v>
      </c>
      <c r="Q1156" s="128">
        <v>531229.47</v>
      </c>
      <c r="R1156" s="128">
        <v>0</v>
      </c>
      <c r="S1156" s="128">
        <v>0</v>
      </c>
      <c r="T1156" s="128">
        <v>0</v>
      </c>
      <c r="U1156" s="128">
        <v>531229.47</v>
      </c>
      <c r="V1156" s="128">
        <v>0</v>
      </c>
      <c r="W1156" s="128">
        <v>531229.47</v>
      </c>
      <c r="X1156" s="128">
        <v>0</v>
      </c>
      <c r="Y1156" s="128">
        <v>0</v>
      </c>
      <c r="Z1156" s="128">
        <v>0</v>
      </c>
      <c r="AA1156" s="128">
        <v>531229.47</v>
      </c>
      <c r="AB1156" s="126">
        <f t="shared" si="127"/>
        <v>-5.3122946999999997E-2</v>
      </c>
      <c r="AC1156" s="122" t="s">
        <v>1838</v>
      </c>
      <c r="AD1156" s="123">
        <f t="shared" si="123"/>
        <v>0.51316004900000001</v>
      </c>
    </row>
    <row r="1157" spans="1:30" ht="12.75" hidden="1" customHeight="1">
      <c r="A1157" s="125" t="str">
        <f t="shared" si="124"/>
        <v>LIC174Internal Audit Fee</v>
      </c>
      <c r="B1157" s="125">
        <f>+IFERROR(VLOOKUP(L1157,'TB mapping'!A:D,4,0),0)</f>
        <v>0</v>
      </c>
      <c r="C1157" s="125">
        <f>+IFERROR(VLOOKUP(L1157,'TB mapping'!A:C,3,0),0)</f>
        <v>6.3</v>
      </c>
      <c r="D1157" s="125" t="str">
        <f t="shared" si="125"/>
        <v>LIC1740</v>
      </c>
      <c r="E1157" s="125" t="str">
        <f t="shared" si="126"/>
        <v>LIC1746.3</v>
      </c>
      <c r="F1157" s="158" t="str">
        <f>+VLOOKUP(H1157,'code mapping'!A:C,3,0)</f>
        <v>LIC174</v>
      </c>
      <c r="G1157" s="127" t="s">
        <v>453</v>
      </c>
      <c r="H1157" s="127" t="s">
        <v>616</v>
      </c>
      <c r="I1157" s="127" t="s">
        <v>617</v>
      </c>
      <c r="J1157" s="128">
        <v>550000</v>
      </c>
      <c r="K1157" s="127" t="s">
        <v>550</v>
      </c>
      <c r="L1157" s="151">
        <v>553213</v>
      </c>
      <c r="M1157" s="128">
        <v>0</v>
      </c>
      <c r="N1157" s="127" t="s">
        <v>566</v>
      </c>
      <c r="O1157" s="127" t="s">
        <v>457</v>
      </c>
      <c r="P1157" s="128">
        <v>-7397.44</v>
      </c>
      <c r="Q1157" s="128">
        <v>0</v>
      </c>
      <c r="R1157" s="128">
        <v>0</v>
      </c>
      <c r="S1157" s="128">
        <v>0</v>
      </c>
      <c r="T1157" s="128">
        <v>-7397.44</v>
      </c>
      <c r="U1157" s="128">
        <v>0</v>
      </c>
      <c r="V1157" s="128">
        <v>-7397.44</v>
      </c>
      <c r="W1157" s="128">
        <v>0</v>
      </c>
      <c r="X1157" s="128">
        <v>0</v>
      </c>
      <c r="Y1157" s="128">
        <v>0</v>
      </c>
      <c r="Z1157" s="128">
        <v>-7397.44</v>
      </c>
      <c r="AA1157" s="128">
        <v>0</v>
      </c>
      <c r="AB1157" s="126">
        <f t="shared" si="127"/>
        <v>7.3974399999999997E-4</v>
      </c>
      <c r="AC1157" s="122" t="s">
        <v>1838</v>
      </c>
      <c r="AD1157" s="123">
        <f t="shared" si="123"/>
        <v>0.51316004900000001</v>
      </c>
    </row>
    <row r="1158" spans="1:30" ht="12.75" hidden="1" customHeight="1">
      <c r="A1158" s="125" t="str">
        <f t="shared" si="124"/>
        <v>LIC174Other Expenses-GDP</v>
      </c>
      <c r="B1158" s="125">
        <f>+IFERROR(VLOOKUP(L1158,'TB mapping'!A:D,4,0),0)</f>
        <v>0</v>
      </c>
      <c r="C1158" s="125">
        <f>+IFERROR(VLOOKUP(L1158,'TB mapping'!A:C,3,0),0)</f>
        <v>6.3</v>
      </c>
      <c r="D1158" s="125" t="str">
        <f t="shared" si="125"/>
        <v>LIC1740</v>
      </c>
      <c r="E1158" s="125" t="str">
        <f t="shared" si="126"/>
        <v>LIC1746.3</v>
      </c>
      <c r="F1158" s="158" t="str">
        <f>+VLOOKUP(H1158,'code mapping'!A:C,3,0)</f>
        <v>LIC174</v>
      </c>
      <c r="G1158" s="127" t="s">
        <v>453</v>
      </c>
      <c r="H1158" s="127" t="s">
        <v>616</v>
      </c>
      <c r="I1158" s="127" t="s">
        <v>617</v>
      </c>
      <c r="J1158" s="128">
        <v>550000</v>
      </c>
      <c r="K1158" s="127" t="s">
        <v>550</v>
      </c>
      <c r="L1158" s="151">
        <v>553329</v>
      </c>
      <c r="M1158" s="128">
        <v>0</v>
      </c>
      <c r="N1158" s="127" t="s">
        <v>567</v>
      </c>
      <c r="O1158" s="127" t="s">
        <v>457</v>
      </c>
      <c r="P1158" s="128">
        <v>-74239.64</v>
      </c>
      <c r="Q1158" s="128">
        <v>0</v>
      </c>
      <c r="R1158" s="128">
        <v>0</v>
      </c>
      <c r="S1158" s="128">
        <v>0</v>
      </c>
      <c r="T1158" s="128">
        <v>-74239.64</v>
      </c>
      <c r="U1158" s="128">
        <v>0</v>
      </c>
      <c r="V1158" s="128">
        <v>-74239.64</v>
      </c>
      <c r="W1158" s="128">
        <v>0</v>
      </c>
      <c r="X1158" s="128">
        <v>0</v>
      </c>
      <c r="Y1158" s="128">
        <v>0</v>
      </c>
      <c r="Z1158" s="128">
        <v>-74239.64</v>
      </c>
      <c r="AA1158" s="128">
        <v>0</v>
      </c>
      <c r="AB1158" s="126">
        <f t="shared" si="127"/>
        <v>7.4239639999999999E-3</v>
      </c>
      <c r="AC1158" s="122" t="s">
        <v>1838</v>
      </c>
      <c r="AD1158" s="123">
        <f t="shared" si="123"/>
        <v>0.51316004900000001</v>
      </c>
    </row>
    <row r="1159" spans="1:30" ht="12.75" hidden="1" customHeight="1">
      <c r="A1159" s="125" t="str">
        <f t="shared" si="124"/>
        <v>LIC174Other Expenses-DDP</v>
      </c>
      <c r="B1159" s="125">
        <f>+IFERROR(VLOOKUP(L1159,'TB mapping'!A:D,4,0),0)</f>
        <v>0</v>
      </c>
      <c r="C1159" s="125">
        <f>+IFERROR(VLOOKUP(L1159,'TB mapping'!A:C,3,0),0)</f>
        <v>6.3</v>
      </c>
      <c r="D1159" s="125" t="str">
        <f t="shared" si="125"/>
        <v>LIC1740</v>
      </c>
      <c r="E1159" s="125" t="str">
        <f t="shared" si="126"/>
        <v>LIC1746.3</v>
      </c>
      <c r="F1159" s="158" t="str">
        <f>+VLOOKUP(H1159,'code mapping'!A:C,3,0)</f>
        <v>LIC174</v>
      </c>
      <c r="G1159" s="127" t="s">
        <v>453</v>
      </c>
      <c r="H1159" s="127" t="s">
        <v>616</v>
      </c>
      <c r="I1159" s="127" t="s">
        <v>617</v>
      </c>
      <c r="J1159" s="128">
        <v>550000</v>
      </c>
      <c r="K1159" s="127" t="s">
        <v>550</v>
      </c>
      <c r="L1159" s="151">
        <v>553330</v>
      </c>
      <c r="M1159" s="128">
        <v>0</v>
      </c>
      <c r="N1159" s="127" t="s">
        <v>568</v>
      </c>
      <c r="O1159" s="127" t="s">
        <v>457</v>
      </c>
      <c r="P1159" s="128">
        <v>-117.8</v>
      </c>
      <c r="Q1159" s="128">
        <v>0</v>
      </c>
      <c r="R1159" s="128">
        <v>0</v>
      </c>
      <c r="S1159" s="128">
        <v>0</v>
      </c>
      <c r="T1159" s="128">
        <v>-117.8</v>
      </c>
      <c r="U1159" s="128">
        <v>0</v>
      </c>
      <c r="V1159" s="128">
        <v>-117.8</v>
      </c>
      <c r="W1159" s="128">
        <v>0</v>
      </c>
      <c r="X1159" s="128">
        <v>0</v>
      </c>
      <c r="Y1159" s="128">
        <v>0</v>
      </c>
      <c r="Z1159" s="128">
        <v>-117.8</v>
      </c>
      <c r="AA1159" s="128">
        <v>0</v>
      </c>
      <c r="AB1159" s="126">
        <f t="shared" si="127"/>
        <v>1.1779999999999999E-5</v>
      </c>
      <c r="AC1159" s="122" t="s">
        <v>1838</v>
      </c>
      <c r="AD1159" s="123">
        <f t="shared" si="123"/>
        <v>0.51316004900000001</v>
      </c>
    </row>
    <row r="1160" spans="1:30" ht="12.75" hidden="1" customHeight="1">
      <c r="A1160" s="125" t="str">
        <f t="shared" si="124"/>
        <v>LIC174Inv Educ Fund Expense - Amfi</v>
      </c>
      <c r="B1160" s="125">
        <f>+IFERROR(VLOOKUP(L1160,'TB mapping'!A:D,4,0),0)</f>
        <v>0</v>
      </c>
      <c r="C1160" s="125">
        <f>+IFERROR(VLOOKUP(L1160,'TB mapping'!A:C,3,0),0)</f>
        <v>6.3</v>
      </c>
      <c r="D1160" s="125" t="str">
        <f t="shared" si="125"/>
        <v>LIC1740</v>
      </c>
      <c r="E1160" s="125" t="str">
        <f t="shared" si="126"/>
        <v>LIC1746.3</v>
      </c>
      <c r="F1160" s="158" t="str">
        <f>+VLOOKUP(H1160,'code mapping'!A:C,3,0)</f>
        <v>LIC174</v>
      </c>
      <c r="G1160" s="127" t="s">
        <v>453</v>
      </c>
      <c r="H1160" s="127" t="s">
        <v>616</v>
      </c>
      <c r="I1160" s="127" t="s">
        <v>617</v>
      </c>
      <c r="J1160" s="128">
        <v>550000</v>
      </c>
      <c r="K1160" s="127" t="s">
        <v>550</v>
      </c>
      <c r="L1160" s="151">
        <v>554526</v>
      </c>
      <c r="M1160" s="128">
        <v>0</v>
      </c>
      <c r="N1160" s="127" t="s">
        <v>569</v>
      </c>
      <c r="O1160" s="127" t="s">
        <v>457</v>
      </c>
      <c r="P1160" s="128">
        <v>-24448.41</v>
      </c>
      <c r="Q1160" s="128">
        <v>0</v>
      </c>
      <c r="R1160" s="128">
        <v>0</v>
      </c>
      <c r="S1160" s="128">
        <v>0</v>
      </c>
      <c r="T1160" s="128">
        <v>-24448.41</v>
      </c>
      <c r="U1160" s="128">
        <v>0</v>
      </c>
      <c r="V1160" s="128">
        <v>-24448.41</v>
      </c>
      <c r="W1160" s="128">
        <v>0</v>
      </c>
      <c r="X1160" s="128">
        <v>0</v>
      </c>
      <c r="Y1160" s="128">
        <v>0</v>
      </c>
      <c r="Z1160" s="128">
        <v>-24448.41</v>
      </c>
      <c r="AA1160" s="128">
        <v>0</v>
      </c>
      <c r="AB1160" s="126">
        <f t="shared" si="127"/>
        <v>2.4448410000000001E-3</v>
      </c>
      <c r="AC1160" s="122" t="s">
        <v>1838</v>
      </c>
      <c r="AD1160" s="123">
        <f t="shared" si="123"/>
        <v>0.51316004900000001</v>
      </c>
    </row>
    <row r="1161" spans="1:30" ht="12.75" hidden="1" customHeight="1">
      <c r="A1161" s="125" t="str">
        <f t="shared" si="124"/>
        <v>LIC174Client Servicing Expenes</v>
      </c>
      <c r="B1161" s="125">
        <f>+IFERROR(VLOOKUP(L1161,'TB mapping'!A:D,4,0),0)</f>
        <v>0</v>
      </c>
      <c r="C1161" s="125">
        <f>+IFERROR(VLOOKUP(L1161,'TB mapping'!A:C,3,0),0)</f>
        <v>6.3</v>
      </c>
      <c r="D1161" s="125" t="str">
        <f t="shared" si="125"/>
        <v>LIC1740</v>
      </c>
      <c r="E1161" s="125" t="str">
        <f t="shared" si="126"/>
        <v>LIC1746.3</v>
      </c>
      <c r="F1161" s="158" t="str">
        <f>+VLOOKUP(H1161,'code mapping'!A:C,3,0)</f>
        <v>LIC174</v>
      </c>
      <c r="G1161" s="127" t="s">
        <v>453</v>
      </c>
      <c r="H1161" s="127" t="s">
        <v>616</v>
      </c>
      <c r="I1161" s="127" t="s">
        <v>617</v>
      </c>
      <c r="J1161" s="128">
        <v>550000</v>
      </c>
      <c r="K1161" s="127" t="s">
        <v>550</v>
      </c>
      <c r="L1161" s="151">
        <v>555157</v>
      </c>
      <c r="M1161" s="128">
        <v>0</v>
      </c>
      <c r="N1161" s="127" t="s">
        <v>571</v>
      </c>
      <c r="O1161" s="127" t="s">
        <v>457</v>
      </c>
      <c r="P1161" s="128">
        <v>-1414126.22</v>
      </c>
      <c r="Q1161" s="128">
        <v>0</v>
      </c>
      <c r="R1161" s="128">
        <v>0</v>
      </c>
      <c r="S1161" s="128">
        <v>0</v>
      </c>
      <c r="T1161" s="128">
        <v>-1414126.22</v>
      </c>
      <c r="U1161" s="128">
        <v>0</v>
      </c>
      <c r="V1161" s="128">
        <v>-1414126.22</v>
      </c>
      <c r="W1161" s="128">
        <v>0</v>
      </c>
      <c r="X1161" s="128">
        <v>0</v>
      </c>
      <c r="Y1161" s="128">
        <v>0</v>
      </c>
      <c r="Z1161" s="128">
        <v>-1414126.22</v>
      </c>
      <c r="AA1161" s="128">
        <v>0</v>
      </c>
      <c r="AB1161" s="126">
        <f t="shared" si="127"/>
        <v>0.14141262199999999</v>
      </c>
      <c r="AC1161" s="122" t="s">
        <v>1838</v>
      </c>
      <c r="AD1161" s="123">
        <f t="shared" si="123"/>
        <v>0.51316004900000001</v>
      </c>
    </row>
    <row r="1162" spans="1:30" ht="12.75" hidden="1" customHeight="1">
      <c r="A1162" s="125" t="str">
        <f t="shared" si="124"/>
        <v>LIC174Management Fee-Reclassfication</v>
      </c>
      <c r="B1162" s="125">
        <f>+IFERROR(VLOOKUP(L1162,'TB mapping'!A:D,4,0),0)</f>
        <v>6.1</v>
      </c>
      <c r="C1162" s="125">
        <f>+IFERROR(VLOOKUP(L1162,'TB mapping'!A:C,3,0),0)</f>
        <v>6.3</v>
      </c>
      <c r="D1162" s="125" t="str">
        <f t="shared" si="125"/>
        <v>LIC1746.1</v>
      </c>
      <c r="E1162" s="125" t="str">
        <f t="shared" si="126"/>
        <v>LIC1746.3</v>
      </c>
      <c r="F1162" s="158" t="str">
        <f>+VLOOKUP(H1162,'code mapping'!A:C,3,0)</f>
        <v>LIC174</v>
      </c>
      <c r="G1162" s="127" t="s">
        <v>453</v>
      </c>
      <c r="H1162" s="127" t="s">
        <v>616</v>
      </c>
      <c r="I1162" s="127" t="s">
        <v>617</v>
      </c>
      <c r="J1162" s="128">
        <v>550000</v>
      </c>
      <c r="K1162" s="127" t="s">
        <v>550</v>
      </c>
      <c r="L1162" s="151">
        <v>555274</v>
      </c>
      <c r="M1162" s="128">
        <v>0</v>
      </c>
      <c r="N1162" s="127" t="s">
        <v>583</v>
      </c>
      <c r="O1162" s="127" t="s">
        <v>457</v>
      </c>
      <c r="P1162" s="128">
        <v>-84745.88</v>
      </c>
      <c r="Q1162" s="128">
        <v>0</v>
      </c>
      <c r="R1162" s="128">
        <v>0</v>
      </c>
      <c r="S1162" s="128">
        <v>0</v>
      </c>
      <c r="T1162" s="128">
        <v>-84745.88</v>
      </c>
      <c r="U1162" s="128">
        <v>0</v>
      </c>
      <c r="V1162" s="128">
        <v>-84745.88</v>
      </c>
      <c r="W1162" s="128">
        <v>0</v>
      </c>
      <c r="X1162" s="128">
        <v>0</v>
      </c>
      <c r="Y1162" s="128">
        <v>0</v>
      </c>
      <c r="Z1162" s="128">
        <v>-84745.88</v>
      </c>
      <c r="AA1162" s="128">
        <v>0</v>
      </c>
      <c r="AB1162" s="126">
        <f t="shared" si="127"/>
        <v>8.4745879999999999E-3</v>
      </c>
      <c r="AC1162" s="122" t="s">
        <v>1838</v>
      </c>
      <c r="AD1162" s="123">
        <f t="shared" si="123"/>
        <v>0.51316004900000001</v>
      </c>
    </row>
    <row r="1163" spans="1:30" ht="12.75" hidden="1" customHeight="1">
      <c r="A1163" s="125" t="str">
        <f t="shared" si="124"/>
        <v>LIC174CGST on Reclassify of Exp</v>
      </c>
      <c r="B1163" s="125">
        <f>+IFERROR(VLOOKUP(L1163,'TB mapping'!A:D,4,0),0)</f>
        <v>0</v>
      </c>
      <c r="C1163" s="125">
        <f>+IFERROR(VLOOKUP(L1163,'TB mapping'!A:C,3,0),0)</f>
        <v>6.3</v>
      </c>
      <c r="D1163" s="125" t="str">
        <f t="shared" si="125"/>
        <v>LIC1740</v>
      </c>
      <c r="E1163" s="125" t="str">
        <f t="shared" si="126"/>
        <v>LIC1746.3</v>
      </c>
      <c r="F1163" s="158" t="str">
        <f>+VLOOKUP(H1163,'code mapping'!A:C,3,0)</f>
        <v>LIC174</v>
      </c>
      <c r="G1163" s="127" t="s">
        <v>453</v>
      </c>
      <c r="H1163" s="127" t="s">
        <v>616</v>
      </c>
      <c r="I1163" s="127" t="s">
        <v>617</v>
      </c>
      <c r="J1163" s="128">
        <v>550000</v>
      </c>
      <c r="K1163" s="127" t="s">
        <v>550</v>
      </c>
      <c r="L1163" s="151">
        <v>555276</v>
      </c>
      <c r="M1163" s="128">
        <v>0</v>
      </c>
      <c r="N1163" s="127" t="s">
        <v>572</v>
      </c>
      <c r="O1163" s="127" t="s">
        <v>457</v>
      </c>
      <c r="P1163" s="128">
        <v>-3813.56</v>
      </c>
      <c r="Q1163" s="128">
        <v>0</v>
      </c>
      <c r="R1163" s="128">
        <v>0</v>
      </c>
      <c r="S1163" s="128">
        <v>0</v>
      </c>
      <c r="T1163" s="128">
        <v>-3813.56</v>
      </c>
      <c r="U1163" s="128">
        <v>0</v>
      </c>
      <c r="V1163" s="128">
        <v>-3813.56</v>
      </c>
      <c r="W1163" s="128">
        <v>0</v>
      </c>
      <c r="X1163" s="128">
        <v>0</v>
      </c>
      <c r="Y1163" s="128">
        <v>0</v>
      </c>
      <c r="Z1163" s="128">
        <v>-3813.56</v>
      </c>
      <c r="AA1163" s="128">
        <v>0</v>
      </c>
      <c r="AB1163" s="126">
        <f t="shared" si="127"/>
        <v>3.8135600000000001E-4</v>
      </c>
      <c r="AC1163" s="122" t="s">
        <v>1838</v>
      </c>
      <c r="AD1163" s="123">
        <f t="shared" si="123"/>
        <v>0.51316004900000001</v>
      </c>
    </row>
    <row r="1164" spans="1:30" ht="12.75" hidden="1" customHeight="1">
      <c r="A1164" s="125" t="str">
        <f t="shared" si="124"/>
        <v>LIC174SGST on Reclassify of Exp</v>
      </c>
      <c r="B1164" s="125">
        <f>+IFERROR(VLOOKUP(L1164,'TB mapping'!A:D,4,0),0)</f>
        <v>0</v>
      </c>
      <c r="C1164" s="125">
        <f>+IFERROR(VLOOKUP(L1164,'TB mapping'!A:C,3,0),0)</f>
        <v>6.3</v>
      </c>
      <c r="D1164" s="125" t="str">
        <f t="shared" si="125"/>
        <v>LIC1740</v>
      </c>
      <c r="E1164" s="125" t="str">
        <f t="shared" si="126"/>
        <v>LIC1746.3</v>
      </c>
      <c r="F1164" s="158" t="str">
        <f>+VLOOKUP(H1164,'code mapping'!A:C,3,0)</f>
        <v>LIC174</v>
      </c>
      <c r="G1164" s="127" t="s">
        <v>453</v>
      </c>
      <c r="H1164" s="127" t="s">
        <v>616</v>
      </c>
      <c r="I1164" s="127" t="s">
        <v>617</v>
      </c>
      <c r="J1164" s="128">
        <v>550000</v>
      </c>
      <c r="K1164" s="127" t="s">
        <v>550</v>
      </c>
      <c r="L1164" s="151">
        <v>555277</v>
      </c>
      <c r="M1164" s="128">
        <v>0</v>
      </c>
      <c r="N1164" s="127" t="s">
        <v>573</v>
      </c>
      <c r="O1164" s="127" t="s">
        <v>457</v>
      </c>
      <c r="P1164" s="128">
        <v>-3813.56</v>
      </c>
      <c r="Q1164" s="128">
        <v>0</v>
      </c>
      <c r="R1164" s="128">
        <v>0</v>
      </c>
      <c r="S1164" s="128">
        <v>0</v>
      </c>
      <c r="T1164" s="128">
        <v>-3813.56</v>
      </c>
      <c r="U1164" s="128">
        <v>0</v>
      </c>
      <c r="V1164" s="128">
        <v>-3813.56</v>
      </c>
      <c r="W1164" s="128">
        <v>0</v>
      </c>
      <c r="X1164" s="128">
        <v>0</v>
      </c>
      <c r="Y1164" s="128">
        <v>0</v>
      </c>
      <c r="Z1164" s="128">
        <v>-3813.56</v>
      </c>
      <c r="AA1164" s="128">
        <v>0</v>
      </c>
      <c r="AB1164" s="126">
        <f t="shared" si="127"/>
        <v>3.8135600000000001E-4</v>
      </c>
      <c r="AC1164" s="122" t="s">
        <v>1838</v>
      </c>
      <c r="AD1164" s="123">
        <f t="shared" si="123"/>
        <v>0.51316004900000001</v>
      </c>
    </row>
    <row r="1165" spans="1:30" ht="12.75" hidden="1" customHeight="1">
      <c r="A1165" s="125" t="str">
        <f t="shared" si="124"/>
        <v>LIC174Other Expense-Reclassfication</v>
      </c>
      <c r="B1165" s="125">
        <f>+IFERROR(VLOOKUP(L1165,'TB mapping'!A:D,4,0),0)</f>
        <v>0</v>
      </c>
      <c r="C1165" s="125">
        <f>+IFERROR(VLOOKUP(L1165,'TB mapping'!A:C,3,0),0)</f>
        <v>0</v>
      </c>
      <c r="D1165" s="125" t="str">
        <f t="shared" si="125"/>
        <v>LIC1740</v>
      </c>
      <c r="E1165" s="125" t="str">
        <f t="shared" si="126"/>
        <v>LIC1740</v>
      </c>
      <c r="F1165" s="158" t="str">
        <f>+VLOOKUP(H1165,'code mapping'!A:C,3,0)</f>
        <v>LIC174</v>
      </c>
      <c r="G1165" s="127" t="s">
        <v>453</v>
      </c>
      <c r="H1165" s="127" t="s">
        <v>616</v>
      </c>
      <c r="I1165" s="127" t="s">
        <v>617</v>
      </c>
      <c r="J1165" s="128">
        <v>550000</v>
      </c>
      <c r="K1165" s="127" t="s">
        <v>550</v>
      </c>
      <c r="L1165" s="151">
        <v>555280</v>
      </c>
      <c r="M1165" s="128">
        <v>0</v>
      </c>
      <c r="N1165" s="127" t="s">
        <v>1590</v>
      </c>
      <c r="O1165" s="127" t="s">
        <v>457</v>
      </c>
      <c r="P1165" s="128">
        <v>0</v>
      </c>
      <c r="Q1165" s="128">
        <v>50000</v>
      </c>
      <c r="R1165" s="128">
        <v>0</v>
      </c>
      <c r="S1165" s="128">
        <v>0</v>
      </c>
      <c r="T1165" s="128">
        <v>0</v>
      </c>
      <c r="U1165" s="128">
        <v>50000</v>
      </c>
      <c r="V1165" s="128">
        <v>0</v>
      </c>
      <c r="W1165" s="128">
        <v>50000</v>
      </c>
      <c r="X1165" s="128">
        <v>0</v>
      </c>
      <c r="Y1165" s="128">
        <v>0</v>
      </c>
      <c r="Z1165" s="128">
        <v>0</v>
      </c>
      <c r="AA1165" s="128">
        <v>50000</v>
      </c>
      <c r="AB1165" s="126">
        <f t="shared" si="127"/>
        <v>-5.0000000000000001E-3</v>
      </c>
      <c r="AC1165" s="122" t="s">
        <v>1838</v>
      </c>
      <c r="AD1165" s="123">
        <f>SUMIF(C:C,C1165,AB:AB)</f>
        <v>1983.9723217250009</v>
      </c>
    </row>
    <row r="1166" spans="1:30" ht="12.75" hidden="1" customHeight="1">
      <c r="A1166" s="125" t="str">
        <f t="shared" si="124"/>
        <v>LIC174CGST on Mfees</v>
      </c>
      <c r="B1166" s="125">
        <f>+IFERROR(VLOOKUP(L1166,'TB mapping'!A:D,4,0),0)</f>
        <v>6.1</v>
      </c>
      <c r="C1166" s="125">
        <f>+IFERROR(VLOOKUP(L1166,'TB mapping'!A:C,3,0),0)</f>
        <v>6.3</v>
      </c>
      <c r="D1166" s="125" t="str">
        <f t="shared" si="125"/>
        <v>LIC1746.1</v>
      </c>
      <c r="E1166" s="125" t="str">
        <f t="shared" si="126"/>
        <v>LIC1746.3</v>
      </c>
      <c r="F1166" s="158" t="str">
        <f>+VLOOKUP(H1166,'code mapping'!A:C,3,0)</f>
        <v>LIC174</v>
      </c>
      <c r="G1166" s="127" t="s">
        <v>453</v>
      </c>
      <c r="H1166" s="127" t="s">
        <v>616</v>
      </c>
      <c r="I1166" s="127" t="s">
        <v>617</v>
      </c>
      <c r="J1166" s="128">
        <v>550000</v>
      </c>
      <c r="K1166" s="127" t="s">
        <v>550</v>
      </c>
      <c r="L1166" s="151">
        <v>555597</v>
      </c>
      <c r="M1166" s="128">
        <v>0</v>
      </c>
      <c r="N1166" s="127" t="s">
        <v>574</v>
      </c>
      <c r="O1166" s="127" t="s">
        <v>457</v>
      </c>
      <c r="P1166" s="128">
        <v>-185534.66</v>
      </c>
      <c r="Q1166" s="128">
        <v>0</v>
      </c>
      <c r="R1166" s="128">
        <v>0</v>
      </c>
      <c r="S1166" s="128">
        <v>0</v>
      </c>
      <c r="T1166" s="128">
        <v>-185534.66</v>
      </c>
      <c r="U1166" s="128">
        <v>0</v>
      </c>
      <c r="V1166" s="128">
        <v>-185534.66</v>
      </c>
      <c r="W1166" s="128">
        <v>0</v>
      </c>
      <c r="X1166" s="128">
        <v>0</v>
      </c>
      <c r="Y1166" s="128">
        <v>0</v>
      </c>
      <c r="Z1166" s="128">
        <v>-185534.66</v>
      </c>
      <c r="AA1166" s="128">
        <v>0</v>
      </c>
      <c r="AB1166" s="126">
        <f t="shared" si="127"/>
        <v>1.8553466000000001E-2</v>
      </c>
      <c r="AC1166" s="122" t="s">
        <v>1838</v>
      </c>
      <c r="AD1166" s="123">
        <f t="shared" ref="AD1166:AD1174" si="128">SUMIF(E:E,E1166,AB:AB)</f>
        <v>0.51316004900000001</v>
      </c>
    </row>
    <row r="1167" spans="1:30" ht="12.75" hidden="1" customHeight="1">
      <c r="A1167" s="125" t="str">
        <f t="shared" si="124"/>
        <v>LIC174SGST on Mfees</v>
      </c>
      <c r="B1167" s="125">
        <f>+IFERROR(VLOOKUP(L1167,'TB mapping'!A:D,4,0),0)</f>
        <v>6.1</v>
      </c>
      <c r="C1167" s="125">
        <f>+IFERROR(VLOOKUP(L1167,'TB mapping'!A:C,3,0),0)</f>
        <v>6.3</v>
      </c>
      <c r="D1167" s="125" t="str">
        <f t="shared" si="125"/>
        <v>LIC1746.1</v>
      </c>
      <c r="E1167" s="125" t="str">
        <f t="shared" si="126"/>
        <v>LIC1746.3</v>
      </c>
      <c r="F1167" s="158" t="str">
        <f>+VLOOKUP(H1167,'code mapping'!A:C,3,0)</f>
        <v>LIC174</v>
      </c>
      <c r="G1167" s="127" t="s">
        <v>453</v>
      </c>
      <c r="H1167" s="127" t="s">
        <v>616</v>
      </c>
      <c r="I1167" s="127" t="s">
        <v>617</v>
      </c>
      <c r="J1167" s="128">
        <v>550000</v>
      </c>
      <c r="K1167" s="127" t="s">
        <v>550</v>
      </c>
      <c r="L1167" s="151">
        <v>555598</v>
      </c>
      <c r="M1167" s="128">
        <v>0</v>
      </c>
      <c r="N1167" s="127" t="s">
        <v>575</v>
      </c>
      <c r="O1167" s="127" t="s">
        <v>457</v>
      </c>
      <c r="P1167" s="128">
        <v>-185534.65</v>
      </c>
      <c r="Q1167" s="128">
        <v>0</v>
      </c>
      <c r="R1167" s="128">
        <v>0</v>
      </c>
      <c r="S1167" s="128">
        <v>0</v>
      </c>
      <c r="T1167" s="128">
        <v>-185534.65</v>
      </c>
      <c r="U1167" s="128">
        <v>0</v>
      </c>
      <c r="V1167" s="128">
        <v>-185534.65</v>
      </c>
      <c r="W1167" s="128">
        <v>0</v>
      </c>
      <c r="X1167" s="128">
        <v>0</v>
      </c>
      <c r="Y1167" s="128">
        <v>0</v>
      </c>
      <c r="Z1167" s="128">
        <v>-185534.65</v>
      </c>
      <c r="AA1167" s="128">
        <v>0</v>
      </c>
      <c r="AB1167" s="126">
        <f t="shared" si="127"/>
        <v>1.8553464999999998E-2</v>
      </c>
      <c r="AC1167" s="122" t="s">
        <v>1838</v>
      </c>
      <c r="AD1167" s="123">
        <f t="shared" si="128"/>
        <v>0.51316004900000001</v>
      </c>
    </row>
    <row r="1168" spans="1:30" ht="12.75" hidden="1" customHeight="1">
      <c r="A1168" s="125" t="str">
        <f t="shared" si="124"/>
        <v>LIC174CGST on Mfees -GDP</v>
      </c>
      <c r="B1168" s="125">
        <f>+IFERROR(VLOOKUP(L1168,'TB mapping'!A:D,4,0),0)</f>
        <v>6.1</v>
      </c>
      <c r="C1168" s="125">
        <f>+IFERROR(VLOOKUP(L1168,'TB mapping'!A:C,3,0),0)</f>
        <v>6.3</v>
      </c>
      <c r="D1168" s="125" t="str">
        <f t="shared" si="125"/>
        <v>LIC1746.1</v>
      </c>
      <c r="E1168" s="125" t="str">
        <f t="shared" si="126"/>
        <v>LIC1746.3</v>
      </c>
      <c r="F1168" s="158" t="str">
        <f>+VLOOKUP(H1168,'code mapping'!A:C,3,0)</f>
        <v>LIC174</v>
      </c>
      <c r="G1168" s="127" t="s">
        <v>453</v>
      </c>
      <c r="H1168" s="127" t="s">
        <v>616</v>
      </c>
      <c r="I1168" s="127" t="s">
        <v>617</v>
      </c>
      <c r="J1168" s="128">
        <v>550000</v>
      </c>
      <c r="K1168" s="127" t="s">
        <v>550</v>
      </c>
      <c r="L1168" s="151">
        <v>555599</v>
      </c>
      <c r="M1168" s="128">
        <v>0</v>
      </c>
      <c r="N1168" s="127" t="s">
        <v>576</v>
      </c>
      <c r="O1168" s="127" t="s">
        <v>457</v>
      </c>
      <c r="P1168" s="128">
        <v>0</v>
      </c>
      <c r="Q1168" s="128">
        <v>0.01</v>
      </c>
      <c r="R1168" s="128">
        <v>0</v>
      </c>
      <c r="S1168" s="128">
        <v>0</v>
      </c>
      <c r="T1168" s="128">
        <v>0</v>
      </c>
      <c r="U1168" s="128">
        <v>0.01</v>
      </c>
      <c r="V1168" s="128">
        <v>0</v>
      </c>
      <c r="W1168" s="128">
        <v>0.01</v>
      </c>
      <c r="X1168" s="128">
        <v>0</v>
      </c>
      <c r="Y1168" s="128">
        <v>0</v>
      </c>
      <c r="Z1168" s="128">
        <v>0</v>
      </c>
      <c r="AA1168" s="128">
        <v>0.01</v>
      </c>
      <c r="AB1168" s="126">
        <f t="shared" si="127"/>
        <v>-1.0000000000000001E-9</v>
      </c>
      <c r="AC1168" s="122" t="s">
        <v>1838</v>
      </c>
      <c r="AD1168" s="123">
        <f t="shared" si="128"/>
        <v>0.51316004900000001</v>
      </c>
    </row>
    <row r="1169" spans="1:30" ht="12.75" hidden="1" customHeight="1">
      <c r="A1169" s="125" t="str">
        <f t="shared" si="124"/>
        <v>LIC174Operating Expenses</v>
      </c>
      <c r="B1169" s="125">
        <f>+IFERROR(VLOOKUP(L1169,'TB mapping'!A:D,4,0),0)</f>
        <v>0</v>
      </c>
      <c r="C1169" s="125">
        <f>+IFERROR(VLOOKUP(L1169,'TB mapping'!A:C,3,0),0)</f>
        <v>6.3</v>
      </c>
      <c r="D1169" s="125" t="str">
        <f t="shared" si="125"/>
        <v>LIC1740</v>
      </c>
      <c r="E1169" s="125" t="str">
        <f t="shared" si="126"/>
        <v>LIC1746.3</v>
      </c>
      <c r="F1169" s="158" t="str">
        <f>+VLOOKUP(H1169,'code mapping'!A:C,3,0)</f>
        <v>LIC174</v>
      </c>
      <c r="G1169" s="127" t="s">
        <v>453</v>
      </c>
      <c r="H1169" s="127" t="s">
        <v>616</v>
      </c>
      <c r="I1169" s="127" t="s">
        <v>617</v>
      </c>
      <c r="J1169" s="128">
        <v>550000</v>
      </c>
      <c r="K1169" s="127" t="s">
        <v>550</v>
      </c>
      <c r="L1169" s="151">
        <v>556421</v>
      </c>
      <c r="M1169" s="128">
        <v>0</v>
      </c>
      <c r="N1169" s="127" t="s">
        <v>578</v>
      </c>
      <c r="O1169" s="127" t="s">
        <v>457</v>
      </c>
      <c r="P1169" s="128">
        <v>-511.79</v>
      </c>
      <c r="Q1169" s="128">
        <v>0</v>
      </c>
      <c r="R1169" s="128">
        <v>0</v>
      </c>
      <c r="S1169" s="128">
        <v>0</v>
      </c>
      <c r="T1169" s="128">
        <v>-511.79</v>
      </c>
      <c r="U1169" s="128">
        <v>0</v>
      </c>
      <c r="V1169" s="128">
        <v>-511.79</v>
      </c>
      <c r="W1169" s="128">
        <v>0</v>
      </c>
      <c r="X1169" s="128">
        <v>0</v>
      </c>
      <c r="Y1169" s="128">
        <v>0</v>
      </c>
      <c r="Z1169" s="128">
        <v>-511.79</v>
      </c>
      <c r="AA1169" s="128">
        <v>0</v>
      </c>
      <c r="AB1169" s="126">
        <f t="shared" si="127"/>
        <v>5.1178999999999999E-5</v>
      </c>
      <c r="AC1169" s="122" t="s">
        <v>1838</v>
      </c>
      <c r="AD1169" s="123">
        <f t="shared" si="128"/>
        <v>0.51316004900000001</v>
      </c>
    </row>
    <row r="1170" spans="1:30" ht="12.75" hidden="1" customHeight="1">
      <c r="A1170" s="125" t="str">
        <f t="shared" si="124"/>
        <v>LIC174Management Fee</v>
      </c>
      <c r="B1170" s="125">
        <f>+IFERROR(VLOOKUP(L1170,'TB mapping'!A:D,4,0),0)</f>
        <v>6.1</v>
      </c>
      <c r="C1170" s="125">
        <f>+IFERROR(VLOOKUP(L1170,'TB mapping'!A:C,3,0),0)</f>
        <v>6.3</v>
      </c>
      <c r="D1170" s="125" t="str">
        <f t="shared" si="125"/>
        <v>LIC1746.1</v>
      </c>
      <c r="E1170" s="125" t="str">
        <f t="shared" si="126"/>
        <v>LIC1746.3</v>
      </c>
      <c r="F1170" s="158" t="str">
        <f>+VLOOKUP(H1170,'code mapping'!A:C,3,0)</f>
        <v>LIC174</v>
      </c>
      <c r="G1170" s="127" t="s">
        <v>453</v>
      </c>
      <c r="H1170" s="127" t="s">
        <v>616</v>
      </c>
      <c r="I1170" s="127" t="s">
        <v>617</v>
      </c>
      <c r="J1170" s="128">
        <v>555100</v>
      </c>
      <c r="K1170" s="127" t="s">
        <v>579</v>
      </c>
      <c r="L1170" s="151">
        <v>555100</v>
      </c>
      <c r="M1170" s="128">
        <v>0</v>
      </c>
      <c r="N1170" s="127" t="s">
        <v>580</v>
      </c>
      <c r="O1170" s="127" t="s">
        <v>457</v>
      </c>
      <c r="P1170" s="128">
        <v>-1017457.49</v>
      </c>
      <c r="Q1170" s="128">
        <v>0</v>
      </c>
      <c r="R1170" s="128">
        <v>0</v>
      </c>
      <c r="S1170" s="128">
        <v>0</v>
      </c>
      <c r="T1170" s="128">
        <v>-1017457.49</v>
      </c>
      <c r="U1170" s="128">
        <v>0</v>
      </c>
      <c r="V1170" s="128">
        <v>-1017457.49</v>
      </c>
      <c r="W1170" s="128">
        <v>0</v>
      </c>
      <c r="X1170" s="128">
        <v>0</v>
      </c>
      <c r="Y1170" s="128">
        <v>0</v>
      </c>
      <c r="Z1170" s="128">
        <v>-1017457.49</v>
      </c>
      <c r="AA1170" s="128">
        <v>0</v>
      </c>
      <c r="AB1170" s="126">
        <f t="shared" si="127"/>
        <v>0.101745749</v>
      </c>
      <c r="AC1170" s="122" t="s">
        <v>1838</v>
      </c>
      <c r="AD1170" s="123">
        <f t="shared" si="128"/>
        <v>0.51316004900000001</v>
      </c>
    </row>
    <row r="1171" spans="1:30" ht="12.75" hidden="1" customHeight="1">
      <c r="A1171" s="125" t="str">
        <f t="shared" si="124"/>
        <v>LIC174Management Fees-RG</v>
      </c>
      <c r="B1171" s="125">
        <f>+IFERROR(VLOOKUP(L1171,'TB mapping'!A:D,4,0),0)</f>
        <v>6.1</v>
      </c>
      <c r="C1171" s="125">
        <f>+IFERROR(VLOOKUP(L1171,'TB mapping'!A:C,3,0),0)</f>
        <v>6.3</v>
      </c>
      <c r="D1171" s="125" t="str">
        <f t="shared" si="125"/>
        <v>LIC1746.1</v>
      </c>
      <c r="E1171" s="125" t="str">
        <f t="shared" si="126"/>
        <v>LIC1746.3</v>
      </c>
      <c r="F1171" s="158" t="str">
        <f>+VLOOKUP(H1171,'code mapping'!A:C,3,0)</f>
        <v>LIC174</v>
      </c>
      <c r="G1171" s="127" t="s">
        <v>453</v>
      </c>
      <c r="H1171" s="127" t="s">
        <v>616</v>
      </c>
      <c r="I1171" s="127" t="s">
        <v>617</v>
      </c>
      <c r="J1171" s="128">
        <v>555100</v>
      </c>
      <c r="K1171" s="127" t="s">
        <v>579</v>
      </c>
      <c r="L1171" s="151">
        <v>555191</v>
      </c>
      <c r="M1171" s="128">
        <v>0</v>
      </c>
      <c r="N1171" s="127" t="s">
        <v>581</v>
      </c>
      <c r="O1171" s="127" t="s">
        <v>457</v>
      </c>
      <c r="P1171" s="128">
        <v>-1044942.95</v>
      </c>
      <c r="Q1171" s="128">
        <v>0</v>
      </c>
      <c r="R1171" s="128">
        <v>0</v>
      </c>
      <c r="S1171" s="128">
        <v>0</v>
      </c>
      <c r="T1171" s="128">
        <v>-1044942.95</v>
      </c>
      <c r="U1171" s="128">
        <v>0</v>
      </c>
      <c r="V1171" s="128">
        <v>-1044942.95</v>
      </c>
      <c r="W1171" s="128">
        <v>0</v>
      </c>
      <c r="X1171" s="128">
        <v>0</v>
      </c>
      <c r="Y1171" s="128">
        <v>0</v>
      </c>
      <c r="Z1171" s="128">
        <v>-1044942.95</v>
      </c>
      <c r="AA1171" s="128">
        <v>0</v>
      </c>
      <c r="AB1171" s="126">
        <f t="shared" si="127"/>
        <v>0.104494295</v>
      </c>
      <c r="AC1171" s="122" t="s">
        <v>1838</v>
      </c>
      <c r="AD1171" s="123">
        <f t="shared" si="128"/>
        <v>0.51316004900000001</v>
      </c>
    </row>
    <row r="1172" spans="1:30" ht="12.75" hidden="1" customHeight="1">
      <c r="A1172" s="125" t="str">
        <f t="shared" si="124"/>
        <v>LIC174Management Fees-RD</v>
      </c>
      <c r="B1172" s="125">
        <f>+IFERROR(VLOOKUP(L1172,'TB mapping'!A:D,4,0),0)</f>
        <v>6.1</v>
      </c>
      <c r="C1172" s="125">
        <f>+IFERROR(VLOOKUP(L1172,'TB mapping'!A:C,3,0),0)</f>
        <v>6.3</v>
      </c>
      <c r="D1172" s="125" t="str">
        <f t="shared" si="125"/>
        <v>LIC1746.1</v>
      </c>
      <c r="E1172" s="125" t="str">
        <f t="shared" si="126"/>
        <v>LIC1746.3</v>
      </c>
      <c r="F1172" s="158" t="str">
        <f>+VLOOKUP(H1172,'code mapping'!A:C,3,0)</f>
        <v>LIC174</v>
      </c>
      <c r="G1172" s="127" t="s">
        <v>453</v>
      </c>
      <c r="H1172" s="127" t="s">
        <v>616</v>
      </c>
      <c r="I1172" s="127" t="s">
        <v>617</v>
      </c>
      <c r="J1172" s="128">
        <v>555100</v>
      </c>
      <c r="K1172" s="127" t="s">
        <v>579</v>
      </c>
      <c r="L1172" s="151">
        <v>555192</v>
      </c>
      <c r="M1172" s="128">
        <v>0</v>
      </c>
      <c r="N1172" s="127" t="s">
        <v>582</v>
      </c>
      <c r="O1172" s="127" t="s">
        <v>457</v>
      </c>
      <c r="P1172" s="128">
        <v>-22292.35</v>
      </c>
      <c r="Q1172" s="128">
        <v>0</v>
      </c>
      <c r="R1172" s="128">
        <v>0</v>
      </c>
      <c r="S1172" s="128">
        <v>0</v>
      </c>
      <c r="T1172" s="128">
        <v>-22292.35</v>
      </c>
      <c r="U1172" s="128">
        <v>0</v>
      </c>
      <c r="V1172" s="128">
        <v>-22292.35</v>
      </c>
      <c r="W1172" s="128">
        <v>0</v>
      </c>
      <c r="X1172" s="128">
        <v>0</v>
      </c>
      <c r="Y1172" s="128">
        <v>0</v>
      </c>
      <c r="Z1172" s="128">
        <v>-22292.35</v>
      </c>
      <c r="AA1172" s="128">
        <v>0</v>
      </c>
      <c r="AB1172" s="126">
        <f t="shared" si="127"/>
        <v>2.229235E-3</v>
      </c>
      <c r="AC1172" s="122" t="s">
        <v>1838</v>
      </c>
      <c r="AD1172" s="123">
        <f t="shared" si="128"/>
        <v>0.51316004900000001</v>
      </c>
    </row>
    <row r="1173" spans="1:30" ht="12.75" hidden="1" customHeight="1">
      <c r="A1173" s="125" t="str">
        <f t="shared" si="124"/>
        <v>LIC174Management Fees-GDP</v>
      </c>
      <c r="B1173" s="125">
        <f>+IFERROR(VLOOKUP(L1173,'TB mapping'!A:D,4,0),0)</f>
        <v>6.1</v>
      </c>
      <c r="C1173" s="125">
        <f>+IFERROR(VLOOKUP(L1173,'TB mapping'!A:C,3,0),0)</f>
        <v>6.3</v>
      </c>
      <c r="D1173" s="125" t="str">
        <f t="shared" si="125"/>
        <v>LIC1746.1</v>
      </c>
      <c r="E1173" s="125" t="str">
        <f t="shared" si="126"/>
        <v>LIC1746.3</v>
      </c>
      <c r="F1173" s="158" t="str">
        <f>+VLOOKUP(H1173,'code mapping'!A:C,3,0)</f>
        <v>LIC174</v>
      </c>
      <c r="G1173" s="127" t="s">
        <v>453</v>
      </c>
      <c r="H1173" s="127" t="s">
        <v>616</v>
      </c>
      <c r="I1173" s="127" t="s">
        <v>617</v>
      </c>
      <c r="J1173" s="128">
        <v>555100</v>
      </c>
      <c r="K1173" s="127" t="s">
        <v>579</v>
      </c>
      <c r="L1173" s="151">
        <v>555329</v>
      </c>
      <c r="M1173" s="128">
        <v>0</v>
      </c>
      <c r="N1173" s="127" t="s">
        <v>584</v>
      </c>
      <c r="O1173" s="127" t="s">
        <v>457</v>
      </c>
      <c r="P1173" s="128">
        <v>-577994.21</v>
      </c>
      <c r="Q1173" s="128">
        <v>0</v>
      </c>
      <c r="R1173" s="128">
        <v>0</v>
      </c>
      <c r="S1173" s="128">
        <v>0</v>
      </c>
      <c r="T1173" s="128">
        <v>-577994.21</v>
      </c>
      <c r="U1173" s="128">
        <v>0</v>
      </c>
      <c r="V1173" s="128">
        <v>-577994.21</v>
      </c>
      <c r="W1173" s="128">
        <v>0</v>
      </c>
      <c r="X1173" s="128">
        <v>0</v>
      </c>
      <c r="Y1173" s="128">
        <v>0</v>
      </c>
      <c r="Z1173" s="128">
        <v>-577994.21</v>
      </c>
      <c r="AA1173" s="128">
        <v>0</v>
      </c>
      <c r="AB1173" s="126">
        <f t="shared" si="127"/>
        <v>5.7799420999999997E-2</v>
      </c>
      <c r="AC1173" s="122" t="s">
        <v>1838</v>
      </c>
      <c r="AD1173" s="123">
        <f t="shared" si="128"/>
        <v>0.51316004900000001</v>
      </c>
    </row>
    <row r="1174" spans="1:30" ht="12.75" hidden="1" customHeight="1">
      <c r="A1174" s="125" t="str">
        <f t="shared" si="124"/>
        <v>LIC174Management Fees-DDP</v>
      </c>
      <c r="B1174" s="125">
        <f>+IFERROR(VLOOKUP(L1174,'TB mapping'!A:D,4,0),0)</f>
        <v>6.1</v>
      </c>
      <c r="C1174" s="125">
        <f>+IFERROR(VLOOKUP(L1174,'TB mapping'!A:C,3,0),0)</f>
        <v>6.3</v>
      </c>
      <c r="D1174" s="125" t="str">
        <f t="shared" si="125"/>
        <v>LIC1746.1</v>
      </c>
      <c r="E1174" s="125" t="str">
        <f t="shared" si="126"/>
        <v>LIC1746.3</v>
      </c>
      <c r="F1174" s="158" t="str">
        <f>+VLOOKUP(H1174,'code mapping'!A:C,3,0)</f>
        <v>LIC174</v>
      </c>
      <c r="G1174" s="127" t="s">
        <v>453</v>
      </c>
      <c r="H1174" s="127" t="s">
        <v>616</v>
      </c>
      <c r="I1174" s="127" t="s">
        <v>617</v>
      </c>
      <c r="J1174" s="128">
        <v>555100</v>
      </c>
      <c r="K1174" s="127" t="s">
        <v>579</v>
      </c>
      <c r="L1174" s="151">
        <v>555330</v>
      </c>
      <c r="M1174" s="128">
        <v>0</v>
      </c>
      <c r="N1174" s="127" t="s">
        <v>585</v>
      </c>
      <c r="O1174" s="127" t="s">
        <v>457</v>
      </c>
      <c r="P1174" s="128">
        <v>-916.03</v>
      </c>
      <c r="Q1174" s="128">
        <v>0</v>
      </c>
      <c r="R1174" s="128">
        <v>0</v>
      </c>
      <c r="S1174" s="128">
        <v>0</v>
      </c>
      <c r="T1174" s="128">
        <v>-916.03</v>
      </c>
      <c r="U1174" s="128">
        <v>0</v>
      </c>
      <c r="V1174" s="128">
        <v>-916.03</v>
      </c>
      <c r="W1174" s="128">
        <v>0</v>
      </c>
      <c r="X1174" s="128">
        <v>0</v>
      </c>
      <c r="Y1174" s="128">
        <v>0</v>
      </c>
      <c r="Z1174" s="128">
        <v>-916.03</v>
      </c>
      <c r="AA1174" s="128">
        <v>0</v>
      </c>
      <c r="AB1174" s="126">
        <f t="shared" si="127"/>
        <v>9.1602999999999997E-5</v>
      </c>
      <c r="AC1174" s="122" t="s">
        <v>1838</v>
      </c>
      <c r="AD1174" s="123">
        <f t="shared" si="128"/>
        <v>0.51316004900000001</v>
      </c>
    </row>
    <row r="1175" spans="1:30" ht="12.75" hidden="1" customHeight="1">
      <c r="A1175" s="125" t="str">
        <f t="shared" si="124"/>
        <v>LIC168Investment - Government Bonds</v>
      </c>
      <c r="B1175" s="125">
        <f>+IFERROR(VLOOKUP(L1175,'TB mapping'!A:D,4,0),0)</f>
        <v>0</v>
      </c>
      <c r="C1175" s="125">
        <f>+IFERROR(VLOOKUP(L1175,'TB mapping'!A:C,3,0),0)</f>
        <v>0</v>
      </c>
      <c r="D1175" s="125" t="str">
        <f t="shared" si="125"/>
        <v>LIC1680</v>
      </c>
      <c r="E1175" s="125" t="str">
        <f t="shared" si="126"/>
        <v>LIC1680</v>
      </c>
      <c r="F1175" s="158" t="str">
        <f>+VLOOKUP(H1175,'code mapping'!A:C,3,0)</f>
        <v>LIC168</v>
      </c>
      <c r="G1175" s="127" t="s">
        <v>453</v>
      </c>
      <c r="H1175" s="127" t="s">
        <v>618</v>
      </c>
      <c r="I1175" s="127" t="s">
        <v>619</v>
      </c>
      <c r="J1175" s="128">
        <v>102000</v>
      </c>
      <c r="K1175" s="127" t="s">
        <v>455</v>
      </c>
      <c r="L1175" s="151">
        <v>102130</v>
      </c>
      <c r="M1175" s="128">
        <v>0</v>
      </c>
      <c r="N1175" s="127" t="s">
        <v>458</v>
      </c>
      <c r="O1175" s="127" t="s">
        <v>457</v>
      </c>
      <c r="P1175" s="128">
        <v>-717441337.75</v>
      </c>
      <c r="Q1175" s="128">
        <v>0</v>
      </c>
      <c r="R1175" s="128">
        <v>0</v>
      </c>
      <c r="S1175" s="128">
        <v>0</v>
      </c>
      <c r="T1175" s="128">
        <v>-717441337.75</v>
      </c>
      <c r="U1175" s="128">
        <v>0</v>
      </c>
      <c r="V1175" s="128">
        <v>-717441337.75</v>
      </c>
      <c r="W1175" s="128">
        <v>0</v>
      </c>
      <c r="X1175" s="128">
        <v>0</v>
      </c>
      <c r="Y1175" s="128">
        <v>0</v>
      </c>
      <c r="Z1175" s="128">
        <v>-717441337.75</v>
      </c>
      <c r="AA1175" s="128">
        <v>0</v>
      </c>
      <c r="AB1175" s="126">
        <f t="shared" si="127"/>
        <v>71.744133774999995</v>
      </c>
      <c r="AC1175" s="122" t="s">
        <v>1838</v>
      </c>
      <c r="AD1175" s="123">
        <f t="shared" ref="AD1175:AD1202" si="129">SUMIF(C:C,C1175,AB:AB)</f>
        <v>1983.9723217250009</v>
      </c>
    </row>
    <row r="1176" spans="1:30" ht="12.75" hidden="1" customHeight="1">
      <c r="A1176" s="125" t="str">
        <f t="shared" si="124"/>
        <v>LIC168Investment - CBLO</v>
      </c>
      <c r="B1176" s="125">
        <f>+IFERROR(VLOOKUP(L1176,'TB mapping'!A:D,4,0),0)</f>
        <v>0</v>
      </c>
      <c r="C1176" s="125">
        <f>+IFERROR(VLOOKUP(L1176,'TB mapping'!A:C,3,0),0)</f>
        <v>0</v>
      </c>
      <c r="D1176" s="125" t="str">
        <f t="shared" si="125"/>
        <v>LIC1680</v>
      </c>
      <c r="E1176" s="125" t="str">
        <f t="shared" si="126"/>
        <v>LIC1680</v>
      </c>
      <c r="F1176" s="158" t="str">
        <f>+VLOOKUP(H1176,'code mapping'!A:C,3,0)</f>
        <v>LIC168</v>
      </c>
      <c r="G1176" s="127" t="s">
        <v>453</v>
      </c>
      <c r="H1176" s="127" t="s">
        <v>618</v>
      </c>
      <c r="I1176" s="127" t="s">
        <v>619</v>
      </c>
      <c r="J1176" s="128">
        <v>110000</v>
      </c>
      <c r="K1176" s="127" t="s">
        <v>462</v>
      </c>
      <c r="L1176" s="151">
        <v>110100</v>
      </c>
      <c r="M1176" s="128">
        <v>0</v>
      </c>
      <c r="N1176" s="127" t="s">
        <v>463</v>
      </c>
      <c r="O1176" s="127" t="s">
        <v>457</v>
      </c>
      <c r="P1176" s="128">
        <v>-639416.07000000007</v>
      </c>
      <c r="Q1176" s="128">
        <v>0</v>
      </c>
      <c r="R1176" s="128">
        <v>0</v>
      </c>
      <c r="S1176" s="128">
        <v>0</v>
      </c>
      <c r="T1176" s="128">
        <v>-639416.07000000007</v>
      </c>
      <c r="U1176" s="128">
        <v>0</v>
      </c>
      <c r="V1176" s="128">
        <v>-639416.07000000007</v>
      </c>
      <c r="W1176" s="128">
        <v>0</v>
      </c>
      <c r="X1176" s="128">
        <v>0</v>
      </c>
      <c r="Y1176" s="128">
        <v>0</v>
      </c>
      <c r="Z1176" s="128">
        <v>-639416.07000000007</v>
      </c>
      <c r="AA1176" s="128">
        <v>0</v>
      </c>
      <c r="AB1176" s="126">
        <f t="shared" si="127"/>
        <v>6.3941607000000011E-2</v>
      </c>
      <c r="AC1176" s="122" t="s">
        <v>1838</v>
      </c>
      <c r="AD1176" s="123">
        <f t="shared" si="129"/>
        <v>1983.9723217250009</v>
      </c>
    </row>
    <row r="1177" spans="1:30" ht="12.75" hidden="1" customHeight="1">
      <c r="A1177" s="125" t="str">
        <f t="shared" si="124"/>
        <v>LIC168Margin Money Deposits</v>
      </c>
      <c r="B1177" s="125">
        <f>+IFERROR(VLOOKUP(L1177,'TB mapping'!A:D,4,0),0)</f>
        <v>0</v>
      </c>
      <c r="C1177" s="125">
        <f>+IFERROR(VLOOKUP(L1177,'TB mapping'!A:C,3,0),0)</f>
        <v>0</v>
      </c>
      <c r="D1177" s="125" t="str">
        <f t="shared" si="125"/>
        <v>LIC1680</v>
      </c>
      <c r="E1177" s="125" t="str">
        <f t="shared" si="126"/>
        <v>LIC1680</v>
      </c>
      <c r="F1177" s="158" t="str">
        <f>+VLOOKUP(H1177,'code mapping'!A:C,3,0)</f>
        <v>LIC168</v>
      </c>
      <c r="G1177" s="127" t="s">
        <v>453</v>
      </c>
      <c r="H1177" s="127" t="s">
        <v>618</v>
      </c>
      <c r="I1177" s="127" t="s">
        <v>619</v>
      </c>
      <c r="J1177" s="128">
        <v>110000</v>
      </c>
      <c r="K1177" s="127" t="s">
        <v>462</v>
      </c>
      <c r="L1177" s="151">
        <v>110110</v>
      </c>
      <c r="M1177" s="128">
        <v>0</v>
      </c>
      <c r="N1177" s="127" t="s">
        <v>464</v>
      </c>
      <c r="O1177" s="127" t="s">
        <v>457</v>
      </c>
      <c r="P1177" s="128">
        <v>-50000</v>
      </c>
      <c r="Q1177" s="128">
        <v>0</v>
      </c>
      <c r="R1177" s="128">
        <v>0</v>
      </c>
      <c r="S1177" s="128">
        <v>0</v>
      </c>
      <c r="T1177" s="128">
        <v>-50000</v>
      </c>
      <c r="U1177" s="128">
        <v>0</v>
      </c>
      <c r="V1177" s="128">
        <v>-50000</v>
      </c>
      <c r="W1177" s="128">
        <v>0</v>
      </c>
      <c r="X1177" s="128">
        <v>0</v>
      </c>
      <c r="Y1177" s="128">
        <v>0</v>
      </c>
      <c r="Z1177" s="128">
        <v>-50000</v>
      </c>
      <c r="AA1177" s="128">
        <v>0</v>
      </c>
      <c r="AB1177" s="126">
        <f t="shared" si="127"/>
        <v>5.0000000000000001E-3</v>
      </c>
      <c r="AC1177" s="122" t="s">
        <v>1838</v>
      </c>
      <c r="AD1177" s="123">
        <f t="shared" si="129"/>
        <v>1983.9723217250009</v>
      </c>
    </row>
    <row r="1178" spans="1:30" ht="12.75" hidden="1" customHeight="1">
      <c r="A1178" s="125" t="str">
        <f t="shared" si="124"/>
        <v>LIC168Receivable from AMC</v>
      </c>
      <c r="B1178" s="125">
        <f>+IFERROR(VLOOKUP(L1178,'TB mapping'!A:D,4,0),0)</f>
        <v>0</v>
      </c>
      <c r="C1178" s="125">
        <f>+IFERROR(VLOOKUP(L1178,'TB mapping'!A:C,3,0),0)</f>
        <v>0</v>
      </c>
      <c r="D1178" s="125" t="str">
        <f t="shared" si="125"/>
        <v>LIC1680</v>
      </c>
      <c r="E1178" s="125" t="str">
        <f t="shared" si="126"/>
        <v>LIC1680</v>
      </c>
      <c r="F1178" s="158" t="str">
        <f>+VLOOKUP(H1178,'code mapping'!A:C,3,0)</f>
        <v>LIC168</v>
      </c>
      <c r="G1178" s="127" t="s">
        <v>453</v>
      </c>
      <c r="H1178" s="127" t="s">
        <v>618</v>
      </c>
      <c r="I1178" s="127" t="s">
        <v>619</v>
      </c>
      <c r="J1178" s="128">
        <v>132000</v>
      </c>
      <c r="K1178" s="127" t="s">
        <v>466</v>
      </c>
      <c r="L1178" s="151">
        <v>152400</v>
      </c>
      <c r="M1178" s="128">
        <v>0</v>
      </c>
      <c r="N1178" s="127" t="s">
        <v>471</v>
      </c>
      <c r="O1178" s="127" t="s">
        <v>457</v>
      </c>
      <c r="P1178" s="128">
        <v>-0.72</v>
      </c>
      <c r="Q1178" s="128">
        <v>0</v>
      </c>
      <c r="R1178" s="128">
        <v>0</v>
      </c>
      <c r="S1178" s="128">
        <v>0</v>
      </c>
      <c r="T1178" s="128">
        <v>-0.72</v>
      </c>
      <c r="U1178" s="128">
        <v>0</v>
      </c>
      <c r="V1178" s="128">
        <v>-0.72</v>
      </c>
      <c r="W1178" s="128">
        <v>0</v>
      </c>
      <c r="X1178" s="128">
        <v>0</v>
      </c>
      <c r="Y1178" s="128">
        <v>0</v>
      </c>
      <c r="Z1178" s="128">
        <v>-0.72</v>
      </c>
      <c r="AA1178" s="128">
        <v>0</v>
      </c>
      <c r="AB1178" s="126">
        <f t="shared" si="127"/>
        <v>7.1999999999999996E-8</v>
      </c>
      <c r="AC1178" s="122" t="s">
        <v>1838</v>
      </c>
      <c r="AD1178" s="123">
        <f t="shared" si="129"/>
        <v>1983.9723217250009</v>
      </c>
    </row>
    <row r="1179" spans="1:30" ht="12.75" hidden="1" customHeight="1">
      <c r="A1179" s="125" t="str">
        <f t="shared" si="124"/>
        <v>LIC168CCIL Settlement A/C</v>
      </c>
      <c r="B1179" s="125">
        <f>+IFERROR(VLOOKUP(L1179,'TB mapping'!A:D,4,0),0)</f>
        <v>0</v>
      </c>
      <c r="C1179" s="125">
        <f>+IFERROR(VLOOKUP(L1179,'TB mapping'!A:C,3,0),0)</f>
        <v>0</v>
      </c>
      <c r="D1179" s="125" t="str">
        <f t="shared" si="125"/>
        <v>LIC1680</v>
      </c>
      <c r="E1179" s="125" t="str">
        <f t="shared" si="126"/>
        <v>LIC1680</v>
      </c>
      <c r="F1179" s="158" t="str">
        <f>+VLOOKUP(H1179,'code mapping'!A:C,3,0)</f>
        <v>LIC168</v>
      </c>
      <c r="G1179" s="127" t="s">
        <v>453</v>
      </c>
      <c r="H1179" s="127" t="s">
        <v>618</v>
      </c>
      <c r="I1179" s="127" t="s">
        <v>619</v>
      </c>
      <c r="J1179" s="128">
        <v>140000</v>
      </c>
      <c r="K1179" s="127" t="s">
        <v>472</v>
      </c>
      <c r="L1179" s="151">
        <v>132237</v>
      </c>
      <c r="M1179" s="128">
        <v>0</v>
      </c>
      <c r="N1179" s="127" t="s">
        <v>473</v>
      </c>
      <c r="O1179" s="127" t="s">
        <v>457</v>
      </c>
      <c r="P1179" s="128">
        <v>0</v>
      </c>
      <c r="Q1179" s="128">
        <v>0.06</v>
      </c>
      <c r="R1179" s="128">
        <v>0</v>
      </c>
      <c r="S1179" s="128">
        <v>0</v>
      </c>
      <c r="T1179" s="128">
        <v>0</v>
      </c>
      <c r="U1179" s="128">
        <v>0.06</v>
      </c>
      <c r="V1179" s="128">
        <v>0</v>
      </c>
      <c r="W1179" s="128">
        <v>0.06</v>
      </c>
      <c r="X1179" s="128">
        <v>0</v>
      </c>
      <c r="Y1179" s="128">
        <v>0</v>
      </c>
      <c r="Z1179" s="128">
        <v>0</v>
      </c>
      <c r="AA1179" s="128">
        <v>0.06</v>
      </c>
      <c r="AB1179" s="126">
        <f t="shared" si="127"/>
        <v>-6E-9</v>
      </c>
      <c r="AC1179" s="122" t="s">
        <v>1838</v>
      </c>
      <c r="AD1179" s="123">
        <f t="shared" si="129"/>
        <v>1983.9723217250009</v>
      </c>
    </row>
    <row r="1180" spans="1:30" ht="12.75" hidden="1" customHeight="1">
      <c r="A1180" s="125" t="str">
        <f t="shared" si="124"/>
        <v>LIC168HDFC Bank Ltd</v>
      </c>
      <c r="B1180" s="125">
        <f>+IFERROR(VLOOKUP(L1180,'TB mapping'!A:D,4,0),0)</f>
        <v>0</v>
      </c>
      <c r="C1180" s="125">
        <f>+IFERROR(VLOOKUP(L1180,'TB mapping'!A:C,3,0),0)</f>
        <v>0</v>
      </c>
      <c r="D1180" s="125" t="str">
        <f t="shared" si="125"/>
        <v>LIC1680</v>
      </c>
      <c r="E1180" s="125" t="str">
        <f t="shared" si="126"/>
        <v>LIC1680</v>
      </c>
      <c r="F1180" s="158" t="str">
        <f>+VLOOKUP(H1180,'code mapping'!A:C,3,0)</f>
        <v>LIC168</v>
      </c>
      <c r="G1180" s="127" t="s">
        <v>453</v>
      </c>
      <c r="H1180" s="127" t="s">
        <v>618</v>
      </c>
      <c r="I1180" s="127" t="s">
        <v>619</v>
      </c>
      <c r="J1180" s="128">
        <v>140000</v>
      </c>
      <c r="K1180" s="127" t="s">
        <v>472</v>
      </c>
      <c r="L1180" s="151">
        <v>140372</v>
      </c>
      <c r="M1180" s="128">
        <v>0</v>
      </c>
      <c r="N1180" s="127" t="s">
        <v>476</v>
      </c>
      <c r="O1180" s="127" t="s">
        <v>457</v>
      </c>
      <c r="P1180" s="128">
        <v>-0.08</v>
      </c>
      <c r="Q1180" s="128">
        <v>0</v>
      </c>
      <c r="R1180" s="128">
        <v>0</v>
      </c>
      <c r="S1180" s="128">
        <v>0</v>
      </c>
      <c r="T1180" s="128">
        <v>-0.08</v>
      </c>
      <c r="U1180" s="128">
        <v>0</v>
      </c>
      <c r="V1180" s="128">
        <v>-0.08</v>
      </c>
      <c r="W1180" s="128">
        <v>0</v>
      </c>
      <c r="X1180" s="128">
        <v>0</v>
      </c>
      <c r="Y1180" s="128">
        <v>0</v>
      </c>
      <c r="Z1180" s="128">
        <v>-0.08</v>
      </c>
      <c r="AA1180" s="128">
        <v>0</v>
      </c>
      <c r="AB1180" s="126">
        <f t="shared" si="127"/>
        <v>8.0000000000000005E-9</v>
      </c>
      <c r="AC1180" s="122" t="s">
        <v>1838</v>
      </c>
      <c r="AD1180" s="123">
        <f t="shared" si="129"/>
        <v>1983.9723217250009</v>
      </c>
    </row>
    <row r="1181" spans="1:30" ht="12.75" hidden="1" customHeight="1">
      <c r="A1181" s="125" t="str">
        <f t="shared" si="124"/>
        <v>LIC168Standard Chartered Bank- India</v>
      </c>
      <c r="B1181" s="125">
        <f>+IFERROR(VLOOKUP(L1181,'TB mapping'!A:D,4,0),0)</f>
        <v>0</v>
      </c>
      <c r="C1181" s="125">
        <f>+IFERROR(VLOOKUP(L1181,'TB mapping'!A:C,3,0),0)</f>
        <v>0</v>
      </c>
      <c r="D1181" s="125" t="str">
        <f t="shared" si="125"/>
        <v>LIC1680</v>
      </c>
      <c r="E1181" s="125" t="str">
        <f t="shared" si="126"/>
        <v>LIC1680</v>
      </c>
      <c r="F1181" s="158" t="str">
        <f>+VLOOKUP(H1181,'code mapping'!A:C,3,0)</f>
        <v>LIC168</v>
      </c>
      <c r="G1181" s="127" t="s">
        <v>453</v>
      </c>
      <c r="H1181" s="127" t="s">
        <v>618</v>
      </c>
      <c r="I1181" s="127" t="s">
        <v>619</v>
      </c>
      <c r="J1181" s="128">
        <v>140000</v>
      </c>
      <c r="K1181" s="127" t="s">
        <v>472</v>
      </c>
      <c r="L1181" s="151">
        <v>140500</v>
      </c>
      <c r="M1181" s="128">
        <v>0</v>
      </c>
      <c r="N1181" s="127" t="s">
        <v>477</v>
      </c>
      <c r="O1181" s="127" t="s">
        <v>457</v>
      </c>
      <c r="P1181" s="128">
        <v>-430.27</v>
      </c>
      <c r="Q1181" s="128">
        <v>0</v>
      </c>
      <c r="R1181" s="128">
        <v>0</v>
      </c>
      <c r="S1181" s="128">
        <v>0</v>
      </c>
      <c r="T1181" s="128">
        <v>-430.27</v>
      </c>
      <c r="U1181" s="128">
        <v>0</v>
      </c>
      <c r="V1181" s="128">
        <v>-430.27</v>
      </c>
      <c r="W1181" s="128">
        <v>0</v>
      </c>
      <c r="X1181" s="128">
        <v>0</v>
      </c>
      <c r="Y1181" s="128">
        <v>0</v>
      </c>
      <c r="Z1181" s="128">
        <v>-430.27</v>
      </c>
      <c r="AA1181" s="128">
        <v>0</v>
      </c>
      <c r="AB1181" s="126">
        <f t="shared" si="127"/>
        <v>4.3027E-5</v>
      </c>
      <c r="AC1181" s="122" t="s">
        <v>1838</v>
      </c>
      <c r="AD1181" s="123">
        <f t="shared" si="129"/>
        <v>1983.9723217250009</v>
      </c>
    </row>
    <row r="1182" spans="1:30" ht="12.75" hidden="1" customHeight="1">
      <c r="A1182" s="125" t="str">
        <f t="shared" si="124"/>
        <v>LIC168Int Accrual - Government Bonds</v>
      </c>
      <c r="B1182" s="125">
        <f>+IFERROR(VLOOKUP(L1182,'TB mapping'!A:D,4,0),0)</f>
        <v>0</v>
      </c>
      <c r="C1182" s="125">
        <f>+IFERROR(VLOOKUP(L1182,'TB mapping'!A:C,3,0),0)</f>
        <v>0</v>
      </c>
      <c r="D1182" s="125" t="str">
        <f t="shared" si="125"/>
        <v>LIC1680</v>
      </c>
      <c r="E1182" s="125" t="str">
        <f t="shared" si="126"/>
        <v>LIC1680</v>
      </c>
      <c r="F1182" s="158" t="str">
        <f>+VLOOKUP(H1182,'code mapping'!A:C,3,0)</f>
        <v>LIC168</v>
      </c>
      <c r="G1182" s="127" t="s">
        <v>453</v>
      </c>
      <c r="H1182" s="127" t="s">
        <v>618</v>
      </c>
      <c r="I1182" s="127" t="s">
        <v>619</v>
      </c>
      <c r="J1182" s="128">
        <v>152000</v>
      </c>
      <c r="K1182" s="127" t="s">
        <v>478</v>
      </c>
      <c r="L1182" s="151">
        <v>152130</v>
      </c>
      <c r="M1182" s="128">
        <v>0</v>
      </c>
      <c r="N1182" s="127" t="s">
        <v>480</v>
      </c>
      <c r="O1182" s="127" t="s">
        <v>457</v>
      </c>
      <c r="P1182" s="128">
        <v>-16599869.949999999</v>
      </c>
      <c r="Q1182" s="128">
        <v>0</v>
      </c>
      <c r="R1182" s="128">
        <v>0</v>
      </c>
      <c r="S1182" s="128">
        <v>0</v>
      </c>
      <c r="T1182" s="128">
        <v>-16599869.949999999</v>
      </c>
      <c r="U1182" s="128">
        <v>0</v>
      </c>
      <c r="V1182" s="128">
        <v>-16599869.949999999</v>
      </c>
      <c r="W1182" s="128">
        <v>0</v>
      </c>
      <c r="X1182" s="128">
        <v>0</v>
      </c>
      <c r="Y1182" s="128">
        <v>0</v>
      </c>
      <c r="Z1182" s="128">
        <v>-16599869.949999999</v>
      </c>
      <c r="AA1182" s="128">
        <v>0</v>
      </c>
      <c r="AB1182" s="126">
        <f t="shared" si="127"/>
        <v>1.6599869949999999</v>
      </c>
      <c r="AC1182" s="122" t="s">
        <v>1838</v>
      </c>
      <c r="AD1182" s="123">
        <f t="shared" si="129"/>
        <v>1983.9723217250009</v>
      </c>
    </row>
    <row r="1183" spans="1:30" ht="12.75" hidden="1" customHeight="1">
      <c r="A1183" s="125" t="str">
        <f t="shared" si="124"/>
        <v>LIC168Amort Receivable - CBLO</v>
      </c>
      <c r="B1183" s="125">
        <f>+IFERROR(VLOOKUP(L1183,'TB mapping'!A:D,4,0),0)</f>
        <v>0</v>
      </c>
      <c r="C1183" s="125">
        <f>+IFERROR(VLOOKUP(L1183,'TB mapping'!A:C,3,0),0)</f>
        <v>0</v>
      </c>
      <c r="D1183" s="125" t="str">
        <f t="shared" si="125"/>
        <v>LIC1680</v>
      </c>
      <c r="E1183" s="125" t="str">
        <f t="shared" si="126"/>
        <v>LIC1680</v>
      </c>
      <c r="F1183" s="158" t="str">
        <f>+VLOOKUP(H1183,'code mapping'!A:C,3,0)</f>
        <v>LIC168</v>
      </c>
      <c r="G1183" s="127" t="s">
        <v>453</v>
      </c>
      <c r="H1183" s="127" t="s">
        <v>618</v>
      </c>
      <c r="I1183" s="127" t="s">
        <v>619</v>
      </c>
      <c r="J1183" s="128">
        <v>152000</v>
      </c>
      <c r="K1183" s="127" t="s">
        <v>478</v>
      </c>
      <c r="L1183" s="151">
        <v>152232</v>
      </c>
      <c r="M1183" s="128">
        <v>0</v>
      </c>
      <c r="N1183" s="127" t="s">
        <v>482</v>
      </c>
      <c r="O1183" s="127" t="s">
        <v>457</v>
      </c>
      <c r="P1183" s="128">
        <v>-286.10000000000002</v>
      </c>
      <c r="Q1183" s="128">
        <v>0</v>
      </c>
      <c r="R1183" s="128">
        <v>0</v>
      </c>
      <c r="S1183" s="128">
        <v>0</v>
      </c>
      <c r="T1183" s="128">
        <v>-286.10000000000002</v>
      </c>
      <c r="U1183" s="128">
        <v>0</v>
      </c>
      <c r="V1183" s="128">
        <v>-286.10000000000002</v>
      </c>
      <c r="W1183" s="128">
        <v>0</v>
      </c>
      <c r="X1183" s="128">
        <v>0</v>
      </c>
      <c r="Y1183" s="128">
        <v>0</v>
      </c>
      <c r="Z1183" s="128">
        <v>-286.10000000000002</v>
      </c>
      <c r="AA1183" s="128">
        <v>0</v>
      </c>
      <c r="AB1183" s="126">
        <f t="shared" si="127"/>
        <v>2.8610000000000002E-5</v>
      </c>
      <c r="AC1183" s="122" t="s">
        <v>1838</v>
      </c>
      <c r="AD1183" s="123">
        <f t="shared" si="129"/>
        <v>1983.9723217250009</v>
      </c>
    </row>
    <row r="1184" spans="1:30" ht="12.75" hidden="1" customHeight="1">
      <c r="A1184" s="125" t="str">
        <f t="shared" si="124"/>
        <v>LIC168Prov Unr P/L - Government Bond</v>
      </c>
      <c r="B1184" s="125">
        <f>+IFERROR(VLOOKUP(L1184,'TB mapping'!A:D,4,0),0)</f>
        <v>0</v>
      </c>
      <c r="C1184" s="125">
        <f>+IFERROR(VLOOKUP(L1184,'TB mapping'!A:C,3,0),0)</f>
        <v>0</v>
      </c>
      <c r="D1184" s="125" t="str">
        <f t="shared" si="125"/>
        <v>LIC1680</v>
      </c>
      <c r="E1184" s="125" t="str">
        <f t="shared" si="126"/>
        <v>LIC1680</v>
      </c>
      <c r="F1184" s="158" t="str">
        <f>+VLOOKUP(H1184,'code mapping'!A:C,3,0)</f>
        <v>LIC168</v>
      </c>
      <c r="G1184" s="127" t="s">
        <v>453</v>
      </c>
      <c r="H1184" s="127" t="s">
        <v>618</v>
      </c>
      <c r="I1184" s="127" t="s">
        <v>619</v>
      </c>
      <c r="J1184" s="128">
        <v>160000</v>
      </c>
      <c r="K1184" s="127" t="s">
        <v>483</v>
      </c>
      <c r="L1184" s="151">
        <v>162130</v>
      </c>
      <c r="M1184" s="128">
        <v>0</v>
      </c>
      <c r="N1184" s="127" t="s">
        <v>485</v>
      </c>
      <c r="O1184" s="127" t="s">
        <v>457</v>
      </c>
      <c r="P1184" s="128">
        <v>0</v>
      </c>
      <c r="Q1184" s="128">
        <v>17642820.710000001</v>
      </c>
      <c r="R1184" s="128">
        <v>0</v>
      </c>
      <c r="S1184" s="128">
        <v>0</v>
      </c>
      <c r="T1184" s="128">
        <v>0</v>
      </c>
      <c r="U1184" s="128">
        <v>17642820.710000001</v>
      </c>
      <c r="V1184" s="128">
        <v>0</v>
      </c>
      <c r="W1184" s="128">
        <v>17642820.710000001</v>
      </c>
      <c r="X1184" s="128">
        <v>0</v>
      </c>
      <c r="Y1184" s="128">
        <v>0</v>
      </c>
      <c r="Z1184" s="128">
        <v>0</v>
      </c>
      <c r="AA1184" s="128">
        <v>17642820.710000001</v>
      </c>
      <c r="AB1184" s="126">
        <f t="shared" si="127"/>
        <v>-1.764282071</v>
      </c>
      <c r="AC1184" s="122" t="s">
        <v>1838</v>
      </c>
      <c r="AD1184" s="123">
        <f t="shared" si="129"/>
        <v>1983.9723217250009</v>
      </c>
    </row>
    <row r="1185" spans="1:30" ht="12.75" hidden="1" customHeight="1">
      <c r="A1185" s="125" t="str">
        <f t="shared" si="124"/>
        <v>LIC168Payable - Withhold Brokerage</v>
      </c>
      <c r="B1185" s="125">
        <f>+IFERROR(VLOOKUP(L1185,'TB mapping'!A:D,4,0),0)</f>
        <v>0</v>
      </c>
      <c r="C1185" s="125">
        <f>+IFERROR(VLOOKUP(L1185,'TB mapping'!A:C,3,0),0)</f>
        <v>0</v>
      </c>
      <c r="D1185" s="125" t="str">
        <f t="shared" si="125"/>
        <v>LIC1680</v>
      </c>
      <c r="E1185" s="125" t="str">
        <f t="shared" si="126"/>
        <v>LIC1680</v>
      </c>
      <c r="F1185" s="158" t="str">
        <f>+VLOOKUP(H1185,'code mapping'!A:C,3,0)</f>
        <v>LIC168</v>
      </c>
      <c r="G1185" s="127" t="s">
        <v>453</v>
      </c>
      <c r="H1185" s="127" t="s">
        <v>618</v>
      </c>
      <c r="I1185" s="127" t="s">
        <v>619</v>
      </c>
      <c r="J1185" s="128">
        <v>212000</v>
      </c>
      <c r="K1185" s="127" t="s">
        <v>487</v>
      </c>
      <c r="L1185" s="151">
        <v>210164</v>
      </c>
      <c r="M1185" s="128">
        <v>0</v>
      </c>
      <c r="N1185" s="127" t="s">
        <v>488</v>
      </c>
      <c r="O1185" s="127" t="s">
        <v>457</v>
      </c>
      <c r="P1185" s="128">
        <v>0</v>
      </c>
      <c r="Q1185" s="128">
        <v>1.26</v>
      </c>
      <c r="R1185" s="128">
        <v>0</v>
      </c>
      <c r="S1185" s="128">
        <v>0</v>
      </c>
      <c r="T1185" s="128">
        <v>0</v>
      </c>
      <c r="U1185" s="128">
        <v>1.26</v>
      </c>
      <c r="V1185" s="128">
        <v>0</v>
      </c>
      <c r="W1185" s="128">
        <v>1.26</v>
      </c>
      <c r="X1185" s="128">
        <v>0</v>
      </c>
      <c r="Y1185" s="128">
        <v>0</v>
      </c>
      <c r="Z1185" s="128">
        <v>0</v>
      </c>
      <c r="AA1185" s="128">
        <v>1.26</v>
      </c>
      <c r="AB1185" s="126">
        <f t="shared" si="127"/>
        <v>-1.2599999999999999E-7</v>
      </c>
      <c r="AC1185" s="122" t="s">
        <v>1838</v>
      </c>
      <c r="AD1185" s="123">
        <f t="shared" si="129"/>
        <v>1983.9723217250009</v>
      </c>
    </row>
    <row r="1186" spans="1:30" ht="12.75" hidden="1" customHeight="1">
      <c r="A1186" s="125" t="str">
        <f t="shared" si="124"/>
        <v>LIC168Redemption Payable Ct</v>
      </c>
      <c r="B1186" s="125">
        <f>+IFERROR(VLOOKUP(L1186,'TB mapping'!A:D,4,0),0)</f>
        <v>0</v>
      </c>
      <c r="C1186" s="125">
        <f>+IFERROR(VLOOKUP(L1186,'TB mapping'!A:C,3,0),0)</f>
        <v>0</v>
      </c>
      <c r="D1186" s="125" t="str">
        <f t="shared" si="125"/>
        <v>LIC1680</v>
      </c>
      <c r="E1186" s="125" t="str">
        <f t="shared" si="126"/>
        <v>LIC1680</v>
      </c>
      <c r="F1186" s="158" t="str">
        <f>+VLOOKUP(H1186,'code mapping'!A:C,3,0)</f>
        <v>LIC168</v>
      </c>
      <c r="G1186" s="127" t="s">
        <v>453</v>
      </c>
      <c r="H1186" s="127" t="s">
        <v>618</v>
      </c>
      <c r="I1186" s="127" t="s">
        <v>619</v>
      </c>
      <c r="J1186" s="128">
        <v>212000</v>
      </c>
      <c r="K1186" s="127" t="s">
        <v>487</v>
      </c>
      <c r="L1186" s="151">
        <v>212121</v>
      </c>
      <c r="M1186" s="128">
        <v>0</v>
      </c>
      <c r="N1186" s="127" t="s">
        <v>493</v>
      </c>
      <c r="O1186" s="127" t="s">
        <v>457</v>
      </c>
      <c r="P1186" s="128">
        <v>0</v>
      </c>
      <c r="Q1186" s="128">
        <v>0.39</v>
      </c>
      <c r="R1186" s="128">
        <v>0</v>
      </c>
      <c r="S1186" s="128">
        <v>0</v>
      </c>
      <c r="T1186" s="128">
        <v>0</v>
      </c>
      <c r="U1186" s="128">
        <v>0.39</v>
      </c>
      <c r="V1186" s="128">
        <v>0</v>
      </c>
      <c r="W1186" s="128">
        <v>0.39</v>
      </c>
      <c r="X1186" s="128">
        <v>0</v>
      </c>
      <c r="Y1186" s="128">
        <v>0</v>
      </c>
      <c r="Z1186" s="128">
        <v>0</v>
      </c>
      <c r="AA1186" s="128">
        <v>0.39</v>
      </c>
      <c r="AB1186" s="126">
        <f t="shared" si="127"/>
        <v>-3.8999999999999998E-8</v>
      </c>
      <c r="AC1186" s="122" t="s">
        <v>1838</v>
      </c>
      <c r="AD1186" s="123">
        <f t="shared" si="129"/>
        <v>1983.9723217250009</v>
      </c>
    </row>
    <row r="1187" spans="1:30" ht="12.75" hidden="1" customHeight="1">
      <c r="A1187" s="125" t="str">
        <f t="shared" si="124"/>
        <v>LIC168Audit Fee-Payable</v>
      </c>
      <c r="B1187" s="125">
        <f>+IFERROR(VLOOKUP(L1187,'TB mapping'!A:D,4,0),0)</f>
        <v>0</v>
      </c>
      <c r="C1187" s="125">
        <f>+IFERROR(VLOOKUP(L1187,'TB mapping'!A:C,3,0),0)</f>
        <v>0</v>
      </c>
      <c r="D1187" s="125" t="str">
        <f t="shared" si="125"/>
        <v>LIC1680</v>
      </c>
      <c r="E1187" s="125" t="str">
        <f t="shared" si="126"/>
        <v>LIC1680</v>
      </c>
      <c r="F1187" s="158" t="str">
        <f>+VLOOKUP(H1187,'code mapping'!A:C,3,0)</f>
        <v>LIC168</v>
      </c>
      <c r="G1187" s="127" t="s">
        <v>453</v>
      </c>
      <c r="H1187" s="127" t="s">
        <v>618</v>
      </c>
      <c r="I1187" s="127" t="s">
        <v>619</v>
      </c>
      <c r="J1187" s="128">
        <v>212000</v>
      </c>
      <c r="K1187" s="127" t="s">
        <v>487</v>
      </c>
      <c r="L1187" s="151">
        <v>212194</v>
      </c>
      <c r="M1187" s="128">
        <v>0</v>
      </c>
      <c r="N1187" s="127" t="s">
        <v>496</v>
      </c>
      <c r="O1187" s="127" t="s">
        <v>457</v>
      </c>
      <c r="P1187" s="128">
        <v>-77.38</v>
      </c>
      <c r="Q1187" s="128">
        <v>0</v>
      </c>
      <c r="R1187" s="128">
        <v>0</v>
      </c>
      <c r="S1187" s="128">
        <v>0</v>
      </c>
      <c r="T1187" s="128">
        <v>-77.38</v>
      </c>
      <c r="U1187" s="128">
        <v>0</v>
      </c>
      <c r="V1187" s="128">
        <v>-77.38</v>
      </c>
      <c r="W1187" s="128">
        <v>0</v>
      </c>
      <c r="X1187" s="128">
        <v>0</v>
      </c>
      <c r="Y1187" s="128">
        <v>0</v>
      </c>
      <c r="Z1187" s="128">
        <v>-77.38</v>
      </c>
      <c r="AA1187" s="128">
        <v>0</v>
      </c>
      <c r="AB1187" s="126">
        <f t="shared" si="127"/>
        <v>7.7379999999999994E-6</v>
      </c>
      <c r="AC1187" s="122" t="s">
        <v>1838</v>
      </c>
      <c r="AD1187" s="123">
        <f t="shared" si="129"/>
        <v>1983.9723217250009</v>
      </c>
    </row>
    <row r="1188" spans="1:30" ht="12.75" hidden="1" customHeight="1">
      <c r="A1188" s="125" t="str">
        <f t="shared" si="124"/>
        <v>LIC168Other Exp- Payable</v>
      </c>
      <c r="B1188" s="125">
        <f>+IFERROR(VLOOKUP(L1188,'TB mapping'!A:D,4,0),0)</f>
        <v>0</v>
      </c>
      <c r="C1188" s="125">
        <f>+IFERROR(VLOOKUP(L1188,'TB mapping'!A:C,3,0),0)</f>
        <v>0</v>
      </c>
      <c r="D1188" s="125" t="str">
        <f t="shared" si="125"/>
        <v>LIC1680</v>
      </c>
      <c r="E1188" s="125" t="str">
        <f t="shared" si="126"/>
        <v>LIC1680</v>
      </c>
      <c r="F1188" s="158" t="str">
        <f>+VLOOKUP(H1188,'code mapping'!A:C,3,0)</f>
        <v>LIC168</v>
      </c>
      <c r="G1188" s="127" t="s">
        <v>453</v>
      </c>
      <c r="H1188" s="127" t="s">
        <v>618</v>
      </c>
      <c r="I1188" s="127" t="s">
        <v>619</v>
      </c>
      <c r="J1188" s="128">
        <v>212000</v>
      </c>
      <c r="K1188" s="127" t="s">
        <v>487</v>
      </c>
      <c r="L1188" s="151">
        <v>212220</v>
      </c>
      <c r="M1188" s="128">
        <v>0</v>
      </c>
      <c r="N1188" s="127" t="s">
        <v>497</v>
      </c>
      <c r="O1188" s="127" t="s">
        <v>457</v>
      </c>
      <c r="P1188" s="128">
        <v>0</v>
      </c>
      <c r="Q1188" s="128">
        <v>891088.6</v>
      </c>
      <c r="R1188" s="128">
        <v>0</v>
      </c>
      <c r="S1188" s="128">
        <v>0</v>
      </c>
      <c r="T1188" s="128">
        <v>0</v>
      </c>
      <c r="U1188" s="128">
        <v>891088.6</v>
      </c>
      <c r="V1188" s="128">
        <v>0</v>
      </c>
      <c r="W1188" s="128">
        <v>891088.6</v>
      </c>
      <c r="X1188" s="128">
        <v>0</v>
      </c>
      <c r="Y1188" s="128">
        <v>0</v>
      </c>
      <c r="Z1188" s="128">
        <v>0</v>
      </c>
      <c r="AA1188" s="128">
        <v>891088.6</v>
      </c>
      <c r="AB1188" s="126">
        <f t="shared" si="127"/>
        <v>-8.9108859999999998E-2</v>
      </c>
      <c r="AC1188" s="122" t="s">
        <v>1838</v>
      </c>
      <c r="AD1188" s="123">
        <f t="shared" si="129"/>
        <v>1983.9723217250009</v>
      </c>
    </row>
    <row r="1189" spans="1:30" ht="12.75" hidden="1" customHeight="1">
      <c r="A1189" s="125" t="str">
        <f t="shared" si="124"/>
        <v>LIC168Expense Allocation-Liab'ity Ac</v>
      </c>
      <c r="B1189" s="125">
        <f>+IFERROR(VLOOKUP(L1189,'TB mapping'!A:D,4,0),0)</f>
        <v>0</v>
      </c>
      <c r="C1189" s="125">
        <f>+IFERROR(VLOOKUP(L1189,'TB mapping'!A:C,3,0),0)</f>
        <v>0</v>
      </c>
      <c r="D1189" s="125" t="str">
        <f t="shared" si="125"/>
        <v>LIC1680</v>
      </c>
      <c r="E1189" s="125" t="str">
        <f t="shared" si="126"/>
        <v>LIC1680</v>
      </c>
      <c r="F1189" s="158" t="str">
        <f>+VLOOKUP(H1189,'code mapping'!A:C,3,0)</f>
        <v>LIC168</v>
      </c>
      <c r="G1189" s="127" t="s">
        <v>453</v>
      </c>
      <c r="H1189" s="127" t="s">
        <v>618</v>
      </c>
      <c r="I1189" s="127" t="s">
        <v>619</v>
      </c>
      <c r="J1189" s="128">
        <v>212000</v>
      </c>
      <c r="K1189" s="127" t="s">
        <v>487</v>
      </c>
      <c r="L1189" s="151">
        <v>212223</v>
      </c>
      <c r="M1189" s="128">
        <v>0</v>
      </c>
      <c r="N1189" s="127" t="s">
        <v>498</v>
      </c>
      <c r="O1189" s="127" t="s">
        <v>457</v>
      </c>
      <c r="P1189" s="128">
        <v>-154830.61000000002</v>
      </c>
      <c r="Q1189" s="128">
        <v>0</v>
      </c>
      <c r="R1189" s="128">
        <v>0</v>
      </c>
      <c r="S1189" s="128">
        <v>0</v>
      </c>
      <c r="T1189" s="128">
        <v>-154830.61000000002</v>
      </c>
      <c r="U1189" s="128">
        <v>0</v>
      </c>
      <c r="V1189" s="128">
        <v>-154830.61000000002</v>
      </c>
      <c r="W1189" s="128">
        <v>0</v>
      </c>
      <c r="X1189" s="128">
        <v>0</v>
      </c>
      <c r="Y1189" s="128">
        <v>0</v>
      </c>
      <c r="Z1189" s="128">
        <v>-154830.61000000002</v>
      </c>
      <c r="AA1189" s="128">
        <v>0</v>
      </c>
      <c r="AB1189" s="126">
        <f t="shared" si="127"/>
        <v>1.5483061000000001E-2</v>
      </c>
      <c r="AC1189" s="122" t="s">
        <v>1838</v>
      </c>
      <c r="AD1189" s="123">
        <f t="shared" si="129"/>
        <v>1983.9723217250009</v>
      </c>
    </row>
    <row r="1190" spans="1:30" ht="12.75" hidden="1" customHeight="1">
      <c r="A1190" s="125" t="str">
        <f t="shared" si="124"/>
        <v>LIC168Investor Education Payable</v>
      </c>
      <c r="B1190" s="125">
        <f>+IFERROR(VLOOKUP(L1190,'TB mapping'!A:D,4,0),0)</f>
        <v>0</v>
      </c>
      <c r="C1190" s="125">
        <f>+IFERROR(VLOOKUP(L1190,'TB mapping'!A:C,3,0),0)</f>
        <v>0</v>
      </c>
      <c r="D1190" s="125" t="str">
        <f t="shared" si="125"/>
        <v>LIC1680</v>
      </c>
      <c r="E1190" s="125" t="str">
        <f t="shared" si="126"/>
        <v>LIC1680</v>
      </c>
      <c r="F1190" s="158" t="str">
        <f>+VLOOKUP(H1190,'code mapping'!A:C,3,0)</f>
        <v>LIC168</v>
      </c>
      <c r="G1190" s="127" t="s">
        <v>453</v>
      </c>
      <c r="H1190" s="127" t="s">
        <v>618</v>
      </c>
      <c r="I1190" s="127" t="s">
        <v>619</v>
      </c>
      <c r="J1190" s="128">
        <v>212000</v>
      </c>
      <c r="K1190" s="127" t="s">
        <v>487</v>
      </c>
      <c r="L1190" s="151">
        <v>212240</v>
      </c>
      <c r="M1190" s="128">
        <v>0</v>
      </c>
      <c r="N1190" s="127" t="s">
        <v>500</v>
      </c>
      <c r="O1190" s="127" t="s">
        <v>457</v>
      </c>
      <c r="P1190" s="128">
        <v>0</v>
      </c>
      <c r="Q1190" s="128">
        <v>5974.65</v>
      </c>
      <c r="R1190" s="128">
        <v>0</v>
      </c>
      <c r="S1190" s="128">
        <v>0</v>
      </c>
      <c r="T1190" s="128">
        <v>0</v>
      </c>
      <c r="U1190" s="128">
        <v>5974.65</v>
      </c>
      <c r="V1190" s="128">
        <v>0</v>
      </c>
      <c r="W1190" s="128">
        <v>5974.65</v>
      </c>
      <c r="X1190" s="128">
        <v>0</v>
      </c>
      <c r="Y1190" s="128">
        <v>0</v>
      </c>
      <c r="Z1190" s="128">
        <v>0</v>
      </c>
      <c r="AA1190" s="128">
        <v>5974.65</v>
      </c>
      <c r="AB1190" s="126">
        <f t="shared" si="127"/>
        <v>-5.9746499999999993E-4</v>
      </c>
      <c r="AC1190" s="122" t="s">
        <v>1838</v>
      </c>
      <c r="AD1190" s="123">
        <f t="shared" si="129"/>
        <v>1983.9723217250009</v>
      </c>
    </row>
    <row r="1191" spans="1:30" ht="12.75" hidden="1" customHeight="1">
      <c r="A1191" s="125" t="str">
        <f t="shared" si="124"/>
        <v>LIC168Brokerage &amp; Dist Exp Payable</v>
      </c>
      <c r="B1191" s="125">
        <f>+IFERROR(VLOOKUP(L1191,'TB mapping'!A:D,4,0),0)</f>
        <v>0</v>
      </c>
      <c r="C1191" s="125">
        <f>+IFERROR(VLOOKUP(L1191,'TB mapping'!A:C,3,0),0)</f>
        <v>0</v>
      </c>
      <c r="D1191" s="125" t="str">
        <f t="shared" si="125"/>
        <v>LIC1680</v>
      </c>
      <c r="E1191" s="125" t="str">
        <f t="shared" si="126"/>
        <v>LIC1680</v>
      </c>
      <c r="F1191" s="158" t="str">
        <f>+VLOOKUP(H1191,'code mapping'!A:C,3,0)</f>
        <v>LIC168</v>
      </c>
      <c r="G1191" s="127" t="s">
        <v>453</v>
      </c>
      <c r="H1191" s="127" t="s">
        <v>618</v>
      </c>
      <c r="I1191" s="127" t="s">
        <v>619</v>
      </c>
      <c r="J1191" s="128">
        <v>212000</v>
      </c>
      <c r="K1191" s="127" t="s">
        <v>487</v>
      </c>
      <c r="L1191" s="151">
        <v>212255</v>
      </c>
      <c r="M1191" s="128">
        <v>0</v>
      </c>
      <c r="N1191" s="127" t="s">
        <v>503</v>
      </c>
      <c r="O1191" s="127" t="s">
        <v>457</v>
      </c>
      <c r="P1191" s="128">
        <v>0</v>
      </c>
      <c r="Q1191" s="128">
        <v>39051.71</v>
      </c>
      <c r="R1191" s="128">
        <v>0</v>
      </c>
      <c r="S1191" s="128">
        <v>0</v>
      </c>
      <c r="T1191" s="128">
        <v>0</v>
      </c>
      <c r="U1191" s="128">
        <v>39051.71</v>
      </c>
      <c r="V1191" s="128">
        <v>0</v>
      </c>
      <c r="W1191" s="128">
        <v>39051.71</v>
      </c>
      <c r="X1191" s="128">
        <v>0</v>
      </c>
      <c r="Y1191" s="128">
        <v>0</v>
      </c>
      <c r="Z1191" s="128">
        <v>0</v>
      </c>
      <c r="AA1191" s="128">
        <v>39051.71</v>
      </c>
      <c r="AB1191" s="126">
        <f t="shared" si="127"/>
        <v>-3.9051709999999998E-3</v>
      </c>
      <c r="AC1191" s="122" t="s">
        <v>1838</v>
      </c>
      <c r="AD1191" s="123">
        <f t="shared" si="129"/>
        <v>1983.9723217250009</v>
      </c>
    </row>
    <row r="1192" spans="1:30" ht="12.75" hidden="1" customHeight="1">
      <c r="A1192" s="125" t="str">
        <f t="shared" si="124"/>
        <v>LIC168Upfront Brk &amp; Trail Paid-Liab</v>
      </c>
      <c r="B1192" s="125">
        <f>+IFERROR(VLOOKUP(L1192,'TB mapping'!A:D,4,0),0)</f>
        <v>0</v>
      </c>
      <c r="C1192" s="125">
        <f>+IFERROR(VLOOKUP(L1192,'TB mapping'!A:C,3,0),0)</f>
        <v>0</v>
      </c>
      <c r="D1192" s="125" t="str">
        <f t="shared" si="125"/>
        <v>LIC1680</v>
      </c>
      <c r="E1192" s="125" t="str">
        <f t="shared" si="126"/>
        <v>LIC1680</v>
      </c>
      <c r="F1192" s="158" t="str">
        <f>+VLOOKUP(H1192,'code mapping'!A:C,3,0)</f>
        <v>LIC168</v>
      </c>
      <c r="G1192" s="127" t="s">
        <v>453</v>
      </c>
      <c r="H1192" s="127" t="s">
        <v>618</v>
      </c>
      <c r="I1192" s="127" t="s">
        <v>619</v>
      </c>
      <c r="J1192" s="128">
        <v>212000</v>
      </c>
      <c r="K1192" s="127" t="s">
        <v>487</v>
      </c>
      <c r="L1192" s="151">
        <v>212257</v>
      </c>
      <c r="M1192" s="128">
        <v>0</v>
      </c>
      <c r="N1192" s="127" t="s">
        <v>504</v>
      </c>
      <c r="O1192" s="127" t="s">
        <v>457</v>
      </c>
      <c r="P1192" s="128">
        <v>-0.44</v>
      </c>
      <c r="Q1192" s="128">
        <v>0</v>
      </c>
      <c r="R1192" s="128">
        <v>0</v>
      </c>
      <c r="S1192" s="128">
        <v>0</v>
      </c>
      <c r="T1192" s="128">
        <v>-0.44</v>
      </c>
      <c r="U1192" s="128">
        <v>0</v>
      </c>
      <c r="V1192" s="128">
        <v>-0.44</v>
      </c>
      <c r="W1192" s="128">
        <v>0</v>
      </c>
      <c r="X1192" s="128">
        <v>0</v>
      </c>
      <c r="Y1192" s="128">
        <v>0</v>
      </c>
      <c r="Z1192" s="128">
        <v>-0.44</v>
      </c>
      <c r="AA1192" s="128">
        <v>0</v>
      </c>
      <c r="AB1192" s="126">
        <f t="shared" si="127"/>
        <v>4.3999999999999997E-8</v>
      </c>
      <c r="AC1192" s="122" t="s">
        <v>1838</v>
      </c>
      <c r="AD1192" s="123">
        <f t="shared" si="129"/>
        <v>1983.9723217250009</v>
      </c>
    </row>
    <row r="1193" spans="1:30" ht="12.75" hidden="1" customHeight="1">
      <c r="A1193" s="125" t="str">
        <f t="shared" si="124"/>
        <v>LIC168Payable CGST on Mfees</v>
      </c>
      <c r="B1193" s="125">
        <f>+IFERROR(VLOOKUP(L1193,'TB mapping'!A:D,4,0),0)</f>
        <v>0</v>
      </c>
      <c r="C1193" s="125">
        <f>+IFERROR(VLOOKUP(L1193,'TB mapping'!A:C,3,0),0)</f>
        <v>0</v>
      </c>
      <c r="D1193" s="125" t="str">
        <f t="shared" si="125"/>
        <v>LIC1680</v>
      </c>
      <c r="E1193" s="125" t="str">
        <f t="shared" si="126"/>
        <v>LIC1680</v>
      </c>
      <c r="F1193" s="158" t="str">
        <f>+VLOOKUP(H1193,'code mapping'!A:C,3,0)</f>
        <v>LIC168</v>
      </c>
      <c r="G1193" s="127" t="s">
        <v>453</v>
      </c>
      <c r="H1193" s="127" t="s">
        <v>618</v>
      </c>
      <c r="I1193" s="127" t="s">
        <v>619</v>
      </c>
      <c r="J1193" s="128">
        <v>212000</v>
      </c>
      <c r="K1193" s="127" t="s">
        <v>487</v>
      </c>
      <c r="L1193" s="151">
        <v>212271</v>
      </c>
      <c r="M1193" s="128">
        <v>0</v>
      </c>
      <c r="N1193" s="127" t="s">
        <v>505</v>
      </c>
      <c r="O1193" s="127" t="s">
        <v>457</v>
      </c>
      <c r="P1193" s="128">
        <v>0</v>
      </c>
      <c r="Q1193" s="128">
        <v>1325.34</v>
      </c>
      <c r="R1193" s="128">
        <v>0</v>
      </c>
      <c r="S1193" s="128">
        <v>0</v>
      </c>
      <c r="T1193" s="128">
        <v>0</v>
      </c>
      <c r="U1193" s="128">
        <v>1325.34</v>
      </c>
      <c r="V1193" s="128">
        <v>0</v>
      </c>
      <c r="W1193" s="128">
        <v>1325.34</v>
      </c>
      <c r="X1193" s="128">
        <v>0</v>
      </c>
      <c r="Y1193" s="128">
        <v>0</v>
      </c>
      <c r="Z1193" s="128">
        <v>0</v>
      </c>
      <c r="AA1193" s="128">
        <v>1325.34</v>
      </c>
      <c r="AB1193" s="126">
        <f t="shared" si="127"/>
        <v>-1.3253399999999999E-4</v>
      </c>
      <c r="AC1193" s="122" t="s">
        <v>1838</v>
      </c>
      <c r="AD1193" s="123">
        <f t="shared" si="129"/>
        <v>1983.9723217250009</v>
      </c>
    </row>
    <row r="1194" spans="1:30" ht="12.75" hidden="1" customHeight="1">
      <c r="A1194" s="125" t="str">
        <f t="shared" si="124"/>
        <v>LIC168Payable SGST on Mfees</v>
      </c>
      <c r="B1194" s="125">
        <f>+IFERROR(VLOOKUP(L1194,'TB mapping'!A:D,4,0),0)</f>
        <v>0</v>
      </c>
      <c r="C1194" s="125">
        <f>+IFERROR(VLOOKUP(L1194,'TB mapping'!A:C,3,0),0)</f>
        <v>0</v>
      </c>
      <c r="D1194" s="125" t="str">
        <f t="shared" si="125"/>
        <v>LIC1680</v>
      </c>
      <c r="E1194" s="125" t="str">
        <f t="shared" si="126"/>
        <v>LIC1680</v>
      </c>
      <c r="F1194" s="158" t="str">
        <f>+VLOOKUP(H1194,'code mapping'!A:C,3,0)</f>
        <v>LIC168</v>
      </c>
      <c r="G1194" s="127" t="s">
        <v>453</v>
      </c>
      <c r="H1194" s="127" t="s">
        <v>618</v>
      </c>
      <c r="I1194" s="127" t="s">
        <v>619</v>
      </c>
      <c r="J1194" s="128">
        <v>212000</v>
      </c>
      <c r="K1194" s="127" t="s">
        <v>487</v>
      </c>
      <c r="L1194" s="151">
        <v>212272</v>
      </c>
      <c r="M1194" s="128">
        <v>0</v>
      </c>
      <c r="N1194" s="127" t="s">
        <v>506</v>
      </c>
      <c r="O1194" s="127" t="s">
        <v>457</v>
      </c>
      <c r="P1194" s="128">
        <v>0</v>
      </c>
      <c r="Q1194" s="128">
        <v>1325.34</v>
      </c>
      <c r="R1194" s="128">
        <v>0</v>
      </c>
      <c r="S1194" s="128">
        <v>0</v>
      </c>
      <c r="T1194" s="128">
        <v>0</v>
      </c>
      <c r="U1194" s="128">
        <v>1325.34</v>
      </c>
      <c r="V1194" s="128">
        <v>0</v>
      </c>
      <c r="W1194" s="128">
        <v>1325.34</v>
      </c>
      <c r="X1194" s="128">
        <v>0</v>
      </c>
      <c r="Y1194" s="128">
        <v>0</v>
      </c>
      <c r="Z1194" s="128">
        <v>0</v>
      </c>
      <c r="AA1194" s="128">
        <v>1325.34</v>
      </c>
      <c r="AB1194" s="126">
        <f t="shared" si="127"/>
        <v>-1.3253399999999999E-4</v>
      </c>
      <c r="AC1194" s="122" t="s">
        <v>1838</v>
      </c>
      <c r="AD1194" s="123">
        <f t="shared" si="129"/>
        <v>1983.9723217250009</v>
      </c>
    </row>
    <row r="1195" spans="1:30" ht="12.75" hidden="1" customHeight="1">
      <c r="A1195" s="125" t="str">
        <f t="shared" si="124"/>
        <v>LIC168Payable -Inv Educ Fund-AMFI</v>
      </c>
      <c r="B1195" s="125">
        <f>+IFERROR(VLOOKUP(L1195,'TB mapping'!A:D,4,0),0)</f>
        <v>0</v>
      </c>
      <c r="C1195" s="125">
        <f>+IFERROR(VLOOKUP(L1195,'TB mapping'!A:C,3,0),0)</f>
        <v>0</v>
      </c>
      <c r="D1195" s="125" t="str">
        <f t="shared" si="125"/>
        <v>LIC1680</v>
      </c>
      <c r="E1195" s="125" t="str">
        <f t="shared" si="126"/>
        <v>LIC1680</v>
      </c>
      <c r="F1195" s="158" t="str">
        <f>+VLOOKUP(H1195,'code mapping'!A:C,3,0)</f>
        <v>LIC168</v>
      </c>
      <c r="G1195" s="127" t="s">
        <v>453</v>
      </c>
      <c r="H1195" s="127" t="s">
        <v>618</v>
      </c>
      <c r="I1195" s="127" t="s">
        <v>619</v>
      </c>
      <c r="J1195" s="128">
        <v>212000</v>
      </c>
      <c r="K1195" s="127" t="s">
        <v>487</v>
      </c>
      <c r="L1195" s="151">
        <v>213166</v>
      </c>
      <c r="M1195" s="128">
        <v>0</v>
      </c>
      <c r="N1195" s="127" t="s">
        <v>507</v>
      </c>
      <c r="O1195" s="127" t="s">
        <v>457</v>
      </c>
      <c r="P1195" s="128">
        <v>0</v>
      </c>
      <c r="Q1195" s="128">
        <v>5974.65</v>
      </c>
      <c r="R1195" s="128">
        <v>0</v>
      </c>
      <c r="S1195" s="128">
        <v>0</v>
      </c>
      <c r="T1195" s="128">
        <v>0</v>
      </c>
      <c r="U1195" s="128">
        <v>5974.65</v>
      </c>
      <c r="V1195" s="128">
        <v>0</v>
      </c>
      <c r="W1195" s="128">
        <v>5974.65</v>
      </c>
      <c r="X1195" s="128">
        <v>0</v>
      </c>
      <c r="Y1195" s="128">
        <v>0</v>
      </c>
      <c r="Z1195" s="128">
        <v>0</v>
      </c>
      <c r="AA1195" s="128">
        <v>5974.65</v>
      </c>
      <c r="AB1195" s="126">
        <f t="shared" si="127"/>
        <v>-5.9746499999999993E-4</v>
      </c>
      <c r="AC1195" s="122" t="s">
        <v>1838</v>
      </c>
      <c r="AD1195" s="123">
        <f t="shared" si="129"/>
        <v>1983.9723217250009</v>
      </c>
    </row>
    <row r="1196" spans="1:30" ht="12.75" hidden="1" customHeight="1">
      <c r="A1196" s="125" t="str">
        <f t="shared" si="124"/>
        <v>LIC168Management Fee Payable</v>
      </c>
      <c r="B1196" s="125">
        <f>+IFERROR(VLOOKUP(L1196,'TB mapping'!A:D,4,0),0)</f>
        <v>0</v>
      </c>
      <c r="C1196" s="125">
        <f>+IFERROR(VLOOKUP(L1196,'TB mapping'!A:C,3,0),0)</f>
        <v>0</v>
      </c>
      <c r="D1196" s="125" t="str">
        <f t="shared" si="125"/>
        <v>LIC1680</v>
      </c>
      <c r="E1196" s="125" t="str">
        <f t="shared" si="126"/>
        <v>LIC1680</v>
      </c>
      <c r="F1196" s="158" t="str">
        <f>+VLOOKUP(H1196,'code mapping'!A:C,3,0)</f>
        <v>LIC168</v>
      </c>
      <c r="G1196" s="127" t="s">
        <v>453</v>
      </c>
      <c r="H1196" s="127" t="s">
        <v>618</v>
      </c>
      <c r="I1196" s="127" t="s">
        <v>619</v>
      </c>
      <c r="J1196" s="128">
        <v>213000</v>
      </c>
      <c r="K1196" s="127" t="s">
        <v>508</v>
      </c>
      <c r="L1196" s="151">
        <v>213500</v>
      </c>
      <c r="M1196" s="128">
        <v>0</v>
      </c>
      <c r="N1196" s="127" t="s">
        <v>509</v>
      </c>
      <c r="O1196" s="127" t="s">
        <v>457</v>
      </c>
      <c r="P1196" s="128">
        <v>0</v>
      </c>
      <c r="Q1196" s="128">
        <v>14725.01</v>
      </c>
      <c r="R1196" s="128">
        <v>0</v>
      </c>
      <c r="S1196" s="128">
        <v>0</v>
      </c>
      <c r="T1196" s="128">
        <v>0</v>
      </c>
      <c r="U1196" s="128">
        <v>14725.01</v>
      </c>
      <c r="V1196" s="128">
        <v>0</v>
      </c>
      <c r="W1196" s="128">
        <v>14725.01</v>
      </c>
      <c r="X1196" s="128">
        <v>0</v>
      </c>
      <c r="Y1196" s="128">
        <v>0</v>
      </c>
      <c r="Z1196" s="128">
        <v>0</v>
      </c>
      <c r="AA1196" s="128">
        <v>14725.01</v>
      </c>
      <c r="AB1196" s="126">
        <f t="shared" si="127"/>
        <v>-1.472501E-3</v>
      </c>
      <c r="AC1196" s="122" t="s">
        <v>1838</v>
      </c>
      <c r="AD1196" s="123">
        <f t="shared" si="129"/>
        <v>1983.9723217250009</v>
      </c>
    </row>
    <row r="1197" spans="1:30" ht="12.75" hidden="1" customHeight="1">
      <c r="A1197" s="125" t="str">
        <f t="shared" si="124"/>
        <v>LIC168Other Adjustment A/c.</v>
      </c>
      <c r="B1197" s="125">
        <f>+IFERROR(VLOOKUP(L1197,'TB mapping'!A:D,4,0),0)</f>
        <v>0</v>
      </c>
      <c r="C1197" s="125">
        <f>+IFERROR(VLOOKUP(L1197,'TB mapping'!A:C,3,0),0)</f>
        <v>0</v>
      </c>
      <c r="D1197" s="125" t="str">
        <f t="shared" si="125"/>
        <v>LIC1680</v>
      </c>
      <c r="E1197" s="125" t="str">
        <f t="shared" si="126"/>
        <v>LIC1680</v>
      </c>
      <c r="F1197" s="158" t="str">
        <f>+VLOOKUP(H1197,'code mapping'!A:C,3,0)</f>
        <v>LIC168</v>
      </c>
      <c r="G1197" s="127" t="s">
        <v>453</v>
      </c>
      <c r="H1197" s="127" t="s">
        <v>618</v>
      </c>
      <c r="I1197" s="127" t="s">
        <v>619</v>
      </c>
      <c r="J1197" s="128">
        <v>220000</v>
      </c>
      <c r="K1197" s="127" t="s">
        <v>510</v>
      </c>
      <c r="L1197" s="151">
        <v>190000</v>
      </c>
      <c r="M1197" s="128">
        <v>0</v>
      </c>
      <c r="N1197" s="127" t="s">
        <v>511</v>
      </c>
      <c r="O1197" s="127" t="s">
        <v>457</v>
      </c>
      <c r="P1197" s="128">
        <v>-1.53</v>
      </c>
      <c r="Q1197" s="128">
        <v>0</v>
      </c>
      <c r="R1197" s="128">
        <v>0</v>
      </c>
      <c r="S1197" s="128">
        <v>0</v>
      </c>
      <c r="T1197" s="128">
        <v>-1.53</v>
      </c>
      <c r="U1197" s="128">
        <v>0</v>
      </c>
      <c r="V1197" s="128">
        <v>-1.53</v>
      </c>
      <c r="W1197" s="128">
        <v>0</v>
      </c>
      <c r="X1197" s="128">
        <v>0</v>
      </c>
      <c r="Y1197" s="128">
        <v>0</v>
      </c>
      <c r="Z1197" s="128">
        <v>-1.53</v>
      </c>
      <c r="AA1197" s="128">
        <v>0</v>
      </c>
      <c r="AB1197" s="126">
        <f t="shared" si="127"/>
        <v>1.5300000000000001E-7</v>
      </c>
      <c r="AC1197" s="122" t="s">
        <v>1838</v>
      </c>
      <c r="AD1197" s="123">
        <f t="shared" si="129"/>
        <v>1983.9723217250009</v>
      </c>
    </row>
    <row r="1198" spans="1:30" ht="12.75" hidden="1" customHeight="1">
      <c r="A1198" s="125" t="str">
        <f t="shared" si="124"/>
        <v>LIC168Prov For Withholding Brokerage</v>
      </c>
      <c r="B1198" s="125">
        <f>+IFERROR(VLOOKUP(L1198,'TB mapping'!A:D,4,0),0)</f>
        <v>0</v>
      </c>
      <c r="C1198" s="125">
        <f>+IFERROR(VLOOKUP(L1198,'TB mapping'!A:C,3,0),0)</f>
        <v>0</v>
      </c>
      <c r="D1198" s="125" t="str">
        <f t="shared" si="125"/>
        <v>LIC1680</v>
      </c>
      <c r="E1198" s="125" t="str">
        <f t="shared" si="126"/>
        <v>LIC1680</v>
      </c>
      <c r="F1198" s="158" t="str">
        <f>+VLOOKUP(H1198,'code mapping'!A:C,3,0)</f>
        <v>LIC168</v>
      </c>
      <c r="G1198" s="127" t="s">
        <v>453</v>
      </c>
      <c r="H1198" s="127" t="s">
        <v>618</v>
      </c>
      <c r="I1198" s="127" t="s">
        <v>619</v>
      </c>
      <c r="J1198" s="128">
        <v>220000</v>
      </c>
      <c r="K1198" s="127" t="s">
        <v>510</v>
      </c>
      <c r="L1198" s="151">
        <v>210162</v>
      </c>
      <c r="M1198" s="128">
        <v>0</v>
      </c>
      <c r="N1198" s="127" t="s">
        <v>512</v>
      </c>
      <c r="O1198" s="127" t="s">
        <v>457</v>
      </c>
      <c r="P1198" s="128">
        <v>0</v>
      </c>
      <c r="Q1198" s="128">
        <v>5.79</v>
      </c>
      <c r="R1198" s="128">
        <v>0</v>
      </c>
      <c r="S1198" s="128">
        <v>0</v>
      </c>
      <c r="T1198" s="128">
        <v>0</v>
      </c>
      <c r="U1198" s="128">
        <v>5.79</v>
      </c>
      <c r="V1198" s="128">
        <v>0</v>
      </c>
      <c r="W1198" s="128">
        <v>5.79</v>
      </c>
      <c r="X1198" s="128">
        <v>0</v>
      </c>
      <c r="Y1198" s="128">
        <v>0</v>
      </c>
      <c r="Z1198" s="128">
        <v>0</v>
      </c>
      <c r="AA1198" s="128">
        <v>5.79</v>
      </c>
      <c r="AB1198" s="126">
        <f t="shared" si="127"/>
        <v>-5.7899999999999998E-7</v>
      </c>
      <c r="AC1198" s="122" t="s">
        <v>1838</v>
      </c>
      <c r="AD1198" s="123">
        <f t="shared" si="129"/>
        <v>1983.9723217250009</v>
      </c>
    </row>
    <row r="1199" spans="1:30" ht="12.75" hidden="1" customHeight="1">
      <c r="A1199" s="125" t="str">
        <f t="shared" si="124"/>
        <v>LIC168Prov  Withholding Brok 2016-17</v>
      </c>
      <c r="B1199" s="125">
        <f>+IFERROR(VLOOKUP(L1199,'TB mapping'!A:D,4,0),0)</f>
        <v>0</v>
      </c>
      <c r="C1199" s="125">
        <f>+IFERROR(VLOOKUP(L1199,'TB mapping'!A:C,3,0),0)</f>
        <v>0</v>
      </c>
      <c r="D1199" s="125" t="str">
        <f t="shared" si="125"/>
        <v>LIC1680</v>
      </c>
      <c r="E1199" s="125" t="str">
        <f t="shared" si="126"/>
        <v>LIC1680</v>
      </c>
      <c r="F1199" s="158" t="str">
        <f>+VLOOKUP(H1199,'code mapping'!A:C,3,0)</f>
        <v>LIC168</v>
      </c>
      <c r="G1199" s="127" t="s">
        <v>453</v>
      </c>
      <c r="H1199" s="127" t="s">
        <v>618</v>
      </c>
      <c r="I1199" s="127" t="s">
        <v>619</v>
      </c>
      <c r="J1199" s="128">
        <v>220000</v>
      </c>
      <c r="K1199" s="127" t="s">
        <v>510</v>
      </c>
      <c r="L1199" s="151">
        <v>210163</v>
      </c>
      <c r="M1199" s="128">
        <v>0</v>
      </c>
      <c r="N1199" s="127" t="s">
        <v>513</v>
      </c>
      <c r="O1199" s="127" t="s">
        <v>457</v>
      </c>
      <c r="P1199" s="128">
        <v>0</v>
      </c>
      <c r="Q1199" s="128">
        <v>6.09</v>
      </c>
      <c r="R1199" s="128">
        <v>0</v>
      </c>
      <c r="S1199" s="128">
        <v>0</v>
      </c>
      <c r="T1199" s="128">
        <v>0</v>
      </c>
      <c r="U1199" s="128">
        <v>6.09</v>
      </c>
      <c r="V1199" s="128">
        <v>0</v>
      </c>
      <c r="W1199" s="128">
        <v>6.09</v>
      </c>
      <c r="X1199" s="128">
        <v>0</v>
      </c>
      <c r="Y1199" s="128">
        <v>0</v>
      </c>
      <c r="Z1199" s="128">
        <v>0</v>
      </c>
      <c r="AA1199" s="128">
        <v>6.09</v>
      </c>
      <c r="AB1199" s="126">
        <f t="shared" si="127"/>
        <v>-6.0900000000000001E-7</v>
      </c>
      <c r="AC1199" s="122" t="s">
        <v>1838</v>
      </c>
      <c r="AD1199" s="123">
        <f t="shared" si="129"/>
        <v>1983.9723217250009</v>
      </c>
    </row>
    <row r="1200" spans="1:30" ht="12.75" hidden="1" customHeight="1">
      <c r="A1200" s="125" t="str">
        <f t="shared" si="124"/>
        <v>LIC168Unit Capital</v>
      </c>
      <c r="B1200" s="125">
        <f>+IFERROR(VLOOKUP(L1200,'TB mapping'!A:D,4,0),0)</f>
        <v>0</v>
      </c>
      <c r="C1200" s="125">
        <f>+IFERROR(VLOOKUP(L1200,'TB mapping'!A:C,3,0),0)</f>
        <v>0</v>
      </c>
      <c r="D1200" s="125" t="str">
        <f t="shared" si="125"/>
        <v>LIC1680</v>
      </c>
      <c r="E1200" s="125" t="str">
        <f t="shared" si="126"/>
        <v>LIC1680</v>
      </c>
      <c r="F1200" s="158" t="str">
        <f>+VLOOKUP(H1200,'code mapping'!A:C,3,0)</f>
        <v>LIC168</v>
      </c>
      <c r="G1200" s="127" t="s">
        <v>453</v>
      </c>
      <c r="H1200" s="127" t="s">
        <v>618</v>
      </c>
      <c r="I1200" s="127" t="s">
        <v>619</v>
      </c>
      <c r="J1200" s="128">
        <v>301000</v>
      </c>
      <c r="K1200" s="127" t="s">
        <v>514</v>
      </c>
      <c r="L1200" s="151">
        <v>310000</v>
      </c>
      <c r="M1200" s="128">
        <v>0</v>
      </c>
      <c r="N1200" s="127" t="s">
        <v>515</v>
      </c>
      <c r="O1200" s="127" t="s">
        <v>457</v>
      </c>
      <c r="P1200" s="128">
        <v>0</v>
      </c>
      <c r="Q1200" s="128">
        <v>422255130</v>
      </c>
      <c r="R1200" s="128">
        <v>0</v>
      </c>
      <c r="S1200" s="128">
        <v>0</v>
      </c>
      <c r="T1200" s="128">
        <v>0</v>
      </c>
      <c r="U1200" s="128">
        <v>422255130</v>
      </c>
      <c r="V1200" s="128">
        <v>0</v>
      </c>
      <c r="W1200" s="128">
        <v>422255130</v>
      </c>
      <c r="X1200" s="128">
        <v>0</v>
      </c>
      <c r="Y1200" s="128">
        <v>0</v>
      </c>
      <c r="Z1200" s="128">
        <v>0</v>
      </c>
      <c r="AA1200" s="128">
        <v>422255130</v>
      </c>
      <c r="AB1200" s="126">
        <f t="shared" si="127"/>
        <v>-42.225512999999999</v>
      </c>
      <c r="AC1200" s="122" t="s">
        <v>1838</v>
      </c>
      <c r="AD1200" s="123">
        <f t="shared" si="129"/>
        <v>1983.9723217250009</v>
      </c>
    </row>
    <row r="1201" spans="1:30" ht="12.75" hidden="1" customHeight="1">
      <c r="A1201" s="125" t="str">
        <f t="shared" si="124"/>
        <v>LIC168Unit Premium Reserve- G</v>
      </c>
      <c r="B1201" s="125">
        <f>+IFERROR(VLOOKUP(L1201,'TB mapping'!A:D,4,0),0)</f>
        <v>0</v>
      </c>
      <c r="C1201" s="125">
        <f>+IFERROR(VLOOKUP(L1201,'TB mapping'!A:C,3,0),0)</f>
        <v>0</v>
      </c>
      <c r="D1201" s="125" t="str">
        <f t="shared" si="125"/>
        <v>LIC1680</v>
      </c>
      <c r="E1201" s="125" t="str">
        <f t="shared" si="126"/>
        <v>LIC1680</v>
      </c>
      <c r="F1201" s="158" t="str">
        <f>+VLOOKUP(H1201,'code mapping'!A:C,3,0)</f>
        <v>LIC168</v>
      </c>
      <c r="G1201" s="127" t="s">
        <v>453</v>
      </c>
      <c r="H1201" s="127" t="s">
        <v>618</v>
      </c>
      <c r="I1201" s="127" t="s">
        <v>619</v>
      </c>
      <c r="J1201" s="128">
        <v>303000</v>
      </c>
      <c r="K1201" s="127" t="s">
        <v>516</v>
      </c>
      <c r="L1201" s="151">
        <v>303207</v>
      </c>
      <c r="M1201" s="128">
        <v>0</v>
      </c>
      <c r="N1201" s="127" t="s">
        <v>620</v>
      </c>
      <c r="O1201" s="127" t="s">
        <v>457</v>
      </c>
      <c r="P1201" s="128">
        <v>0</v>
      </c>
      <c r="Q1201" s="128">
        <v>126634941.68000001</v>
      </c>
      <c r="R1201" s="128">
        <v>0</v>
      </c>
      <c r="S1201" s="128">
        <v>0</v>
      </c>
      <c r="T1201" s="128">
        <v>0</v>
      </c>
      <c r="U1201" s="128">
        <v>126634941.68000001</v>
      </c>
      <c r="V1201" s="128">
        <v>0</v>
      </c>
      <c r="W1201" s="128">
        <v>126634941.68000001</v>
      </c>
      <c r="X1201" s="128">
        <v>0</v>
      </c>
      <c r="Y1201" s="128">
        <v>0</v>
      </c>
      <c r="Z1201" s="128">
        <v>0</v>
      </c>
      <c r="AA1201" s="128">
        <v>126634941.68000001</v>
      </c>
      <c r="AB1201" s="126">
        <f t="shared" si="127"/>
        <v>-12.663494168000001</v>
      </c>
      <c r="AC1201" s="122" t="s">
        <v>1838</v>
      </c>
      <c r="AD1201" s="123">
        <f t="shared" si="129"/>
        <v>1983.9723217250009</v>
      </c>
    </row>
    <row r="1202" spans="1:30" ht="12.75" hidden="1" customHeight="1">
      <c r="A1202" s="125" t="str">
        <f t="shared" si="124"/>
        <v>LIC168Net Earnings</v>
      </c>
      <c r="B1202" s="125">
        <f>+IFERROR(VLOOKUP(L1202,'TB mapping'!A:D,4,0),0)</f>
        <v>0</v>
      </c>
      <c r="C1202" s="125">
        <f>+IFERROR(VLOOKUP(L1202,'TB mapping'!A:C,3,0),0)</f>
        <v>0</v>
      </c>
      <c r="D1202" s="125" t="str">
        <f t="shared" si="125"/>
        <v>LIC1680</v>
      </c>
      <c r="E1202" s="125" t="str">
        <f t="shared" si="126"/>
        <v>LIC1680</v>
      </c>
      <c r="F1202" s="158" t="str">
        <f>+VLOOKUP(H1202,'code mapping'!A:C,3,0)</f>
        <v>LIC168</v>
      </c>
      <c r="G1202" s="127" t="s">
        <v>453</v>
      </c>
      <c r="H1202" s="127" t="s">
        <v>618</v>
      </c>
      <c r="I1202" s="127" t="s">
        <v>619</v>
      </c>
      <c r="J1202" s="128">
        <v>303000</v>
      </c>
      <c r="K1202" s="127" t="s">
        <v>516</v>
      </c>
      <c r="L1202" s="151">
        <v>390000</v>
      </c>
      <c r="M1202" s="128">
        <v>0</v>
      </c>
      <c r="N1202" s="127" t="s">
        <v>521</v>
      </c>
      <c r="O1202" s="127" t="s">
        <v>457</v>
      </c>
      <c r="P1202" s="128">
        <v>0</v>
      </c>
      <c r="Q1202" s="128">
        <v>138865530.97</v>
      </c>
      <c r="R1202" s="128">
        <v>0</v>
      </c>
      <c r="S1202" s="128">
        <v>0</v>
      </c>
      <c r="T1202" s="128">
        <v>0</v>
      </c>
      <c r="U1202" s="128">
        <v>138865530.97</v>
      </c>
      <c r="V1202" s="128">
        <v>0</v>
      </c>
      <c r="W1202" s="128">
        <v>138865530.97</v>
      </c>
      <c r="X1202" s="128">
        <v>0</v>
      </c>
      <c r="Y1202" s="128">
        <v>0</v>
      </c>
      <c r="Z1202" s="128">
        <v>0</v>
      </c>
      <c r="AA1202" s="128">
        <v>138865530.97</v>
      </c>
      <c r="AB1202" s="126">
        <f t="shared" si="127"/>
        <v>-13.886553097</v>
      </c>
      <c r="AC1202" s="122" t="s">
        <v>1838</v>
      </c>
      <c r="AD1202" s="123">
        <f t="shared" si="129"/>
        <v>1983.9723217250009</v>
      </c>
    </row>
    <row r="1203" spans="1:30" ht="12.75" hidden="1" customHeight="1">
      <c r="A1203" s="125" t="str">
        <f t="shared" si="124"/>
        <v>LIC168R/L G/P - Government Bonds</v>
      </c>
      <c r="B1203" s="125">
        <f>+IFERROR(VLOOKUP(L1203,'TB mapping'!A:D,4,0),0)</f>
        <v>0</v>
      </c>
      <c r="C1203" s="125">
        <f>+IFERROR(VLOOKUP(L1203,'TB mapping'!A:C,3,0),0)</f>
        <v>5.3</v>
      </c>
      <c r="D1203" s="125" t="str">
        <f t="shared" si="125"/>
        <v>LIC1680</v>
      </c>
      <c r="E1203" s="125" t="str">
        <f t="shared" si="126"/>
        <v>LIC1685.3</v>
      </c>
      <c r="F1203" s="158" t="str">
        <f>+VLOOKUP(H1203,'code mapping'!A:C,3,0)</f>
        <v>LIC168</v>
      </c>
      <c r="G1203" s="127" t="s">
        <v>453</v>
      </c>
      <c r="H1203" s="127" t="s">
        <v>618</v>
      </c>
      <c r="I1203" s="127" t="s">
        <v>619</v>
      </c>
      <c r="J1203" s="128">
        <v>410000</v>
      </c>
      <c r="K1203" s="127" t="s">
        <v>522</v>
      </c>
      <c r="L1203" s="151">
        <v>412130</v>
      </c>
      <c r="M1203" s="128">
        <v>0</v>
      </c>
      <c r="N1203" s="127" t="s">
        <v>524</v>
      </c>
      <c r="O1203" s="127" t="s">
        <v>457</v>
      </c>
      <c r="P1203" s="128">
        <v>0</v>
      </c>
      <c r="Q1203" s="128">
        <v>8540399.1500000004</v>
      </c>
      <c r="R1203" s="128">
        <v>0</v>
      </c>
      <c r="S1203" s="128">
        <v>0</v>
      </c>
      <c r="T1203" s="128">
        <v>0</v>
      </c>
      <c r="U1203" s="128">
        <v>8540399.1500000004</v>
      </c>
      <c r="V1203" s="128">
        <v>0</v>
      </c>
      <c r="W1203" s="128">
        <v>8540399.1500000004</v>
      </c>
      <c r="X1203" s="128">
        <v>0</v>
      </c>
      <c r="Y1203" s="128">
        <v>0</v>
      </c>
      <c r="Z1203" s="128">
        <v>0</v>
      </c>
      <c r="AA1203" s="128">
        <v>8540399.1500000004</v>
      </c>
      <c r="AB1203" s="126">
        <f t="shared" si="127"/>
        <v>-0.85403991499999998</v>
      </c>
      <c r="AC1203" s="122" t="s">
        <v>1838</v>
      </c>
      <c r="AD1203" s="123">
        <f>SUMIF(E:E,E1203,AB:AB)</f>
        <v>-0.85403991499999998</v>
      </c>
    </row>
    <row r="1204" spans="1:30" ht="12.75" hidden="1" customHeight="1">
      <c r="A1204" s="125" t="str">
        <f t="shared" si="124"/>
        <v>LIC168R/L Gain - Inter Sch Govt Bond</v>
      </c>
      <c r="B1204" s="125">
        <f>+IFERROR(VLOOKUP(L1204,'TB mapping'!A:D,4,0),0)</f>
        <v>0</v>
      </c>
      <c r="C1204" s="125">
        <f>+IFERROR(VLOOKUP(L1204,'TB mapping'!A:C,3,0),0)</f>
        <v>5.4</v>
      </c>
      <c r="D1204" s="125" t="str">
        <f t="shared" si="125"/>
        <v>LIC1680</v>
      </c>
      <c r="E1204" s="125" t="str">
        <f t="shared" si="126"/>
        <v>LIC1685.4</v>
      </c>
      <c r="F1204" s="158" t="str">
        <f>+VLOOKUP(H1204,'code mapping'!A:C,3,0)</f>
        <v>LIC168</v>
      </c>
      <c r="G1204" s="127" t="s">
        <v>453</v>
      </c>
      <c r="H1204" s="127" t="s">
        <v>618</v>
      </c>
      <c r="I1204" s="127" t="s">
        <v>619</v>
      </c>
      <c r="J1204" s="128">
        <v>410000</v>
      </c>
      <c r="K1204" s="127" t="s">
        <v>522</v>
      </c>
      <c r="L1204" s="151">
        <v>427304</v>
      </c>
      <c r="M1204" s="128">
        <v>0</v>
      </c>
      <c r="N1204" s="127" t="s">
        <v>527</v>
      </c>
      <c r="O1204" s="127" t="s">
        <v>457</v>
      </c>
      <c r="P1204" s="128">
        <v>0</v>
      </c>
      <c r="Q1204" s="128">
        <v>9724044.8599999994</v>
      </c>
      <c r="R1204" s="128">
        <v>0</v>
      </c>
      <c r="S1204" s="128">
        <v>0</v>
      </c>
      <c r="T1204" s="128">
        <v>0</v>
      </c>
      <c r="U1204" s="128">
        <v>9724044.8599999994</v>
      </c>
      <c r="V1204" s="128">
        <v>0</v>
      </c>
      <c r="W1204" s="128">
        <v>9724044.8599999994</v>
      </c>
      <c r="X1204" s="128">
        <v>0</v>
      </c>
      <c r="Y1204" s="128">
        <v>0</v>
      </c>
      <c r="Z1204" s="128">
        <v>0</v>
      </c>
      <c r="AA1204" s="128">
        <v>9724044.8599999994</v>
      </c>
      <c r="AB1204" s="126">
        <f t="shared" si="127"/>
        <v>-0.97240448599999996</v>
      </c>
      <c r="AC1204" s="122" t="s">
        <v>1838</v>
      </c>
      <c r="AD1204" s="123">
        <f>SUMIF(E:E,E1204,AB:AB)</f>
        <v>1.3029026200000002</v>
      </c>
    </row>
    <row r="1205" spans="1:30" ht="12.75" hidden="1" customHeight="1">
      <c r="A1205" s="125" t="str">
        <f t="shared" si="124"/>
        <v>LIC168UR/L G/P - Government Bonds</v>
      </c>
      <c r="B1205" s="125">
        <f>+IFERROR(VLOOKUP(L1205,'TB mapping'!A:D,4,0),0)</f>
        <v>0</v>
      </c>
      <c r="C1205" s="125" t="str">
        <f>+IFERROR(VLOOKUP(L1205,'TB mapping'!A:C,3,0),0)</f>
        <v>Ignore</v>
      </c>
      <c r="D1205" s="125" t="str">
        <f t="shared" si="125"/>
        <v>LIC1680</v>
      </c>
      <c r="E1205" s="125" t="str">
        <f t="shared" si="126"/>
        <v>LIC168Ignore</v>
      </c>
      <c r="F1205" s="158" t="str">
        <f>+VLOOKUP(H1205,'code mapping'!A:C,3,0)</f>
        <v>LIC168</v>
      </c>
      <c r="G1205" s="127" t="s">
        <v>453</v>
      </c>
      <c r="H1205" s="127" t="s">
        <v>618</v>
      </c>
      <c r="I1205" s="127" t="s">
        <v>619</v>
      </c>
      <c r="J1205" s="128">
        <v>430000</v>
      </c>
      <c r="K1205" s="127" t="s">
        <v>528</v>
      </c>
      <c r="L1205" s="151">
        <v>432130</v>
      </c>
      <c r="M1205" s="128">
        <v>0</v>
      </c>
      <c r="N1205" s="127" t="s">
        <v>530</v>
      </c>
      <c r="O1205" s="127" t="s">
        <v>457</v>
      </c>
      <c r="P1205" s="128">
        <v>-17642820.710000001</v>
      </c>
      <c r="Q1205" s="128">
        <v>0</v>
      </c>
      <c r="R1205" s="128">
        <v>0</v>
      </c>
      <c r="S1205" s="128">
        <v>0</v>
      </c>
      <c r="T1205" s="128">
        <v>-17642820.710000001</v>
      </c>
      <c r="U1205" s="128">
        <v>0</v>
      </c>
      <c r="V1205" s="128">
        <v>-17642820.710000001</v>
      </c>
      <c r="W1205" s="128">
        <v>0</v>
      </c>
      <c r="X1205" s="128">
        <v>0</v>
      </c>
      <c r="Y1205" s="128">
        <v>0</v>
      </c>
      <c r="Z1205" s="128">
        <v>-17642820.710000001</v>
      </c>
      <c r="AA1205" s="128">
        <v>0</v>
      </c>
      <c r="AB1205" s="126">
        <f t="shared" si="127"/>
        <v>1.764282071</v>
      </c>
      <c r="AC1205" s="122" t="s">
        <v>1838</v>
      </c>
      <c r="AD1205" s="123">
        <f>SUMIF(C:C,C1205,AB:AB)</f>
        <v>-291.7660984179999</v>
      </c>
    </row>
    <row r="1206" spans="1:30" ht="12.75" hidden="1" customHeight="1">
      <c r="A1206" s="125" t="str">
        <f t="shared" si="124"/>
        <v>LIC168Int Income - Government Bonds</v>
      </c>
      <c r="B1206" s="125">
        <f>+IFERROR(VLOOKUP(L1206,'TB mapping'!A:D,4,0),0)</f>
        <v>0</v>
      </c>
      <c r="C1206" s="125">
        <f>+IFERROR(VLOOKUP(L1206,'TB mapping'!A:C,3,0),0)</f>
        <v>5.2</v>
      </c>
      <c r="D1206" s="125" t="str">
        <f t="shared" si="125"/>
        <v>LIC1680</v>
      </c>
      <c r="E1206" s="125" t="str">
        <f t="shared" si="126"/>
        <v>LIC1685.2</v>
      </c>
      <c r="F1206" s="158" t="str">
        <f>+VLOOKUP(H1206,'code mapping'!A:C,3,0)</f>
        <v>LIC168</v>
      </c>
      <c r="G1206" s="127" t="s">
        <v>453</v>
      </c>
      <c r="H1206" s="127" t="s">
        <v>618</v>
      </c>
      <c r="I1206" s="127" t="s">
        <v>619</v>
      </c>
      <c r="J1206" s="128">
        <v>450000</v>
      </c>
      <c r="K1206" s="127" t="s">
        <v>532</v>
      </c>
      <c r="L1206" s="151">
        <v>452130</v>
      </c>
      <c r="M1206" s="128">
        <v>0</v>
      </c>
      <c r="N1206" s="127" t="s">
        <v>535</v>
      </c>
      <c r="O1206" s="127" t="s">
        <v>457</v>
      </c>
      <c r="P1206" s="128">
        <v>0</v>
      </c>
      <c r="Q1206" s="128">
        <v>52524754.520000003</v>
      </c>
      <c r="R1206" s="128">
        <v>0</v>
      </c>
      <c r="S1206" s="128">
        <v>0</v>
      </c>
      <c r="T1206" s="128">
        <v>0</v>
      </c>
      <c r="U1206" s="128">
        <v>52524754.520000003</v>
      </c>
      <c r="V1206" s="128">
        <v>0</v>
      </c>
      <c r="W1206" s="128">
        <v>52524754.520000003</v>
      </c>
      <c r="X1206" s="128">
        <v>0</v>
      </c>
      <c r="Y1206" s="128">
        <v>0</v>
      </c>
      <c r="Z1206" s="128">
        <v>0</v>
      </c>
      <c r="AA1206" s="128">
        <v>52524754.520000003</v>
      </c>
      <c r="AB1206" s="126">
        <f t="shared" si="127"/>
        <v>-5.2524754520000005</v>
      </c>
      <c r="AC1206" s="122" t="s">
        <v>1838</v>
      </c>
      <c r="AD1206" s="123">
        <f t="shared" ref="AD1206:AD1231" si="130">SUMIF(E:E,E1206,AB:AB)</f>
        <v>-5.2688832240000005</v>
      </c>
    </row>
    <row r="1207" spans="1:30" ht="12.75" hidden="1" customHeight="1">
      <c r="A1207" s="125" t="str">
        <f t="shared" si="124"/>
        <v>LIC168Amort. Income - CBLO</v>
      </c>
      <c r="B1207" s="125">
        <f>+IFERROR(VLOOKUP(L1207,'TB mapping'!A:D,4,0),0)</f>
        <v>0</v>
      </c>
      <c r="C1207" s="125">
        <f>+IFERROR(VLOOKUP(L1207,'TB mapping'!A:C,3,0),0)</f>
        <v>5.2</v>
      </c>
      <c r="D1207" s="125" t="str">
        <f t="shared" si="125"/>
        <v>LIC1680</v>
      </c>
      <c r="E1207" s="125" t="str">
        <f t="shared" si="126"/>
        <v>LIC1685.2</v>
      </c>
      <c r="F1207" s="158" t="str">
        <f>+VLOOKUP(H1207,'code mapping'!A:C,3,0)</f>
        <v>LIC168</v>
      </c>
      <c r="G1207" s="127" t="s">
        <v>453</v>
      </c>
      <c r="H1207" s="127" t="s">
        <v>618</v>
      </c>
      <c r="I1207" s="127" t="s">
        <v>619</v>
      </c>
      <c r="J1207" s="128">
        <v>450000</v>
      </c>
      <c r="K1207" s="127" t="s">
        <v>532</v>
      </c>
      <c r="L1207" s="151">
        <v>452228</v>
      </c>
      <c r="M1207" s="128">
        <v>0</v>
      </c>
      <c r="N1207" s="127" t="s">
        <v>537</v>
      </c>
      <c r="O1207" s="127" t="s">
        <v>457</v>
      </c>
      <c r="P1207" s="128">
        <v>0</v>
      </c>
      <c r="Q1207" s="128">
        <v>164077.72</v>
      </c>
      <c r="R1207" s="128">
        <v>0</v>
      </c>
      <c r="S1207" s="128">
        <v>0</v>
      </c>
      <c r="T1207" s="128">
        <v>0</v>
      </c>
      <c r="U1207" s="128">
        <v>164077.72</v>
      </c>
      <c r="V1207" s="128">
        <v>0</v>
      </c>
      <c r="W1207" s="128">
        <v>164077.72</v>
      </c>
      <c r="X1207" s="128">
        <v>0</v>
      </c>
      <c r="Y1207" s="128">
        <v>0</v>
      </c>
      <c r="Z1207" s="128">
        <v>0</v>
      </c>
      <c r="AA1207" s="128">
        <v>164077.72</v>
      </c>
      <c r="AB1207" s="126">
        <f t="shared" si="127"/>
        <v>-1.6407772000000001E-2</v>
      </c>
      <c r="AC1207" s="122" t="s">
        <v>1838</v>
      </c>
      <c r="AD1207" s="123">
        <f t="shared" si="130"/>
        <v>-5.2688832240000005</v>
      </c>
    </row>
    <row r="1208" spans="1:30" ht="12.75" hidden="1" customHeight="1">
      <c r="A1208" s="125" t="str">
        <f t="shared" si="124"/>
        <v>LIC168Other Income</v>
      </c>
      <c r="B1208" s="125">
        <f>+IFERROR(VLOOKUP(L1208,'TB mapping'!A:D,4,0),0)</f>
        <v>0</v>
      </c>
      <c r="C1208" s="125">
        <f>+IFERROR(VLOOKUP(L1208,'TB mapping'!A:C,3,0),0)</f>
        <v>5.5</v>
      </c>
      <c r="D1208" s="125" t="str">
        <f t="shared" si="125"/>
        <v>LIC1680</v>
      </c>
      <c r="E1208" s="125" t="str">
        <f t="shared" si="126"/>
        <v>LIC1685.5</v>
      </c>
      <c r="F1208" s="158" t="str">
        <f>+VLOOKUP(H1208,'code mapping'!A:C,3,0)</f>
        <v>LIC168</v>
      </c>
      <c r="G1208" s="127" t="s">
        <v>453</v>
      </c>
      <c r="H1208" s="127" t="s">
        <v>618</v>
      </c>
      <c r="I1208" s="127" t="s">
        <v>619</v>
      </c>
      <c r="J1208" s="128">
        <v>460000</v>
      </c>
      <c r="K1208" s="127" t="s">
        <v>539</v>
      </c>
      <c r="L1208" s="151">
        <v>460000</v>
      </c>
      <c r="M1208" s="128">
        <v>0</v>
      </c>
      <c r="N1208" s="127" t="s">
        <v>541</v>
      </c>
      <c r="O1208" s="127" t="s">
        <v>457</v>
      </c>
      <c r="P1208" s="128">
        <v>-21312.03</v>
      </c>
      <c r="Q1208" s="128">
        <v>0</v>
      </c>
      <c r="R1208" s="128">
        <v>0</v>
      </c>
      <c r="S1208" s="128">
        <v>0</v>
      </c>
      <c r="T1208" s="128">
        <v>-21312.03</v>
      </c>
      <c r="U1208" s="128">
        <v>0</v>
      </c>
      <c r="V1208" s="128">
        <v>-21312.03</v>
      </c>
      <c r="W1208" s="128">
        <v>0</v>
      </c>
      <c r="X1208" s="128">
        <v>0</v>
      </c>
      <c r="Y1208" s="128">
        <v>0</v>
      </c>
      <c r="Z1208" s="128">
        <v>-21312.03</v>
      </c>
      <c r="AA1208" s="128">
        <v>0</v>
      </c>
      <c r="AB1208" s="126">
        <f t="shared" si="127"/>
        <v>2.1312029999999999E-3</v>
      </c>
      <c r="AC1208" s="122" t="s">
        <v>1838</v>
      </c>
      <c r="AD1208" s="123">
        <f t="shared" si="130"/>
        <v>2.1312029999999999E-3</v>
      </c>
    </row>
    <row r="1209" spans="1:30" ht="12.75" hidden="1" customHeight="1">
      <c r="A1209" s="125" t="str">
        <f t="shared" ref="A1209:A1272" si="131">+F1209&amp;N1209</f>
        <v>LIC168R/L Loss - Inter Sch Govt Bond</v>
      </c>
      <c r="B1209" s="125">
        <f>+IFERROR(VLOOKUP(L1209,'TB mapping'!A:D,4,0),0)</f>
        <v>0</v>
      </c>
      <c r="C1209" s="125">
        <f>+IFERROR(VLOOKUP(L1209,'TB mapping'!A:C,3,0),0)</f>
        <v>5.4</v>
      </c>
      <c r="D1209" s="125" t="str">
        <f t="shared" ref="D1209:D1272" si="132">+F1209&amp;B1209</f>
        <v>LIC1680</v>
      </c>
      <c r="E1209" s="125" t="str">
        <f t="shared" ref="E1209:E1272" si="133">+F1209&amp;C1209</f>
        <v>LIC1685.4</v>
      </c>
      <c r="F1209" s="158" t="str">
        <f>+VLOOKUP(H1209,'code mapping'!A:C,3,0)</f>
        <v>LIC168</v>
      </c>
      <c r="G1209" s="127" t="s">
        <v>453</v>
      </c>
      <c r="H1209" s="127" t="s">
        <v>618</v>
      </c>
      <c r="I1209" s="127" t="s">
        <v>619</v>
      </c>
      <c r="J1209" s="128">
        <v>510000</v>
      </c>
      <c r="K1209" s="127" t="s">
        <v>546</v>
      </c>
      <c r="L1209" s="151">
        <v>527304</v>
      </c>
      <c r="M1209" s="128">
        <v>0</v>
      </c>
      <c r="N1209" s="127" t="s">
        <v>549</v>
      </c>
      <c r="O1209" s="127" t="s">
        <v>457</v>
      </c>
      <c r="P1209" s="128">
        <v>-22753071.059999999</v>
      </c>
      <c r="Q1209" s="128">
        <v>0</v>
      </c>
      <c r="R1209" s="128">
        <v>0</v>
      </c>
      <c r="S1209" s="128">
        <v>0</v>
      </c>
      <c r="T1209" s="128">
        <v>-22753071.059999999</v>
      </c>
      <c r="U1209" s="128">
        <v>0</v>
      </c>
      <c r="V1209" s="128">
        <v>-22753071.059999999</v>
      </c>
      <c r="W1209" s="128">
        <v>0</v>
      </c>
      <c r="X1209" s="128">
        <v>0</v>
      </c>
      <c r="Y1209" s="128">
        <v>0</v>
      </c>
      <c r="Z1209" s="128">
        <v>-22753071.059999999</v>
      </c>
      <c r="AA1209" s="128">
        <v>0</v>
      </c>
      <c r="AB1209" s="126">
        <f t="shared" ref="AB1209:AB1272" si="134">SUM(-Z1209-AA1209)/10^7</f>
        <v>2.2753071060000001</v>
      </c>
      <c r="AC1209" s="122" t="s">
        <v>1838</v>
      </c>
      <c r="AD1209" s="123">
        <f t="shared" si="130"/>
        <v>1.3029026200000002</v>
      </c>
    </row>
    <row r="1210" spans="1:30" ht="12.75" hidden="1" customHeight="1">
      <c r="A1210" s="125" t="str">
        <f t="shared" si="131"/>
        <v>LIC168SEBI Fees</v>
      </c>
      <c r="B1210" s="125">
        <f>+IFERROR(VLOOKUP(L1210,'TB mapping'!A:D,4,0),0)</f>
        <v>0</v>
      </c>
      <c r="C1210" s="125">
        <f>+IFERROR(VLOOKUP(L1210,'TB mapping'!A:C,3,0),0)</f>
        <v>6.3</v>
      </c>
      <c r="D1210" s="125" t="str">
        <f t="shared" si="132"/>
        <v>LIC1680</v>
      </c>
      <c r="E1210" s="125" t="str">
        <f t="shared" si="133"/>
        <v>LIC1686.3</v>
      </c>
      <c r="F1210" s="158" t="str">
        <f>+VLOOKUP(H1210,'code mapping'!A:C,3,0)</f>
        <v>LIC168</v>
      </c>
      <c r="G1210" s="127" t="s">
        <v>453</v>
      </c>
      <c r="H1210" s="127" t="s">
        <v>618</v>
      </c>
      <c r="I1210" s="127" t="s">
        <v>619</v>
      </c>
      <c r="J1210" s="128">
        <v>550000</v>
      </c>
      <c r="K1210" s="127" t="s">
        <v>550</v>
      </c>
      <c r="L1210" s="151">
        <v>553007</v>
      </c>
      <c r="M1210" s="128">
        <v>0</v>
      </c>
      <c r="N1210" s="127" t="s">
        <v>551</v>
      </c>
      <c r="O1210" s="127" t="s">
        <v>457</v>
      </c>
      <c r="P1210" s="128">
        <v>-9688.39</v>
      </c>
      <c r="Q1210" s="128">
        <v>0</v>
      </c>
      <c r="R1210" s="128">
        <v>0</v>
      </c>
      <c r="S1210" s="128">
        <v>0</v>
      </c>
      <c r="T1210" s="128">
        <v>-9688.39</v>
      </c>
      <c r="U1210" s="128">
        <v>0</v>
      </c>
      <c r="V1210" s="128">
        <v>-9688.39</v>
      </c>
      <c r="W1210" s="128">
        <v>0</v>
      </c>
      <c r="X1210" s="128">
        <v>0</v>
      </c>
      <c r="Y1210" s="128">
        <v>0</v>
      </c>
      <c r="Z1210" s="128">
        <v>-9688.39</v>
      </c>
      <c r="AA1210" s="128">
        <v>0</v>
      </c>
      <c r="AB1210" s="126">
        <f t="shared" si="134"/>
        <v>9.6883899999999998E-4</v>
      </c>
      <c r="AC1210" s="122" t="s">
        <v>1838</v>
      </c>
      <c r="AD1210" s="123">
        <f t="shared" si="130"/>
        <v>0.20077237999999997</v>
      </c>
    </row>
    <row r="1211" spans="1:30" ht="12.75" hidden="1" customHeight="1">
      <c r="A1211" s="125" t="str">
        <f t="shared" si="131"/>
        <v>LIC168Audit Fee</v>
      </c>
      <c r="B1211" s="125">
        <f>+IFERROR(VLOOKUP(L1211,'TB mapping'!A:D,4,0),0)</f>
        <v>0</v>
      </c>
      <c r="C1211" s="125">
        <f>+IFERROR(VLOOKUP(L1211,'TB mapping'!A:C,3,0),0)</f>
        <v>6.3</v>
      </c>
      <c r="D1211" s="125" t="str">
        <f t="shared" si="132"/>
        <v>LIC1680</v>
      </c>
      <c r="E1211" s="125" t="str">
        <f t="shared" si="133"/>
        <v>LIC1686.3</v>
      </c>
      <c r="F1211" s="158" t="str">
        <f>+VLOOKUP(H1211,'code mapping'!A:C,3,0)</f>
        <v>LIC168</v>
      </c>
      <c r="G1211" s="127" t="s">
        <v>453</v>
      </c>
      <c r="H1211" s="127" t="s">
        <v>618</v>
      </c>
      <c r="I1211" s="127" t="s">
        <v>619</v>
      </c>
      <c r="J1211" s="128">
        <v>550000</v>
      </c>
      <c r="K1211" s="127" t="s">
        <v>550</v>
      </c>
      <c r="L1211" s="151">
        <v>553105</v>
      </c>
      <c r="M1211" s="128">
        <v>0</v>
      </c>
      <c r="N1211" s="127" t="s">
        <v>552</v>
      </c>
      <c r="O1211" s="127" t="s">
        <v>457</v>
      </c>
      <c r="P1211" s="128">
        <v>-1797.33</v>
      </c>
      <c r="Q1211" s="128">
        <v>0</v>
      </c>
      <c r="R1211" s="128">
        <v>0</v>
      </c>
      <c r="S1211" s="128">
        <v>0</v>
      </c>
      <c r="T1211" s="128">
        <v>-1797.33</v>
      </c>
      <c r="U1211" s="128">
        <v>0</v>
      </c>
      <c r="V1211" s="128">
        <v>-1797.33</v>
      </c>
      <c r="W1211" s="128">
        <v>0</v>
      </c>
      <c r="X1211" s="128">
        <v>0</v>
      </c>
      <c r="Y1211" s="128">
        <v>0</v>
      </c>
      <c r="Z1211" s="128">
        <v>-1797.33</v>
      </c>
      <c r="AA1211" s="128">
        <v>0</v>
      </c>
      <c r="AB1211" s="126">
        <f t="shared" si="134"/>
        <v>1.7973299999999998E-4</v>
      </c>
      <c r="AC1211" s="122" t="s">
        <v>1838</v>
      </c>
      <c r="AD1211" s="123">
        <f t="shared" si="130"/>
        <v>0.20077237999999997</v>
      </c>
    </row>
    <row r="1212" spans="1:30" ht="12.75" hidden="1" customHeight="1">
      <c r="A1212" s="125" t="str">
        <f t="shared" si="131"/>
        <v>LIC168Custody Fee</v>
      </c>
      <c r="B1212" s="125">
        <f>+IFERROR(VLOOKUP(L1212,'TB mapping'!A:D,4,0),0)</f>
        <v>0</v>
      </c>
      <c r="C1212" s="125">
        <f>+IFERROR(VLOOKUP(L1212,'TB mapping'!A:C,3,0),0)</f>
        <v>6.3</v>
      </c>
      <c r="D1212" s="125" t="str">
        <f t="shared" si="132"/>
        <v>LIC1680</v>
      </c>
      <c r="E1212" s="125" t="str">
        <f t="shared" si="133"/>
        <v>LIC1686.3</v>
      </c>
      <c r="F1212" s="158" t="str">
        <f>+VLOOKUP(H1212,'code mapping'!A:C,3,0)</f>
        <v>LIC168</v>
      </c>
      <c r="G1212" s="127" t="s">
        <v>453</v>
      </c>
      <c r="H1212" s="127" t="s">
        <v>618</v>
      </c>
      <c r="I1212" s="127" t="s">
        <v>619</v>
      </c>
      <c r="J1212" s="128">
        <v>550000</v>
      </c>
      <c r="K1212" s="127" t="s">
        <v>550</v>
      </c>
      <c r="L1212" s="151">
        <v>553107</v>
      </c>
      <c r="M1212" s="128">
        <v>0</v>
      </c>
      <c r="N1212" s="127" t="s">
        <v>553</v>
      </c>
      <c r="O1212" s="127" t="s">
        <v>457</v>
      </c>
      <c r="P1212" s="128">
        <v>-601.91999999999996</v>
      </c>
      <c r="Q1212" s="128">
        <v>0</v>
      </c>
      <c r="R1212" s="128">
        <v>0</v>
      </c>
      <c r="S1212" s="128">
        <v>0</v>
      </c>
      <c r="T1212" s="128">
        <v>-601.91999999999996</v>
      </c>
      <c r="U1212" s="128">
        <v>0</v>
      </c>
      <c r="V1212" s="128">
        <v>-601.91999999999996</v>
      </c>
      <c r="W1212" s="128">
        <v>0</v>
      </c>
      <c r="X1212" s="128">
        <v>0</v>
      </c>
      <c r="Y1212" s="128">
        <v>0</v>
      </c>
      <c r="Z1212" s="128">
        <v>-601.91999999999996</v>
      </c>
      <c r="AA1212" s="128">
        <v>0</v>
      </c>
      <c r="AB1212" s="126">
        <f t="shared" si="134"/>
        <v>6.0191999999999996E-5</v>
      </c>
      <c r="AC1212" s="122" t="s">
        <v>1838</v>
      </c>
      <c r="AD1212" s="123">
        <f t="shared" si="130"/>
        <v>0.20077237999999997</v>
      </c>
    </row>
    <row r="1213" spans="1:30" ht="12.75" hidden="1" customHeight="1">
      <c r="A1213" s="125" t="str">
        <f t="shared" si="131"/>
        <v>LIC168Expense Allocation Account</v>
      </c>
      <c r="B1213" s="125">
        <f>+IFERROR(VLOOKUP(L1213,'TB mapping'!A:D,4,0),0)</f>
        <v>0</v>
      </c>
      <c r="C1213" s="125">
        <f>+IFERROR(VLOOKUP(L1213,'TB mapping'!A:C,3,0),0)</f>
        <v>6.3</v>
      </c>
      <c r="D1213" s="125" t="str">
        <f t="shared" si="132"/>
        <v>LIC1680</v>
      </c>
      <c r="E1213" s="125" t="str">
        <f t="shared" si="133"/>
        <v>LIC1686.3</v>
      </c>
      <c r="F1213" s="158" t="str">
        <f>+VLOOKUP(H1213,'code mapping'!A:C,3,0)</f>
        <v>LIC168</v>
      </c>
      <c r="G1213" s="127" t="s">
        <v>453</v>
      </c>
      <c r="H1213" s="127" t="s">
        <v>618</v>
      </c>
      <c r="I1213" s="127" t="s">
        <v>619</v>
      </c>
      <c r="J1213" s="128">
        <v>550000</v>
      </c>
      <c r="K1213" s="127" t="s">
        <v>550</v>
      </c>
      <c r="L1213" s="151">
        <v>553111</v>
      </c>
      <c r="M1213" s="128">
        <v>0</v>
      </c>
      <c r="N1213" s="127" t="s">
        <v>554</v>
      </c>
      <c r="O1213" s="127" t="s">
        <v>457</v>
      </c>
      <c r="P1213" s="128">
        <v>0</v>
      </c>
      <c r="Q1213" s="128">
        <v>154833.1</v>
      </c>
      <c r="R1213" s="128">
        <v>0</v>
      </c>
      <c r="S1213" s="128">
        <v>0</v>
      </c>
      <c r="T1213" s="128">
        <v>0</v>
      </c>
      <c r="U1213" s="128">
        <v>154833.1</v>
      </c>
      <c r="V1213" s="128">
        <v>0</v>
      </c>
      <c r="W1213" s="128">
        <v>154833.1</v>
      </c>
      <c r="X1213" s="128">
        <v>0</v>
      </c>
      <c r="Y1213" s="128">
        <v>0</v>
      </c>
      <c r="Z1213" s="128">
        <v>0</v>
      </c>
      <c r="AA1213" s="128">
        <v>154833.1</v>
      </c>
      <c r="AB1213" s="126">
        <f t="shared" si="134"/>
        <v>-1.548331E-2</v>
      </c>
      <c r="AC1213" s="122" t="s">
        <v>1838</v>
      </c>
      <c r="AD1213" s="123">
        <f t="shared" si="130"/>
        <v>0.20077237999999997</v>
      </c>
    </row>
    <row r="1214" spans="1:30" ht="12.75" hidden="1" customHeight="1">
      <c r="A1214" s="125" t="str">
        <f t="shared" si="131"/>
        <v>LIC168Trustee Fee</v>
      </c>
      <c r="B1214" s="125">
        <f>+IFERROR(VLOOKUP(L1214,'TB mapping'!A:D,4,0),0)</f>
        <v>6.2</v>
      </c>
      <c r="C1214" s="125">
        <f>+IFERROR(VLOOKUP(L1214,'TB mapping'!A:C,3,0),0)</f>
        <v>6.3</v>
      </c>
      <c r="D1214" s="125" t="str">
        <f t="shared" si="132"/>
        <v>LIC1686.2</v>
      </c>
      <c r="E1214" s="125" t="str">
        <f t="shared" si="133"/>
        <v>LIC1686.3</v>
      </c>
      <c r="F1214" s="158" t="str">
        <f>+VLOOKUP(H1214,'code mapping'!A:C,3,0)</f>
        <v>LIC168</v>
      </c>
      <c r="G1214" s="127" t="s">
        <v>453</v>
      </c>
      <c r="H1214" s="127" t="s">
        <v>618</v>
      </c>
      <c r="I1214" s="127" t="s">
        <v>619</v>
      </c>
      <c r="J1214" s="128">
        <v>550000</v>
      </c>
      <c r="K1214" s="127" t="s">
        <v>550</v>
      </c>
      <c r="L1214" s="151">
        <v>553131</v>
      </c>
      <c r="M1214" s="128">
        <v>0</v>
      </c>
      <c r="N1214" s="127" t="s">
        <v>555</v>
      </c>
      <c r="O1214" s="127" t="s">
        <v>457</v>
      </c>
      <c r="P1214" s="128">
        <v>-7284.73</v>
      </c>
      <c r="Q1214" s="128">
        <v>0</v>
      </c>
      <c r="R1214" s="128">
        <v>0</v>
      </c>
      <c r="S1214" s="128">
        <v>0</v>
      </c>
      <c r="T1214" s="128">
        <v>-7284.73</v>
      </c>
      <c r="U1214" s="128">
        <v>0</v>
      </c>
      <c r="V1214" s="128">
        <v>-7284.73</v>
      </c>
      <c r="W1214" s="128">
        <v>0</v>
      </c>
      <c r="X1214" s="128">
        <v>0</v>
      </c>
      <c r="Y1214" s="128">
        <v>0</v>
      </c>
      <c r="Z1214" s="128">
        <v>-7284.73</v>
      </c>
      <c r="AA1214" s="128">
        <v>0</v>
      </c>
      <c r="AB1214" s="126">
        <f t="shared" si="134"/>
        <v>7.2847299999999999E-4</v>
      </c>
      <c r="AC1214" s="122" t="s">
        <v>1838</v>
      </c>
      <c r="AD1214" s="123">
        <f t="shared" si="130"/>
        <v>0.20077237999999997</v>
      </c>
    </row>
    <row r="1215" spans="1:30" ht="12.75" hidden="1" customHeight="1">
      <c r="A1215" s="125" t="str">
        <f t="shared" si="131"/>
        <v>LIC168Bank Charges</v>
      </c>
      <c r="B1215" s="125">
        <f>+IFERROR(VLOOKUP(L1215,'TB mapping'!A:D,4,0),0)</f>
        <v>0</v>
      </c>
      <c r="C1215" s="125">
        <f>+IFERROR(VLOOKUP(L1215,'TB mapping'!A:C,3,0),0)</f>
        <v>6.3</v>
      </c>
      <c r="D1215" s="125" t="str">
        <f t="shared" si="132"/>
        <v>LIC1680</v>
      </c>
      <c r="E1215" s="125" t="str">
        <f t="shared" si="133"/>
        <v>LIC1686.3</v>
      </c>
      <c r="F1215" s="158" t="str">
        <f>+VLOOKUP(H1215,'code mapping'!A:C,3,0)</f>
        <v>LIC168</v>
      </c>
      <c r="G1215" s="127" t="s">
        <v>453</v>
      </c>
      <c r="H1215" s="127" t="s">
        <v>618</v>
      </c>
      <c r="I1215" s="127" t="s">
        <v>619</v>
      </c>
      <c r="J1215" s="128">
        <v>550000</v>
      </c>
      <c r="K1215" s="127" t="s">
        <v>550</v>
      </c>
      <c r="L1215" s="151">
        <v>553141</v>
      </c>
      <c r="M1215" s="128">
        <v>0</v>
      </c>
      <c r="N1215" s="127" t="s">
        <v>556</v>
      </c>
      <c r="O1215" s="127" t="s">
        <v>457</v>
      </c>
      <c r="P1215" s="128">
        <v>-528.39</v>
      </c>
      <c r="Q1215" s="128">
        <v>0</v>
      </c>
      <c r="R1215" s="128">
        <v>0</v>
      </c>
      <c r="S1215" s="128">
        <v>0</v>
      </c>
      <c r="T1215" s="128">
        <v>-528.39</v>
      </c>
      <c r="U1215" s="128">
        <v>0</v>
      </c>
      <c r="V1215" s="128">
        <v>-528.39</v>
      </c>
      <c r="W1215" s="128">
        <v>0</v>
      </c>
      <c r="X1215" s="128">
        <v>0</v>
      </c>
      <c r="Y1215" s="128">
        <v>0</v>
      </c>
      <c r="Z1215" s="128">
        <v>-528.39</v>
      </c>
      <c r="AA1215" s="128">
        <v>0</v>
      </c>
      <c r="AB1215" s="126">
        <f t="shared" si="134"/>
        <v>5.2839E-5</v>
      </c>
      <c r="AC1215" s="122" t="s">
        <v>1838</v>
      </c>
      <c r="AD1215" s="123">
        <f t="shared" si="130"/>
        <v>0.20077237999999997</v>
      </c>
    </row>
    <row r="1216" spans="1:30" ht="12.75" hidden="1" customHeight="1">
      <c r="A1216" s="125" t="str">
        <f t="shared" si="131"/>
        <v>LIC168Investor Education Fund Exps</v>
      </c>
      <c r="B1216" s="125">
        <f>+IFERROR(VLOOKUP(L1216,'TB mapping'!A:D,4,0),0)</f>
        <v>0</v>
      </c>
      <c r="C1216" s="125">
        <f>+IFERROR(VLOOKUP(L1216,'TB mapping'!A:C,3,0),0)</f>
        <v>6.3</v>
      </c>
      <c r="D1216" s="125" t="str">
        <f t="shared" si="132"/>
        <v>LIC1680</v>
      </c>
      <c r="E1216" s="125" t="str">
        <f t="shared" si="133"/>
        <v>LIC1686.3</v>
      </c>
      <c r="F1216" s="158" t="str">
        <f>+VLOOKUP(H1216,'code mapping'!A:C,3,0)</f>
        <v>LIC168</v>
      </c>
      <c r="G1216" s="127" t="s">
        <v>453</v>
      </c>
      <c r="H1216" s="127" t="s">
        <v>618</v>
      </c>
      <c r="I1216" s="127" t="s">
        <v>619</v>
      </c>
      <c r="J1216" s="128">
        <v>550000</v>
      </c>
      <c r="K1216" s="127" t="s">
        <v>550</v>
      </c>
      <c r="L1216" s="151">
        <v>553171</v>
      </c>
      <c r="M1216" s="128">
        <v>0</v>
      </c>
      <c r="N1216" s="127" t="s">
        <v>557</v>
      </c>
      <c r="O1216" s="127" t="s">
        <v>457</v>
      </c>
      <c r="P1216" s="128">
        <v>-75249.81</v>
      </c>
      <c r="Q1216" s="128">
        <v>0</v>
      </c>
      <c r="R1216" s="128">
        <v>0</v>
      </c>
      <c r="S1216" s="128">
        <v>0</v>
      </c>
      <c r="T1216" s="128">
        <v>-75249.81</v>
      </c>
      <c r="U1216" s="128">
        <v>0</v>
      </c>
      <c r="V1216" s="128">
        <v>-75249.81</v>
      </c>
      <c r="W1216" s="128">
        <v>0</v>
      </c>
      <c r="X1216" s="128">
        <v>0</v>
      </c>
      <c r="Y1216" s="128">
        <v>0</v>
      </c>
      <c r="Z1216" s="128">
        <v>-75249.81</v>
      </c>
      <c r="AA1216" s="128">
        <v>0</v>
      </c>
      <c r="AB1216" s="126">
        <f t="shared" si="134"/>
        <v>7.524981E-3</v>
      </c>
      <c r="AC1216" s="122" t="s">
        <v>1838</v>
      </c>
      <c r="AD1216" s="123">
        <f t="shared" si="130"/>
        <v>0.20077237999999997</v>
      </c>
    </row>
    <row r="1217" spans="1:30" ht="12.75" hidden="1" customHeight="1">
      <c r="A1217" s="125" t="str">
        <f t="shared" si="131"/>
        <v>LIC168CCIL Expenses</v>
      </c>
      <c r="B1217" s="125">
        <f>+IFERROR(VLOOKUP(L1217,'TB mapping'!A:D,4,0),0)</f>
        <v>0</v>
      </c>
      <c r="C1217" s="125">
        <f>+IFERROR(VLOOKUP(L1217,'TB mapping'!A:C,3,0),0)</f>
        <v>6.3</v>
      </c>
      <c r="D1217" s="125" t="str">
        <f t="shared" si="132"/>
        <v>LIC1680</v>
      </c>
      <c r="E1217" s="125" t="str">
        <f t="shared" si="133"/>
        <v>LIC1686.3</v>
      </c>
      <c r="F1217" s="158" t="str">
        <f>+VLOOKUP(H1217,'code mapping'!A:C,3,0)</f>
        <v>LIC168</v>
      </c>
      <c r="G1217" s="127" t="s">
        <v>453</v>
      </c>
      <c r="H1217" s="127" t="s">
        <v>618</v>
      </c>
      <c r="I1217" s="127" t="s">
        <v>619</v>
      </c>
      <c r="J1217" s="128">
        <v>550000</v>
      </c>
      <c r="K1217" s="127" t="s">
        <v>550</v>
      </c>
      <c r="L1217" s="151">
        <v>553176</v>
      </c>
      <c r="M1217" s="128">
        <v>0</v>
      </c>
      <c r="N1217" s="127" t="s">
        <v>559</v>
      </c>
      <c r="O1217" s="127" t="s">
        <v>457</v>
      </c>
      <c r="P1217" s="128">
        <v>-9120.9600000000009</v>
      </c>
      <c r="Q1217" s="128">
        <v>0</v>
      </c>
      <c r="R1217" s="128">
        <v>0</v>
      </c>
      <c r="S1217" s="128">
        <v>0</v>
      </c>
      <c r="T1217" s="128">
        <v>-9120.9600000000009</v>
      </c>
      <c r="U1217" s="128">
        <v>0</v>
      </c>
      <c r="V1217" s="128">
        <v>-9120.9600000000009</v>
      </c>
      <c r="W1217" s="128">
        <v>0</v>
      </c>
      <c r="X1217" s="128">
        <v>0</v>
      </c>
      <c r="Y1217" s="128">
        <v>0</v>
      </c>
      <c r="Z1217" s="128">
        <v>-9120.9600000000009</v>
      </c>
      <c r="AA1217" s="128">
        <v>0</v>
      </c>
      <c r="AB1217" s="126">
        <f t="shared" si="134"/>
        <v>9.1209600000000004E-4</v>
      </c>
      <c r="AC1217" s="122" t="s">
        <v>1838</v>
      </c>
      <c r="AD1217" s="123">
        <f t="shared" si="130"/>
        <v>0.20077237999999997</v>
      </c>
    </row>
    <row r="1218" spans="1:30" ht="12.75" hidden="1" customHeight="1">
      <c r="A1218" s="125" t="str">
        <f t="shared" si="131"/>
        <v>LIC168Out of Pocket Expenses - R&amp;T</v>
      </c>
      <c r="B1218" s="125">
        <f>+IFERROR(VLOOKUP(L1218,'TB mapping'!A:D,4,0),0)</f>
        <v>0</v>
      </c>
      <c r="C1218" s="125">
        <f>+IFERROR(VLOOKUP(L1218,'TB mapping'!A:C,3,0),0)</f>
        <v>6.3</v>
      </c>
      <c r="D1218" s="125" t="str">
        <f t="shared" si="132"/>
        <v>LIC1680</v>
      </c>
      <c r="E1218" s="125" t="str">
        <f t="shared" si="133"/>
        <v>LIC1686.3</v>
      </c>
      <c r="F1218" s="158" t="str">
        <f>+VLOOKUP(H1218,'code mapping'!A:C,3,0)</f>
        <v>LIC168</v>
      </c>
      <c r="G1218" s="127" t="s">
        <v>453</v>
      </c>
      <c r="H1218" s="127" t="s">
        <v>618</v>
      </c>
      <c r="I1218" s="127" t="s">
        <v>619</v>
      </c>
      <c r="J1218" s="128">
        <v>550000</v>
      </c>
      <c r="K1218" s="127" t="s">
        <v>550</v>
      </c>
      <c r="L1218" s="151">
        <v>553180</v>
      </c>
      <c r="M1218" s="128">
        <v>0</v>
      </c>
      <c r="N1218" s="127" t="s">
        <v>560</v>
      </c>
      <c r="O1218" s="127" t="s">
        <v>457</v>
      </c>
      <c r="P1218" s="128">
        <v>-1281.49</v>
      </c>
      <c r="Q1218" s="128">
        <v>0</v>
      </c>
      <c r="R1218" s="128">
        <v>0</v>
      </c>
      <c r="S1218" s="128">
        <v>0</v>
      </c>
      <c r="T1218" s="128">
        <v>-1281.49</v>
      </c>
      <c r="U1218" s="128">
        <v>0</v>
      </c>
      <c r="V1218" s="128">
        <v>-1281.49</v>
      </c>
      <c r="W1218" s="128">
        <v>0</v>
      </c>
      <c r="X1218" s="128">
        <v>0</v>
      </c>
      <c r="Y1218" s="128">
        <v>0</v>
      </c>
      <c r="Z1218" s="128">
        <v>-1281.49</v>
      </c>
      <c r="AA1218" s="128">
        <v>0</v>
      </c>
      <c r="AB1218" s="126">
        <f t="shared" si="134"/>
        <v>1.2814900000000001E-4</v>
      </c>
      <c r="AC1218" s="122" t="s">
        <v>1838</v>
      </c>
      <c r="AD1218" s="123">
        <f t="shared" si="130"/>
        <v>0.20077237999999997</v>
      </c>
    </row>
    <row r="1219" spans="1:30" ht="12.75" hidden="1" customHeight="1">
      <c r="A1219" s="125" t="str">
        <f t="shared" si="131"/>
        <v>LIC168Other Expenses</v>
      </c>
      <c r="B1219" s="125">
        <f>+IFERROR(VLOOKUP(L1219,'TB mapping'!A:D,4,0),0)</f>
        <v>0</v>
      </c>
      <c r="C1219" s="125">
        <f>+IFERROR(VLOOKUP(L1219,'TB mapping'!A:C,3,0),0)</f>
        <v>6.3</v>
      </c>
      <c r="D1219" s="125" t="str">
        <f t="shared" si="132"/>
        <v>LIC1680</v>
      </c>
      <c r="E1219" s="125" t="str">
        <f t="shared" si="133"/>
        <v>LIC1686.3</v>
      </c>
      <c r="F1219" s="158" t="str">
        <f>+VLOOKUP(H1219,'code mapping'!A:C,3,0)</f>
        <v>LIC168</v>
      </c>
      <c r="G1219" s="127" t="s">
        <v>453</v>
      </c>
      <c r="H1219" s="127" t="s">
        <v>618</v>
      </c>
      <c r="I1219" s="127" t="s">
        <v>619</v>
      </c>
      <c r="J1219" s="128">
        <v>550000</v>
      </c>
      <c r="K1219" s="127" t="s">
        <v>550</v>
      </c>
      <c r="L1219" s="151">
        <v>553190</v>
      </c>
      <c r="M1219" s="128">
        <v>0</v>
      </c>
      <c r="N1219" s="127" t="s">
        <v>561</v>
      </c>
      <c r="O1219" s="127" t="s">
        <v>457</v>
      </c>
      <c r="P1219" s="128">
        <v>-152206.26999999999</v>
      </c>
      <c r="Q1219" s="128">
        <v>0</v>
      </c>
      <c r="R1219" s="128">
        <v>0</v>
      </c>
      <c r="S1219" s="128">
        <v>0</v>
      </c>
      <c r="T1219" s="128">
        <v>-152206.26999999999</v>
      </c>
      <c r="U1219" s="128">
        <v>0</v>
      </c>
      <c r="V1219" s="128">
        <v>-152206.26999999999</v>
      </c>
      <c r="W1219" s="128">
        <v>0</v>
      </c>
      <c r="X1219" s="128">
        <v>0</v>
      </c>
      <c r="Y1219" s="128">
        <v>0</v>
      </c>
      <c r="Z1219" s="128">
        <v>-152206.26999999999</v>
      </c>
      <c r="AA1219" s="128">
        <v>0</v>
      </c>
      <c r="AB1219" s="126">
        <f t="shared" si="134"/>
        <v>1.5220626999999999E-2</v>
      </c>
      <c r="AC1219" s="122" t="s">
        <v>1838</v>
      </c>
      <c r="AD1219" s="123">
        <f t="shared" si="130"/>
        <v>0.20077237999999997</v>
      </c>
    </row>
    <row r="1220" spans="1:30" ht="12.75" hidden="1" customHeight="1">
      <c r="A1220" s="125" t="str">
        <f t="shared" si="131"/>
        <v>LIC168Other Exp - Brok - Indirect</v>
      </c>
      <c r="B1220" s="125">
        <f>+IFERROR(VLOOKUP(L1220,'TB mapping'!A:D,4,0),0)</f>
        <v>0</v>
      </c>
      <c r="C1220" s="125">
        <f>+IFERROR(VLOOKUP(L1220,'TB mapping'!A:C,3,0),0)</f>
        <v>6.3</v>
      </c>
      <c r="D1220" s="125" t="str">
        <f t="shared" si="132"/>
        <v>LIC1680</v>
      </c>
      <c r="E1220" s="125" t="str">
        <f t="shared" si="133"/>
        <v>LIC1686.3</v>
      </c>
      <c r="F1220" s="158" t="str">
        <f>+VLOOKUP(H1220,'code mapping'!A:C,3,0)</f>
        <v>LIC168</v>
      </c>
      <c r="G1220" s="127" t="s">
        <v>453</v>
      </c>
      <c r="H1220" s="127" t="s">
        <v>618</v>
      </c>
      <c r="I1220" s="127" t="s">
        <v>619</v>
      </c>
      <c r="J1220" s="128">
        <v>550000</v>
      </c>
      <c r="K1220" s="127" t="s">
        <v>550</v>
      </c>
      <c r="L1220" s="151">
        <v>553202</v>
      </c>
      <c r="M1220" s="128">
        <v>0</v>
      </c>
      <c r="N1220" s="127" t="s">
        <v>564</v>
      </c>
      <c r="O1220" s="127" t="s">
        <v>457</v>
      </c>
      <c r="P1220" s="128">
        <v>-88509.93</v>
      </c>
      <c r="Q1220" s="128">
        <v>0</v>
      </c>
      <c r="R1220" s="128">
        <v>0</v>
      </c>
      <c r="S1220" s="128">
        <v>0</v>
      </c>
      <c r="T1220" s="128">
        <v>-88509.93</v>
      </c>
      <c r="U1220" s="128">
        <v>0</v>
      </c>
      <c r="V1220" s="128">
        <v>-88509.93</v>
      </c>
      <c r="W1220" s="128">
        <v>0</v>
      </c>
      <c r="X1220" s="128">
        <v>0</v>
      </c>
      <c r="Y1220" s="128">
        <v>0</v>
      </c>
      <c r="Z1220" s="128">
        <v>-88509.93</v>
      </c>
      <c r="AA1220" s="128">
        <v>0</v>
      </c>
      <c r="AB1220" s="126">
        <f t="shared" si="134"/>
        <v>8.8509929999999997E-3</v>
      </c>
      <c r="AC1220" s="122" t="s">
        <v>1838</v>
      </c>
      <c r="AD1220" s="123">
        <f t="shared" si="130"/>
        <v>0.20077237999999997</v>
      </c>
    </row>
    <row r="1221" spans="1:30" ht="12.75" hidden="1" customHeight="1">
      <c r="A1221" s="125" t="str">
        <f t="shared" si="131"/>
        <v>LIC168Brokerage/Dist Exps</v>
      </c>
      <c r="B1221" s="125">
        <f>+IFERROR(VLOOKUP(L1221,'TB mapping'!A:D,4,0),0)</f>
        <v>0</v>
      </c>
      <c r="C1221" s="125">
        <f>+IFERROR(VLOOKUP(L1221,'TB mapping'!A:C,3,0),0)</f>
        <v>6.3</v>
      </c>
      <c r="D1221" s="125" t="str">
        <f t="shared" si="132"/>
        <v>LIC1680</v>
      </c>
      <c r="E1221" s="125" t="str">
        <f t="shared" si="133"/>
        <v>LIC1686.3</v>
      </c>
      <c r="F1221" s="158" t="str">
        <f>+VLOOKUP(H1221,'code mapping'!A:C,3,0)</f>
        <v>LIC168</v>
      </c>
      <c r="G1221" s="127" t="s">
        <v>453</v>
      </c>
      <c r="H1221" s="127" t="s">
        <v>618</v>
      </c>
      <c r="I1221" s="127" t="s">
        <v>619</v>
      </c>
      <c r="J1221" s="128">
        <v>550000</v>
      </c>
      <c r="K1221" s="127" t="s">
        <v>550</v>
      </c>
      <c r="L1221" s="151">
        <v>553208</v>
      </c>
      <c r="M1221" s="128">
        <v>0</v>
      </c>
      <c r="N1221" s="127" t="s">
        <v>565</v>
      </c>
      <c r="O1221" s="127" t="s">
        <v>457</v>
      </c>
      <c r="P1221" s="128">
        <v>0</v>
      </c>
      <c r="Q1221" s="128">
        <v>49458.22</v>
      </c>
      <c r="R1221" s="128">
        <v>0</v>
      </c>
      <c r="S1221" s="128">
        <v>0</v>
      </c>
      <c r="T1221" s="128">
        <v>0</v>
      </c>
      <c r="U1221" s="128">
        <v>49458.22</v>
      </c>
      <c r="V1221" s="128">
        <v>0</v>
      </c>
      <c r="W1221" s="128">
        <v>49458.22</v>
      </c>
      <c r="X1221" s="128">
        <v>0</v>
      </c>
      <c r="Y1221" s="128">
        <v>0</v>
      </c>
      <c r="Z1221" s="128">
        <v>0</v>
      </c>
      <c r="AA1221" s="128">
        <v>49458.22</v>
      </c>
      <c r="AB1221" s="126">
        <f t="shared" si="134"/>
        <v>-4.9458219999999999E-3</v>
      </c>
      <c r="AC1221" s="122" t="s">
        <v>1838</v>
      </c>
      <c r="AD1221" s="123">
        <f t="shared" si="130"/>
        <v>0.20077237999999997</v>
      </c>
    </row>
    <row r="1222" spans="1:30" ht="12.75" hidden="1" customHeight="1">
      <c r="A1222" s="125" t="str">
        <f t="shared" si="131"/>
        <v>LIC168Internal Audit Fee</v>
      </c>
      <c r="B1222" s="125">
        <f>+IFERROR(VLOOKUP(L1222,'TB mapping'!A:D,4,0),0)</f>
        <v>0</v>
      </c>
      <c r="C1222" s="125">
        <f>+IFERROR(VLOOKUP(L1222,'TB mapping'!A:C,3,0),0)</f>
        <v>6.3</v>
      </c>
      <c r="D1222" s="125" t="str">
        <f t="shared" si="132"/>
        <v>LIC1680</v>
      </c>
      <c r="E1222" s="125" t="str">
        <f t="shared" si="133"/>
        <v>LIC1686.3</v>
      </c>
      <c r="F1222" s="158" t="str">
        <f>+VLOOKUP(H1222,'code mapping'!A:C,3,0)</f>
        <v>LIC168</v>
      </c>
      <c r="G1222" s="127" t="s">
        <v>453</v>
      </c>
      <c r="H1222" s="127" t="s">
        <v>618</v>
      </c>
      <c r="I1222" s="127" t="s">
        <v>619</v>
      </c>
      <c r="J1222" s="128">
        <v>550000</v>
      </c>
      <c r="K1222" s="127" t="s">
        <v>550</v>
      </c>
      <c r="L1222" s="151">
        <v>553213</v>
      </c>
      <c r="M1222" s="128">
        <v>0</v>
      </c>
      <c r="N1222" s="127" t="s">
        <v>566</v>
      </c>
      <c r="O1222" s="127" t="s">
        <v>457</v>
      </c>
      <c r="P1222" s="128">
        <v>-5874.15</v>
      </c>
      <c r="Q1222" s="128">
        <v>0</v>
      </c>
      <c r="R1222" s="128">
        <v>0</v>
      </c>
      <c r="S1222" s="128">
        <v>0</v>
      </c>
      <c r="T1222" s="128">
        <v>-5874.15</v>
      </c>
      <c r="U1222" s="128">
        <v>0</v>
      </c>
      <c r="V1222" s="128">
        <v>-5874.15</v>
      </c>
      <c r="W1222" s="128">
        <v>0</v>
      </c>
      <c r="X1222" s="128">
        <v>0</v>
      </c>
      <c r="Y1222" s="128">
        <v>0</v>
      </c>
      <c r="Z1222" s="128">
        <v>-5874.15</v>
      </c>
      <c r="AA1222" s="128">
        <v>0</v>
      </c>
      <c r="AB1222" s="126">
        <f t="shared" si="134"/>
        <v>5.8741499999999999E-4</v>
      </c>
      <c r="AC1222" s="122" t="s">
        <v>1838</v>
      </c>
      <c r="AD1222" s="123">
        <f t="shared" si="130"/>
        <v>0.20077237999999997</v>
      </c>
    </row>
    <row r="1223" spans="1:30" ht="12.75" hidden="1" customHeight="1">
      <c r="A1223" s="125" t="str">
        <f t="shared" si="131"/>
        <v>LIC168Other Expenses - G</v>
      </c>
      <c r="B1223" s="125">
        <f>+IFERROR(VLOOKUP(L1223,'TB mapping'!A:D,4,0),0)</f>
        <v>0</v>
      </c>
      <c r="C1223" s="125">
        <f>+IFERROR(VLOOKUP(L1223,'TB mapping'!A:C,3,0),0)</f>
        <v>6.3</v>
      </c>
      <c r="D1223" s="125" t="str">
        <f t="shared" si="132"/>
        <v>LIC1680</v>
      </c>
      <c r="E1223" s="125" t="str">
        <f t="shared" si="133"/>
        <v>LIC1686.3</v>
      </c>
      <c r="F1223" s="158" t="str">
        <f>+VLOOKUP(H1223,'code mapping'!A:C,3,0)</f>
        <v>LIC168</v>
      </c>
      <c r="G1223" s="127" t="s">
        <v>453</v>
      </c>
      <c r="H1223" s="127" t="s">
        <v>618</v>
      </c>
      <c r="I1223" s="127" t="s">
        <v>619</v>
      </c>
      <c r="J1223" s="128">
        <v>550000</v>
      </c>
      <c r="K1223" s="127" t="s">
        <v>550</v>
      </c>
      <c r="L1223" s="151">
        <v>553273</v>
      </c>
      <c r="M1223" s="128">
        <v>0</v>
      </c>
      <c r="N1223" s="127" t="s">
        <v>621</v>
      </c>
      <c r="O1223" s="127" t="s">
        <v>457</v>
      </c>
      <c r="P1223" s="128">
        <v>-738882.33</v>
      </c>
      <c r="Q1223" s="128">
        <v>0</v>
      </c>
      <c r="R1223" s="128">
        <v>0</v>
      </c>
      <c r="S1223" s="128">
        <v>0</v>
      </c>
      <c r="T1223" s="128">
        <v>-738882.33</v>
      </c>
      <c r="U1223" s="128">
        <v>0</v>
      </c>
      <c r="V1223" s="128">
        <v>-738882.33</v>
      </c>
      <c r="W1223" s="128">
        <v>0</v>
      </c>
      <c r="X1223" s="128">
        <v>0</v>
      </c>
      <c r="Y1223" s="128">
        <v>0</v>
      </c>
      <c r="Z1223" s="128">
        <v>-738882.33</v>
      </c>
      <c r="AA1223" s="128">
        <v>0</v>
      </c>
      <c r="AB1223" s="126">
        <f t="shared" si="134"/>
        <v>7.3888232999999998E-2</v>
      </c>
      <c r="AC1223" s="122" t="s">
        <v>1838</v>
      </c>
      <c r="AD1223" s="123">
        <f t="shared" si="130"/>
        <v>0.20077237999999997</v>
      </c>
    </row>
    <row r="1224" spans="1:30" ht="12.75" hidden="1" customHeight="1">
      <c r="A1224" s="125" t="str">
        <f t="shared" si="131"/>
        <v>LIC168Inv Educ Fund Expense - Amfi</v>
      </c>
      <c r="B1224" s="125">
        <f>+IFERROR(VLOOKUP(L1224,'TB mapping'!A:D,4,0),0)</f>
        <v>0</v>
      </c>
      <c r="C1224" s="125">
        <f>+IFERROR(VLOOKUP(L1224,'TB mapping'!A:C,3,0),0)</f>
        <v>6.3</v>
      </c>
      <c r="D1224" s="125" t="str">
        <f t="shared" si="132"/>
        <v>LIC1680</v>
      </c>
      <c r="E1224" s="125" t="str">
        <f t="shared" si="133"/>
        <v>LIC1686.3</v>
      </c>
      <c r="F1224" s="158" t="str">
        <f>+VLOOKUP(H1224,'code mapping'!A:C,3,0)</f>
        <v>LIC168</v>
      </c>
      <c r="G1224" s="127" t="s">
        <v>453</v>
      </c>
      <c r="H1224" s="127" t="s">
        <v>618</v>
      </c>
      <c r="I1224" s="127" t="s">
        <v>619</v>
      </c>
      <c r="J1224" s="128">
        <v>550000</v>
      </c>
      <c r="K1224" s="127" t="s">
        <v>550</v>
      </c>
      <c r="L1224" s="151">
        <v>554526</v>
      </c>
      <c r="M1224" s="128">
        <v>0</v>
      </c>
      <c r="N1224" s="127" t="s">
        <v>569</v>
      </c>
      <c r="O1224" s="127" t="s">
        <v>457</v>
      </c>
      <c r="P1224" s="128">
        <v>-75249.81</v>
      </c>
      <c r="Q1224" s="128">
        <v>0</v>
      </c>
      <c r="R1224" s="128">
        <v>0</v>
      </c>
      <c r="S1224" s="128">
        <v>0</v>
      </c>
      <c r="T1224" s="128">
        <v>-75249.81</v>
      </c>
      <c r="U1224" s="128">
        <v>0</v>
      </c>
      <c r="V1224" s="128">
        <v>-75249.81</v>
      </c>
      <c r="W1224" s="128">
        <v>0</v>
      </c>
      <c r="X1224" s="128">
        <v>0</v>
      </c>
      <c r="Y1224" s="128">
        <v>0</v>
      </c>
      <c r="Z1224" s="128">
        <v>-75249.81</v>
      </c>
      <c r="AA1224" s="128">
        <v>0</v>
      </c>
      <c r="AB1224" s="126">
        <f t="shared" si="134"/>
        <v>7.524981E-3</v>
      </c>
      <c r="AC1224" s="122" t="s">
        <v>1838</v>
      </c>
      <c r="AD1224" s="123">
        <f t="shared" si="130"/>
        <v>0.20077237999999997</v>
      </c>
    </row>
    <row r="1225" spans="1:30" ht="12.75" hidden="1" customHeight="1">
      <c r="A1225" s="125" t="str">
        <f t="shared" si="131"/>
        <v>LIC168Client Servicing Expenes</v>
      </c>
      <c r="B1225" s="125">
        <f>+IFERROR(VLOOKUP(L1225,'TB mapping'!A:D,4,0),0)</f>
        <v>0</v>
      </c>
      <c r="C1225" s="125">
        <f>+IFERROR(VLOOKUP(L1225,'TB mapping'!A:C,3,0),0)</f>
        <v>6.3</v>
      </c>
      <c r="D1225" s="125" t="str">
        <f t="shared" si="132"/>
        <v>LIC1680</v>
      </c>
      <c r="E1225" s="125" t="str">
        <f t="shared" si="133"/>
        <v>LIC1686.3</v>
      </c>
      <c r="F1225" s="158" t="str">
        <f>+VLOOKUP(H1225,'code mapping'!A:C,3,0)</f>
        <v>LIC168</v>
      </c>
      <c r="G1225" s="127" t="s">
        <v>453</v>
      </c>
      <c r="H1225" s="127" t="s">
        <v>618</v>
      </c>
      <c r="I1225" s="127" t="s">
        <v>619</v>
      </c>
      <c r="J1225" s="128">
        <v>550000</v>
      </c>
      <c r="K1225" s="127" t="s">
        <v>550</v>
      </c>
      <c r="L1225" s="151">
        <v>555157</v>
      </c>
      <c r="M1225" s="128">
        <v>0</v>
      </c>
      <c r="N1225" s="127" t="s">
        <v>571</v>
      </c>
      <c r="O1225" s="127" t="s">
        <v>457</v>
      </c>
      <c r="P1225" s="128">
        <v>-186697.53</v>
      </c>
      <c r="Q1225" s="128">
        <v>0</v>
      </c>
      <c r="R1225" s="128">
        <v>0</v>
      </c>
      <c r="S1225" s="128">
        <v>0</v>
      </c>
      <c r="T1225" s="128">
        <v>-186697.53</v>
      </c>
      <c r="U1225" s="128">
        <v>0</v>
      </c>
      <c r="V1225" s="128">
        <v>-186697.53</v>
      </c>
      <c r="W1225" s="128">
        <v>0</v>
      </c>
      <c r="X1225" s="128">
        <v>0</v>
      </c>
      <c r="Y1225" s="128">
        <v>0</v>
      </c>
      <c r="Z1225" s="128">
        <v>-186697.53</v>
      </c>
      <c r="AA1225" s="128">
        <v>0</v>
      </c>
      <c r="AB1225" s="126">
        <f t="shared" si="134"/>
        <v>1.8669753000000001E-2</v>
      </c>
      <c r="AC1225" s="122" t="s">
        <v>1838</v>
      </c>
      <c r="AD1225" s="123">
        <f t="shared" si="130"/>
        <v>0.20077237999999997</v>
      </c>
    </row>
    <row r="1226" spans="1:30" ht="12.75" hidden="1" customHeight="1">
      <c r="A1226" s="125" t="str">
        <f t="shared" si="131"/>
        <v>LIC168CGST on Mfees</v>
      </c>
      <c r="B1226" s="125">
        <f>+IFERROR(VLOOKUP(L1226,'TB mapping'!A:D,4,0),0)</f>
        <v>6.1</v>
      </c>
      <c r="C1226" s="125">
        <f>+IFERROR(VLOOKUP(L1226,'TB mapping'!A:C,3,0),0)</f>
        <v>6.3</v>
      </c>
      <c r="D1226" s="125" t="str">
        <f t="shared" si="132"/>
        <v>LIC1686.1</v>
      </c>
      <c r="E1226" s="125" t="str">
        <f t="shared" si="133"/>
        <v>LIC1686.3</v>
      </c>
      <c r="F1226" s="158" t="str">
        <f>+VLOOKUP(H1226,'code mapping'!A:C,3,0)</f>
        <v>LIC168</v>
      </c>
      <c r="G1226" s="127" t="s">
        <v>453</v>
      </c>
      <c r="H1226" s="127" t="s">
        <v>618</v>
      </c>
      <c r="I1226" s="127" t="s">
        <v>619</v>
      </c>
      <c r="J1226" s="128">
        <v>550000</v>
      </c>
      <c r="K1226" s="127" t="s">
        <v>550</v>
      </c>
      <c r="L1226" s="151">
        <v>555597</v>
      </c>
      <c r="M1226" s="128">
        <v>0</v>
      </c>
      <c r="N1226" s="127" t="s">
        <v>574</v>
      </c>
      <c r="O1226" s="127" t="s">
        <v>457</v>
      </c>
      <c r="P1226" s="128">
        <v>-65450.810000000012</v>
      </c>
      <c r="Q1226" s="128">
        <v>0</v>
      </c>
      <c r="R1226" s="128">
        <v>0</v>
      </c>
      <c r="S1226" s="128">
        <v>0</v>
      </c>
      <c r="T1226" s="128">
        <v>-65450.810000000012</v>
      </c>
      <c r="U1226" s="128">
        <v>0</v>
      </c>
      <c r="V1226" s="128">
        <v>-65450.810000000012</v>
      </c>
      <c r="W1226" s="128">
        <v>0</v>
      </c>
      <c r="X1226" s="128">
        <v>0</v>
      </c>
      <c r="Y1226" s="128">
        <v>0</v>
      </c>
      <c r="Z1226" s="128">
        <v>-65450.810000000012</v>
      </c>
      <c r="AA1226" s="128">
        <v>0</v>
      </c>
      <c r="AB1226" s="126">
        <f t="shared" si="134"/>
        <v>6.5450810000000012E-3</v>
      </c>
      <c r="AC1226" s="122" t="s">
        <v>1838</v>
      </c>
      <c r="AD1226" s="123">
        <f t="shared" si="130"/>
        <v>0.20077237999999997</v>
      </c>
    </row>
    <row r="1227" spans="1:30" ht="12.75" hidden="1" customHeight="1">
      <c r="A1227" s="125" t="str">
        <f t="shared" si="131"/>
        <v>LIC168SGST on Mfees</v>
      </c>
      <c r="B1227" s="125">
        <f>+IFERROR(VLOOKUP(L1227,'TB mapping'!A:D,4,0),0)</f>
        <v>6.1</v>
      </c>
      <c r="C1227" s="125">
        <f>+IFERROR(VLOOKUP(L1227,'TB mapping'!A:C,3,0),0)</f>
        <v>6.3</v>
      </c>
      <c r="D1227" s="125" t="str">
        <f t="shared" si="132"/>
        <v>LIC1686.1</v>
      </c>
      <c r="E1227" s="125" t="str">
        <f t="shared" si="133"/>
        <v>LIC1686.3</v>
      </c>
      <c r="F1227" s="158" t="str">
        <f>+VLOOKUP(H1227,'code mapping'!A:C,3,0)</f>
        <v>LIC168</v>
      </c>
      <c r="G1227" s="127" t="s">
        <v>453</v>
      </c>
      <c r="H1227" s="127" t="s">
        <v>618</v>
      </c>
      <c r="I1227" s="127" t="s">
        <v>619</v>
      </c>
      <c r="J1227" s="128">
        <v>550000</v>
      </c>
      <c r="K1227" s="127" t="s">
        <v>550</v>
      </c>
      <c r="L1227" s="151">
        <v>555598</v>
      </c>
      <c r="M1227" s="128">
        <v>0</v>
      </c>
      <c r="N1227" s="127" t="s">
        <v>575</v>
      </c>
      <c r="O1227" s="127" t="s">
        <v>457</v>
      </c>
      <c r="P1227" s="128">
        <v>-65448.3</v>
      </c>
      <c r="Q1227" s="128">
        <v>0</v>
      </c>
      <c r="R1227" s="128">
        <v>0</v>
      </c>
      <c r="S1227" s="128">
        <v>0</v>
      </c>
      <c r="T1227" s="128">
        <v>-65448.3</v>
      </c>
      <c r="U1227" s="128">
        <v>0</v>
      </c>
      <c r="V1227" s="128">
        <v>-65448.3</v>
      </c>
      <c r="W1227" s="128">
        <v>0</v>
      </c>
      <c r="X1227" s="128">
        <v>0</v>
      </c>
      <c r="Y1227" s="128">
        <v>0</v>
      </c>
      <c r="Z1227" s="128">
        <v>-65448.3</v>
      </c>
      <c r="AA1227" s="128">
        <v>0</v>
      </c>
      <c r="AB1227" s="126">
        <f t="shared" si="134"/>
        <v>6.5448300000000006E-3</v>
      </c>
      <c r="AC1227" s="122" t="s">
        <v>1838</v>
      </c>
      <c r="AD1227" s="123">
        <f t="shared" si="130"/>
        <v>0.20077237999999997</v>
      </c>
    </row>
    <row r="1228" spans="1:30" ht="12.75" hidden="1" customHeight="1">
      <c r="A1228" s="125" t="str">
        <f t="shared" si="131"/>
        <v>LIC168CGST on Mfees -GDP</v>
      </c>
      <c r="B1228" s="125">
        <f>+IFERROR(VLOOKUP(L1228,'TB mapping'!A:D,4,0),0)</f>
        <v>6.1</v>
      </c>
      <c r="C1228" s="125">
        <f>+IFERROR(VLOOKUP(L1228,'TB mapping'!A:C,3,0),0)</f>
        <v>6.3</v>
      </c>
      <c r="D1228" s="125" t="str">
        <f t="shared" si="132"/>
        <v>LIC1686.1</v>
      </c>
      <c r="E1228" s="125" t="str">
        <f t="shared" si="133"/>
        <v>LIC1686.3</v>
      </c>
      <c r="F1228" s="158" t="str">
        <f>+VLOOKUP(H1228,'code mapping'!A:C,3,0)</f>
        <v>LIC168</v>
      </c>
      <c r="G1228" s="127" t="s">
        <v>453</v>
      </c>
      <c r="H1228" s="127" t="s">
        <v>618</v>
      </c>
      <c r="I1228" s="127" t="s">
        <v>619</v>
      </c>
      <c r="J1228" s="128">
        <v>550000</v>
      </c>
      <c r="K1228" s="127" t="s">
        <v>550</v>
      </c>
      <c r="L1228" s="151">
        <v>555599</v>
      </c>
      <c r="M1228" s="128">
        <v>0</v>
      </c>
      <c r="N1228" s="127" t="s">
        <v>576</v>
      </c>
      <c r="O1228" s="127" t="s">
        <v>457</v>
      </c>
      <c r="P1228" s="128">
        <v>0</v>
      </c>
      <c r="Q1228" s="128">
        <v>2.5100000000000002</v>
      </c>
      <c r="R1228" s="128">
        <v>0</v>
      </c>
      <c r="S1228" s="128">
        <v>0</v>
      </c>
      <c r="T1228" s="128">
        <v>0</v>
      </c>
      <c r="U1228" s="128">
        <v>2.5100000000000002</v>
      </c>
      <c r="V1228" s="128">
        <v>0</v>
      </c>
      <c r="W1228" s="128">
        <v>2.5100000000000002</v>
      </c>
      <c r="X1228" s="128">
        <v>0</v>
      </c>
      <c r="Y1228" s="128">
        <v>0</v>
      </c>
      <c r="Z1228" s="128">
        <v>0</v>
      </c>
      <c r="AA1228" s="128">
        <v>2.5100000000000002</v>
      </c>
      <c r="AB1228" s="126">
        <f t="shared" si="134"/>
        <v>-2.5100000000000001E-7</v>
      </c>
      <c r="AC1228" s="122" t="s">
        <v>1838</v>
      </c>
      <c r="AD1228" s="123">
        <f t="shared" si="130"/>
        <v>0.20077237999999997</v>
      </c>
    </row>
    <row r="1229" spans="1:30" ht="12.75" hidden="1" customHeight="1">
      <c r="A1229" s="125" t="str">
        <f t="shared" si="131"/>
        <v>LIC168Operating Expenses</v>
      </c>
      <c r="B1229" s="125">
        <f>+IFERROR(VLOOKUP(L1229,'TB mapping'!A:D,4,0),0)</f>
        <v>0</v>
      </c>
      <c r="C1229" s="125">
        <f>+IFERROR(VLOOKUP(L1229,'TB mapping'!A:C,3,0),0)</f>
        <v>6.3</v>
      </c>
      <c r="D1229" s="125" t="str">
        <f t="shared" si="132"/>
        <v>LIC1680</v>
      </c>
      <c r="E1229" s="125" t="str">
        <f t="shared" si="133"/>
        <v>LIC1686.3</v>
      </c>
      <c r="F1229" s="158" t="str">
        <f>+VLOOKUP(H1229,'code mapping'!A:C,3,0)</f>
        <v>LIC168</v>
      </c>
      <c r="G1229" s="127" t="s">
        <v>453</v>
      </c>
      <c r="H1229" s="127" t="s">
        <v>618</v>
      </c>
      <c r="I1229" s="127" t="s">
        <v>619</v>
      </c>
      <c r="J1229" s="128">
        <v>550000</v>
      </c>
      <c r="K1229" s="127" t="s">
        <v>550</v>
      </c>
      <c r="L1229" s="151">
        <v>556421</v>
      </c>
      <c r="M1229" s="128">
        <v>0</v>
      </c>
      <c r="N1229" s="127" t="s">
        <v>578</v>
      </c>
      <c r="O1229" s="127" t="s">
        <v>457</v>
      </c>
      <c r="P1229" s="128">
        <v>-944.3</v>
      </c>
      <c r="Q1229" s="128">
        <v>0</v>
      </c>
      <c r="R1229" s="128">
        <v>0</v>
      </c>
      <c r="S1229" s="128">
        <v>0</v>
      </c>
      <c r="T1229" s="128">
        <v>-944.3</v>
      </c>
      <c r="U1229" s="128">
        <v>0</v>
      </c>
      <c r="V1229" s="128">
        <v>-944.3</v>
      </c>
      <c r="W1229" s="128">
        <v>0</v>
      </c>
      <c r="X1229" s="128">
        <v>0</v>
      </c>
      <c r="Y1229" s="128">
        <v>0</v>
      </c>
      <c r="Z1229" s="128">
        <v>-944.3</v>
      </c>
      <c r="AA1229" s="128">
        <v>0</v>
      </c>
      <c r="AB1229" s="126">
        <f t="shared" si="134"/>
        <v>9.4430000000000002E-5</v>
      </c>
      <c r="AC1229" s="122" t="s">
        <v>1838</v>
      </c>
      <c r="AD1229" s="123">
        <f t="shared" si="130"/>
        <v>0.20077237999999997</v>
      </c>
    </row>
    <row r="1230" spans="1:30" ht="12.75" hidden="1" customHeight="1">
      <c r="A1230" s="125" t="str">
        <f t="shared" si="131"/>
        <v>LIC168Management Fee</v>
      </c>
      <c r="B1230" s="125">
        <f>+IFERROR(VLOOKUP(L1230,'TB mapping'!A:D,4,0),0)</f>
        <v>6.1</v>
      </c>
      <c r="C1230" s="125">
        <f>+IFERROR(VLOOKUP(L1230,'TB mapping'!A:C,3,0),0)</f>
        <v>6.3</v>
      </c>
      <c r="D1230" s="125" t="str">
        <f t="shared" si="132"/>
        <v>LIC1686.1</v>
      </c>
      <c r="E1230" s="125" t="str">
        <f t="shared" si="133"/>
        <v>LIC1686.3</v>
      </c>
      <c r="F1230" s="158" t="str">
        <f>+VLOOKUP(H1230,'code mapping'!A:C,3,0)</f>
        <v>LIC168</v>
      </c>
      <c r="G1230" s="127" t="s">
        <v>453</v>
      </c>
      <c r="H1230" s="127" t="s">
        <v>618</v>
      </c>
      <c r="I1230" s="127" t="s">
        <v>619</v>
      </c>
      <c r="J1230" s="128">
        <v>555100</v>
      </c>
      <c r="K1230" s="127" t="s">
        <v>579</v>
      </c>
      <c r="L1230" s="151">
        <v>555100</v>
      </c>
      <c r="M1230" s="128">
        <v>0</v>
      </c>
      <c r="N1230" s="127" t="s">
        <v>580</v>
      </c>
      <c r="O1230" s="127" t="s">
        <v>457</v>
      </c>
      <c r="P1230" s="128">
        <v>-394992.49</v>
      </c>
      <c r="Q1230" s="128">
        <v>0</v>
      </c>
      <c r="R1230" s="128">
        <v>0</v>
      </c>
      <c r="S1230" s="128">
        <v>0</v>
      </c>
      <c r="T1230" s="128">
        <v>-394992.49</v>
      </c>
      <c r="U1230" s="128">
        <v>0</v>
      </c>
      <c r="V1230" s="128">
        <v>-394992.49</v>
      </c>
      <c r="W1230" s="128">
        <v>0</v>
      </c>
      <c r="X1230" s="128">
        <v>0</v>
      </c>
      <c r="Y1230" s="128">
        <v>0</v>
      </c>
      <c r="Z1230" s="128">
        <v>-394992.49</v>
      </c>
      <c r="AA1230" s="128">
        <v>0</v>
      </c>
      <c r="AB1230" s="126">
        <f t="shared" si="134"/>
        <v>3.9499249E-2</v>
      </c>
      <c r="AC1230" s="122" t="s">
        <v>1838</v>
      </c>
      <c r="AD1230" s="123">
        <f t="shared" si="130"/>
        <v>0.20077237999999997</v>
      </c>
    </row>
    <row r="1231" spans="1:30" ht="12.75" hidden="1" customHeight="1">
      <c r="A1231" s="125" t="str">
        <f t="shared" si="131"/>
        <v>LIC168Management Fees-G</v>
      </c>
      <c r="B1231" s="125">
        <f>+IFERROR(VLOOKUP(L1231,'TB mapping'!A:D,4,0),0)</f>
        <v>6.1</v>
      </c>
      <c r="C1231" s="125">
        <f>+IFERROR(VLOOKUP(L1231,'TB mapping'!A:C,3,0),0)</f>
        <v>6.3</v>
      </c>
      <c r="D1231" s="125" t="str">
        <f t="shared" si="132"/>
        <v>LIC1686.1</v>
      </c>
      <c r="E1231" s="125" t="str">
        <f t="shared" si="133"/>
        <v>LIC1686.3</v>
      </c>
      <c r="F1231" s="158" t="str">
        <f>+VLOOKUP(H1231,'code mapping'!A:C,3,0)</f>
        <v>LIC168</v>
      </c>
      <c r="G1231" s="127" t="s">
        <v>453</v>
      </c>
      <c r="H1231" s="127" t="s">
        <v>618</v>
      </c>
      <c r="I1231" s="127" t="s">
        <v>619</v>
      </c>
      <c r="J1231" s="128">
        <v>555100</v>
      </c>
      <c r="K1231" s="127" t="s">
        <v>579</v>
      </c>
      <c r="L1231" s="151">
        <v>555190</v>
      </c>
      <c r="M1231" s="128">
        <v>0</v>
      </c>
      <c r="N1231" s="127" t="s">
        <v>622</v>
      </c>
      <c r="O1231" s="127" t="s">
        <v>457</v>
      </c>
      <c r="P1231" s="128">
        <v>-332208.69</v>
      </c>
      <c r="Q1231" s="128">
        <v>0</v>
      </c>
      <c r="R1231" s="128">
        <v>0</v>
      </c>
      <c r="S1231" s="128">
        <v>0</v>
      </c>
      <c r="T1231" s="128">
        <v>-332208.69</v>
      </c>
      <c r="U1231" s="128">
        <v>0</v>
      </c>
      <c r="V1231" s="128">
        <v>-332208.69</v>
      </c>
      <c r="W1231" s="128">
        <v>0</v>
      </c>
      <c r="X1231" s="128">
        <v>0</v>
      </c>
      <c r="Y1231" s="128">
        <v>0</v>
      </c>
      <c r="Z1231" s="128">
        <v>-332208.69</v>
      </c>
      <c r="AA1231" s="128">
        <v>0</v>
      </c>
      <c r="AB1231" s="126">
        <f t="shared" si="134"/>
        <v>3.3220869E-2</v>
      </c>
      <c r="AC1231" s="122" t="s">
        <v>1838</v>
      </c>
      <c r="AD1231" s="123">
        <f t="shared" si="130"/>
        <v>0.20077237999999997</v>
      </c>
    </row>
    <row r="1232" spans="1:30" ht="12.75" hidden="1" customHeight="1">
      <c r="A1232" s="125" t="str">
        <f t="shared" si="131"/>
        <v>LIC34Investment - Government Bonds</v>
      </c>
      <c r="B1232" s="125">
        <f>+IFERROR(VLOOKUP(L1232,'TB mapping'!A:D,4,0),0)</f>
        <v>0</v>
      </c>
      <c r="C1232" s="125">
        <f>+IFERROR(VLOOKUP(L1232,'TB mapping'!A:C,3,0),0)</f>
        <v>0</v>
      </c>
      <c r="D1232" s="125" t="str">
        <f t="shared" si="132"/>
        <v>LIC340</v>
      </c>
      <c r="E1232" s="125" t="str">
        <f t="shared" si="133"/>
        <v>LIC340</v>
      </c>
      <c r="F1232" s="158" t="str">
        <f>+VLOOKUP(H1232,'code mapping'!A:C,3,0)</f>
        <v>LIC34</v>
      </c>
      <c r="G1232" s="127" t="s">
        <v>453</v>
      </c>
      <c r="H1232" s="127" t="s">
        <v>623</v>
      </c>
      <c r="I1232" s="127" t="s">
        <v>624</v>
      </c>
      <c r="J1232" s="128">
        <v>102000</v>
      </c>
      <c r="K1232" s="127" t="s">
        <v>455</v>
      </c>
      <c r="L1232" s="151">
        <v>102130</v>
      </c>
      <c r="M1232" s="128">
        <v>0</v>
      </c>
      <c r="N1232" s="127" t="s">
        <v>458</v>
      </c>
      <c r="O1232" s="127" t="s">
        <v>457</v>
      </c>
      <c r="P1232" s="128">
        <v>-625838861.65999997</v>
      </c>
      <c r="Q1232" s="128">
        <v>0</v>
      </c>
      <c r="R1232" s="128">
        <v>0</v>
      </c>
      <c r="S1232" s="128">
        <v>0</v>
      </c>
      <c r="T1232" s="128">
        <v>-625838861.65999997</v>
      </c>
      <c r="U1232" s="128">
        <v>0</v>
      </c>
      <c r="V1232" s="128">
        <v>-625838861.65999997</v>
      </c>
      <c r="W1232" s="128">
        <v>0</v>
      </c>
      <c r="X1232" s="128">
        <v>0</v>
      </c>
      <c r="Y1232" s="128">
        <v>0</v>
      </c>
      <c r="Z1232" s="128">
        <v>-625838861.65999997</v>
      </c>
      <c r="AA1232" s="128">
        <v>0</v>
      </c>
      <c r="AB1232" s="126">
        <f t="shared" si="134"/>
        <v>62.583886165999999</v>
      </c>
      <c r="AC1232" s="122" t="s">
        <v>1838</v>
      </c>
      <c r="AD1232" s="123">
        <f t="shared" ref="AD1232:AD1278" si="135">SUMIF(C:C,C1232,AB:AB)</f>
        <v>1983.9723217250009</v>
      </c>
    </row>
    <row r="1233" spans="1:30" ht="12.75" hidden="1" customHeight="1">
      <c r="A1233" s="125" t="str">
        <f t="shared" si="131"/>
        <v>LIC34Investment Mutual Fund</v>
      </c>
      <c r="B1233" s="125">
        <f>+IFERROR(VLOOKUP(L1233,'TB mapping'!A:D,4,0),0)</f>
        <v>0</v>
      </c>
      <c r="C1233" s="125">
        <f>+IFERROR(VLOOKUP(L1233,'TB mapping'!A:C,3,0),0)</f>
        <v>0</v>
      </c>
      <c r="D1233" s="125" t="str">
        <f t="shared" si="132"/>
        <v>LIC340</v>
      </c>
      <c r="E1233" s="125" t="str">
        <f t="shared" si="133"/>
        <v>LIC340</v>
      </c>
      <c r="F1233" s="158" t="str">
        <f>+VLOOKUP(H1233,'code mapping'!A:C,3,0)</f>
        <v>LIC34</v>
      </c>
      <c r="G1233" s="127" t="s">
        <v>453</v>
      </c>
      <c r="H1233" s="127" t="s">
        <v>623</v>
      </c>
      <c r="I1233" s="127" t="s">
        <v>624</v>
      </c>
      <c r="J1233" s="128">
        <v>105000</v>
      </c>
      <c r="K1233" s="127" t="s">
        <v>460</v>
      </c>
      <c r="L1233" s="151">
        <v>105100</v>
      </c>
      <c r="M1233" s="128">
        <v>0</v>
      </c>
      <c r="N1233" s="127" t="s">
        <v>461</v>
      </c>
      <c r="O1233" s="127" t="s">
        <v>457</v>
      </c>
      <c r="P1233" s="128">
        <v>0</v>
      </c>
      <c r="Q1233" s="128">
        <v>0.05</v>
      </c>
      <c r="R1233" s="128">
        <v>0</v>
      </c>
      <c r="S1233" s="128">
        <v>0</v>
      </c>
      <c r="T1233" s="128">
        <v>0</v>
      </c>
      <c r="U1233" s="128">
        <v>0.05</v>
      </c>
      <c r="V1233" s="128">
        <v>0</v>
      </c>
      <c r="W1233" s="128">
        <v>0.05</v>
      </c>
      <c r="X1233" s="128">
        <v>0</v>
      </c>
      <c r="Y1233" s="128">
        <v>0</v>
      </c>
      <c r="Z1233" s="128">
        <v>0</v>
      </c>
      <c r="AA1233" s="128">
        <v>0.05</v>
      </c>
      <c r="AB1233" s="126">
        <f t="shared" si="134"/>
        <v>-5.0000000000000001E-9</v>
      </c>
      <c r="AC1233" s="122" t="s">
        <v>1838</v>
      </c>
      <c r="AD1233" s="123">
        <f t="shared" si="135"/>
        <v>1983.9723217250009</v>
      </c>
    </row>
    <row r="1234" spans="1:30" ht="12.75" hidden="1" customHeight="1">
      <c r="A1234" s="125" t="str">
        <f t="shared" si="131"/>
        <v>LIC34Investment - CBLO</v>
      </c>
      <c r="B1234" s="125">
        <f>+IFERROR(VLOOKUP(L1234,'TB mapping'!A:D,4,0),0)</f>
        <v>0</v>
      </c>
      <c r="C1234" s="125">
        <f>+IFERROR(VLOOKUP(L1234,'TB mapping'!A:C,3,0),0)</f>
        <v>0</v>
      </c>
      <c r="D1234" s="125" t="str">
        <f t="shared" si="132"/>
        <v>LIC340</v>
      </c>
      <c r="E1234" s="125" t="str">
        <f t="shared" si="133"/>
        <v>LIC340</v>
      </c>
      <c r="F1234" s="158" t="str">
        <f>+VLOOKUP(H1234,'code mapping'!A:C,3,0)</f>
        <v>LIC34</v>
      </c>
      <c r="G1234" s="127" t="s">
        <v>453</v>
      </c>
      <c r="H1234" s="127" t="s">
        <v>623</v>
      </c>
      <c r="I1234" s="127" t="s">
        <v>624</v>
      </c>
      <c r="J1234" s="128">
        <v>110000</v>
      </c>
      <c r="K1234" s="127" t="s">
        <v>462</v>
      </c>
      <c r="L1234" s="151">
        <v>110100</v>
      </c>
      <c r="M1234" s="128">
        <v>0</v>
      </c>
      <c r="N1234" s="127" t="s">
        <v>463</v>
      </c>
      <c r="O1234" s="127" t="s">
        <v>457</v>
      </c>
      <c r="P1234" s="128">
        <v>-25818340.420000002</v>
      </c>
      <c r="Q1234" s="128">
        <v>0</v>
      </c>
      <c r="R1234" s="128">
        <v>0</v>
      </c>
      <c r="S1234" s="128">
        <v>0</v>
      </c>
      <c r="T1234" s="128">
        <v>-25818340.420000002</v>
      </c>
      <c r="U1234" s="128">
        <v>0</v>
      </c>
      <c r="V1234" s="128">
        <v>-25818340.420000002</v>
      </c>
      <c r="W1234" s="128">
        <v>0</v>
      </c>
      <c r="X1234" s="128">
        <v>0</v>
      </c>
      <c r="Y1234" s="128">
        <v>0</v>
      </c>
      <c r="Z1234" s="128">
        <v>-25818340.420000002</v>
      </c>
      <c r="AA1234" s="128">
        <v>0</v>
      </c>
      <c r="AB1234" s="126">
        <f t="shared" si="134"/>
        <v>2.5818340420000001</v>
      </c>
      <c r="AC1234" s="122" t="s">
        <v>1838</v>
      </c>
      <c r="AD1234" s="123">
        <f t="shared" si="135"/>
        <v>1983.9723217250009</v>
      </c>
    </row>
    <row r="1235" spans="1:30" ht="12.75" hidden="1" customHeight="1">
      <c r="A1235" s="125" t="str">
        <f t="shared" si="131"/>
        <v>LIC34Margin Money Deposits</v>
      </c>
      <c r="B1235" s="125">
        <f>+IFERROR(VLOOKUP(L1235,'TB mapping'!A:D,4,0),0)</f>
        <v>0</v>
      </c>
      <c r="C1235" s="125">
        <f>+IFERROR(VLOOKUP(L1235,'TB mapping'!A:C,3,0),0)</f>
        <v>0</v>
      </c>
      <c r="D1235" s="125" t="str">
        <f t="shared" si="132"/>
        <v>LIC340</v>
      </c>
      <c r="E1235" s="125" t="str">
        <f t="shared" si="133"/>
        <v>LIC340</v>
      </c>
      <c r="F1235" s="158" t="str">
        <f>+VLOOKUP(H1235,'code mapping'!A:C,3,0)</f>
        <v>LIC34</v>
      </c>
      <c r="G1235" s="127" t="s">
        <v>453</v>
      </c>
      <c r="H1235" s="127" t="s">
        <v>623</v>
      </c>
      <c r="I1235" s="127" t="s">
        <v>624</v>
      </c>
      <c r="J1235" s="128">
        <v>110000</v>
      </c>
      <c r="K1235" s="127" t="s">
        <v>462</v>
      </c>
      <c r="L1235" s="151">
        <v>110110</v>
      </c>
      <c r="M1235" s="128">
        <v>0</v>
      </c>
      <c r="N1235" s="127" t="s">
        <v>464</v>
      </c>
      <c r="O1235" s="127" t="s">
        <v>457</v>
      </c>
      <c r="P1235" s="128">
        <v>-1033498.32</v>
      </c>
      <c r="Q1235" s="128">
        <v>0</v>
      </c>
      <c r="R1235" s="128">
        <v>0</v>
      </c>
      <c r="S1235" s="128">
        <v>0</v>
      </c>
      <c r="T1235" s="128">
        <v>-1033498.32</v>
      </c>
      <c r="U1235" s="128">
        <v>0</v>
      </c>
      <c r="V1235" s="128">
        <v>-1033498.32</v>
      </c>
      <c r="W1235" s="128">
        <v>0</v>
      </c>
      <c r="X1235" s="128">
        <v>0</v>
      </c>
      <c r="Y1235" s="128">
        <v>0</v>
      </c>
      <c r="Z1235" s="128">
        <v>-1033498.32</v>
      </c>
      <c r="AA1235" s="128">
        <v>0</v>
      </c>
      <c r="AB1235" s="126">
        <f t="shared" si="134"/>
        <v>0.10334983199999999</v>
      </c>
      <c r="AC1235" s="122" t="s">
        <v>1838</v>
      </c>
      <c r="AD1235" s="123">
        <f t="shared" si="135"/>
        <v>1983.9723217250009</v>
      </c>
    </row>
    <row r="1236" spans="1:30" ht="12.75" hidden="1" customHeight="1">
      <c r="A1236" s="125" t="str">
        <f t="shared" si="131"/>
        <v>LIC34Margin Deposit For CCIL</v>
      </c>
      <c r="B1236" s="125">
        <f>+IFERROR(VLOOKUP(L1236,'TB mapping'!A:D,4,0),0)</f>
        <v>0</v>
      </c>
      <c r="C1236" s="125">
        <f>+IFERROR(VLOOKUP(L1236,'TB mapping'!A:C,3,0),0)</f>
        <v>0</v>
      </c>
      <c r="D1236" s="125" t="str">
        <f t="shared" si="132"/>
        <v>LIC340</v>
      </c>
      <c r="E1236" s="125" t="str">
        <f t="shared" si="133"/>
        <v>LIC340</v>
      </c>
      <c r="F1236" s="158" t="str">
        <f>+VLOOKUP(H1236,'code mapping'!A:C,3,0)</f>
        <v>LIC34</v>
      </c>
      <c r="G1236" s="127" t="s">
        <v>453</v>
      </c>
      <c r="H1236" s="127" t="s">
        <v>623</v>
      </c>
      <c r="I1236" s="127" t="s">
        <v>624</v>
      </c>
      <c r="J1236" s="128">
        <v>110000</v>
      </c>
      <c r="K1236" s="127" t="s">
        <v>462</v>
      </c>
      <c r="L1236" s="151">
        <v>110116</v>
      </c>
      <c r="M1236" s="128">
        <v>0</v>
      </c>
      <c r="N1236" s="127" t="s">
        <v>465</v>
      </c>
      <c r="O1236" s="127" t="s">
        <v>457</v>
      </c>
      <c r="P1236" s="128">
        <v>-120450.02</v>
      </c>
      <c r="Q1236" s="128">
        <v>0</v>
      </c>
      <c r="R1236" s="128">
        <v>0</v>
      </c>
      <c r="S1236" s="128">
        <v>0</v>
      </c>
      <c r="T1236" s="128">
        <v>-120450.02</v>
      </c>
      <c r="U1236" s="128">
        <v>0</v>
      </c>
      <c r="V1236" s="128">
        <v>-120450.02</v>
      </c>
      <c r="W1236" s="128">
        <v>0</v>
      </c>
      <c r="X1236" s="128">
        <v>0</v>
      </c>
      <c r="Y1236" s="128">
        <v>0</v>
      </c>
      <c r="Z1236" s="128">
        <v>-120450.02</v>
      </c>
      <c r="AA1236" s="128">
        <v>0</v>
      </c>
      <c r="AB1236" s="126">
        <f t="shared" si="134"/>
        <v>1.2045002000000001E-2</v>
      </c>
      <c r="AC1236" s="122" t="s">
        <v>1838</v>
      </c>
      <c r="AD1236" s="123">
        <f t="shared" si="135"/>
        <v>1983.9723217250009</v>
      </c>
    </row>
    <row r="1237" spans="1:30" ht="12.75" hidden="1" customHeight="1">
      <c r="A1237" s="125" t="str">
        <f t="shared" si="131"/>
        <v>LIC34Sub. Rec. Control Account</v>
      </c>
      <c r="B1237" s="125">
        <f>+IFERROR(VLOOKUP(L1237,'TB mapping'!A:D,4,0),0)</f>
        <v>0</v>
      </c>
      <c r="C1237" s="125">
        <f>+IFERROR(VLOOKUP(L1237,'TB mapping'!A:C,3,0),0)</f>
        <v>0</v>
      </c>
      <c r="D1237" s="125" t="str">
        <f t="shared" si="132"/>
        <v>LIC340</v>
      </c>
      <c r="E1237" s="125" t="str">
        <f t="shared" si="133"/>
        <v>LIC340</v>
      </c>
      <c r="F1237" s="158" t="str">
        <f>+VLOOKUP(H1237,'code mapping'!A:C,3,0)</f>
        <v>LIC34</v>
      </c>
      <c r="G1237" s="127" t="s">
        <v>453</v>
      </c>
      <c r="H1237" s="127" t="s">
        <v>623</v>
      </c>
      <c r="I1237" s="127" t="s">
        <v>624</v>
      </c>
      <c r="J1237" s="128">
        <v>132000</v>
      </c>
      <c r="K1237" s="127" t="s">
        <v>466</v>
      </c>
      <c r="L1237" s="151">
        <v>132121</v>
      </c>
      <c r="M1237" s="128">
        <v>0</v>
      </c>
      <c r="N1237" s="127" t="s">
        <v>467</v>
      </c>
      <c r="O1237" s="127" t="s">
        <v>457</v>
      </c>
      <c r="P1237" s="128">
        <v>-2512101.9700000002</v>
      </c>
      <c r="Q1237" s="128">
        <v>0</v>
      </c>
      <c r="R1237" s="128">
        <v>0</v>
      </c>
      <c r="S1237" s="128">
        <v>0</v>
      </c>
      <c r="T1237" s="128">
        <v>-2512101.9700000002</v>
      </c>
      <c r="U1237" s="128">
        <v>0</v>
      </c>
      <c r="V1237" s="128">
        <v>-2512101.9700000002</v>
      </c>
      <c r="W1237" s="128">
        <v>0</v>
      </c>
      <c r="X1237" s="128">
        <v>0</v>
      </c>
      <c r="Y1237" s="128">
        <v>0</v>
      </c>
      <c r="Z1237" s="128">
        <v>-2512101.9700000002</v>
      </c>
      <c r="AA1237" s="128">
        <v>0</v>
      </c>
      <c r="AB1237" s="126">
        <f t="shared" si="134"/>
        <v>0.25121019700000002</v>
      </c>
      <c r="AC1237" s="122" t="s">
        <v>1838</v>
      </c>
      <c r="AD1237" s="123">
        <f t="shared" si="135"/>
        <v>1983.9723217250009</v>
      </c>
    </row>
    <row r="1238" spans="1:30" ht="12.75" hidden="1" customHeight="1">
      <c r="A1238" s="125" t="str">
        <f t="shared" si="131"/>
        <v>LIC34Switch in Receivable Ct</v>
      </c>
      <c r="B1238" s="125">
        <f>+IFERROR(VLOOKUP(L1238,'TB mapping'!A:D,4,0),0)</f>
        <v>0</v>
      </c>
      <c r="C1238" s="125">
        <f>+IFERROR(VLOOKUP(L1238,'TB mapping'!A:C,3,0),0)</f>
        <v>0</v>
      </c>
      <c r="D1238" s="125" t="str">
        <f t="shared" si="132"/>
        <v>LIC340</v>
      </c>
      <c r="E1238" s="125" t="str">
        <f t="shared" si="133"/>
        <v>LIC340</v>
      </c>
      <c r="F1238" s="158" t="str">
        <f>+VLOOKUP(H1238,'code mapping'!A:C,3,0)</f>
        <v>LIC34</v>
      </c>
      <c r="G1238" s="127" t="s">
        <v>453</v>
      </c>
      <c r="H1238" s="127" t="s">
        <v>623</v>
      </c>
      <c r="I1238" s="127" t="s">
        <v>624</v>
      </c>
      <c r="J1238" s="128">
        <v>132000</v>
      </c>
      <c r="K1238" s="127" t="s">
        <v>466</v>
      </c>
      <c r="L1238" s="151">
        <v>132124</v>
      </c>
      <c r="M1238" s="128">
        <v>0</v>
      </c>
      <c r="N1238" s="127" t="s">
        <v>468</v>
      </c>
      <c r="O1238" s="127" t="s">
        <v>457</v>
      </c>
      <c r="P1238" s="128">
        <v>-0.06</v>
      </c>
      <c r="Q1238" s="128">
        <v>0</v>
      </c>
      <c r="R1238" s="128">
        <v>0</v>
      </c>
      <c r="S1238" s="128">
        <v>0</v>
      </c>
      <c r="T1238" s="128">
        <v>-0.06</v>
      </c>
      <c r="U1238" s="128">
        <v>0</v>
      </c>
      <c r="V1238" s="128">
        <v>-0.06</v>
      </c>
      <c r="W1238" s="128">
        <v>0</v>
      </c>
      <c r="X1238" s="128">
        <v>0</v>
      </c>
      <c r="Y1238" s="128">
        <v>0</v>
      </c>
      <c r="Z1238" s="128">
        <v>-0.06</v>
      </c>
      <c r="AA1238" s="128">
        <v>0</v>
      </c>
      <c r="AB1238" s="126">
        <f t="shared" si="134"/>
        <v>6E-9</v>
      </c>
      <c r="AC1238" s="122" t="s">
        <v>1838</v>
      </c>
      <c r="AD1238" s="123">
        <f t="shared" si="135"/>
        <v>1983.9723217250009</v>
      </c>
    </row>
    <row r="1239" spans="1:30" ht="12.75" hidden="1" customHeight="1">
      <c r="A1239" s="125" t="str">
        <f t="shared" si="131"/>
        <v>LIC34Due From Broker</v>
      </c>
      <c r="B1239" s="125">
        <f>+IFERROR(VLOOKUP(L1239,'TB mapping'!A:D,4,0),0)</f>
        <v>0</v>
      </c>
      <c r="C1239" s="125">
        <f>+IFERROR(VLOOKUP(L1239,'TB mapping'!A:C,3,0),0)</f>
        <v>0</v>
      </c>
      <c r="D1239" s="125" t="str">
        <f t="shared" si="132"/>
        <v>LIC340</v>
      </c>
      <c r="E1239" s="125" t="str">
        <f t="shared" si="133"/>
        <v>LIC340</v>
      </c>
      <c r="F1239" s="158" t="str">
        <f>+VLOOKUP(H1239,'code mapping'!A:C,3,0)</f>
        <v>LIC34</v>
      </c>
      <c r="G1239" s="127" t="s">
        <v>453</v>
      </c>
      <c r="H1239" s="127" t="s">
        <v>623</v>
      </c>
      <c r="I1239" s="127" t="s">
        <v>624</v>
      </c>
      <c r="J1239" s="128">
        <v>132000</v>
      </c>
      <c r="K1239" s="127" t="s">
        <v>466</v>
      </c>
      <c r="L1239" s="151">
        <v>132153</v>
      </c>
      <c r="M1239" s="128">
        <v>0</v>
      </c>
      <c r="N1239" s="127" t="s">
        <v>625</v>
      </c>
      <c r="O1239" s="127" t="s">
        <v>457</v>
      </c>
      <c r="P1239" s="128">
        <v>-48566444.439999998</v>
      </c>
      <c r="Q1239" s="128">
        <v>0</v>
      </c>
      <c r="R1239" s="128">
        <v>0</v>
      </c>
      <c r="S1239" s="128">
        <v>0</v>
      </c>
      <c r="T1239" s="128">
        <v>-48566444.439999998</v>
      </c>
      <c r="U1239" s="128">
        <v>0</v>
      </c>
      <c r="V1239" s="128">
        <v>-48566444.439999998</v>
      </c>
      <c r="W1239" s="128">
        <v>0</v>
      </c>
      <c r="X1239" s="128">
        <v>0</v>
      </c>
      <c r="Y1239" s="128">
        <v>0</v>
      </c>
      <c r="Z1239" s="128">
        <v>-48566444.439999998</v>
      </c>
      <c r="AA1239" s="128">
        <v>0</v>
      </c>
      <c r="AB1239" s="126">
        <f t="shared" si="134"/>
        <v>4.8566444439999996</v>
      </c>
      <c r="AC1239" s="122" t="s">
        <v>1838</v>
      </c>
      <c r="AD1239" s="123">
        <f t="shared" si="135"/>
        <v>1983.9723217250009</v>
      </c>
    </row>
    <row r="1240" spans="1:30" ht="12.75" hidden="1" customHeight="1">
      <c r="A1240" s="125" t="str">
        <f t="shared" si="131"/>
        <v>LIC34Due From Broker - Bonds</v>
      </c>
      <c r="B1240" s="125">
        <f>+IFERROR(VLOOKUP(L1240,'TB mapping'!A:D,4,0),0)</f>
        <v>0</v>
      </c>
      <c r="C1240" s="125">
        <f>+IFERROR(VLOOKUP(L1240,'TB mapping'!A:C,3,0),0)</f>
        <v>0</v>
      </c>
      <c r="D1240" s="125" t="str">
        <f t="shared" si="132"/>
        <v>LIC340</v>
      </c>
      <c r="E1240" s="125" t="str">
        <f t="shared" si="133"/>
        <v>LIC340</v>
      </c>
      <c r="F1240" s="158" t="str">
        <f>+VLOOKUP(H1240,'code mapping'!A:C,3,0)</f>
        <v>LIC34</v>
      </c>
      <c r="G1240" s="127" t="s">
        <v>453</v>
      </c>
      <c r="H1240" s="127" t="s">
        <v>623</v>
      </c>
      <c r="I1240" s="127" t="s">
        <v>624</v>
      </c>
      <c r="J1240" s="128">
        <v>132000</v>
      </c>
      <c r="K1240" s="127" t="s">
        <v>466</v>
      </c>
      <c r="L1240" s="151">
        <v>132160</v>
      </c>
      <c r="M1240" s="128">
        <v>0</v>
      </c>
      <c r="N1240" s="127" t="s">
        <v>469</v>
      </c>
      <c r="O1240" s="127" t="s">
        <v>457</v>
      </c>
      <c r="P1240" s="128">
        <v>-47108416.670000002</v>
      </c>
      <c r="Q1240" s="128">
        <v>0</v>
      </c>
      <c r="R1240" s="128">
        <v>0</v>
      </c>
      <c r="S1240" s="128">
        <v>0</v>
      </c>
      <c r="T1240" s="128">
        <v>-47108416.670000002</v>
      </c>
      <c r="U1240" s="128">
        <v>0</v>
      </c>
      <c r="V1240" s="128">
        <v>-47108416.670000002</v>
      </c>
      <c r="W1240" s="128">
        <v>0</v>
      </c>
      <c r="X1240" s="128">
        <v>0</v>
      </c>
      <c r="Y1240" s="128">
        <v>0</v>
      </c>
      <c r="Z1240" s="128">
        <v>-47108416.670000002</v>
      </c>
      <c r="AA1240" s="128">
        <v>0</v>
      </c>
      <c r="AB1240" s="126">
        <f t="shared" si="134"/>
        <v>4.7108416670000004</v>
      </c>
      <c r="AC1240" s="122" t="s">
        <v>1838</v>
      </c>
      <c r="AD1240" s="123">
        <f t="shared" si="135"/>
        <v>1983.9723217250009</v>
      </c>
    </row>
    <row r="1241" spans="1:30" ht="12.75" hidden="1" customHeight="1">
      <c r="A1241" s="125" t="str">
        <f t="shared" si="131"/>
        <v>LIC34CCIL Settlement A/C</v>
      </c>
      <c r="B1241" s="125">
        <f>+IFERROR(VLOOKUP(L1241,'TB mapping'!A:D,4,0),0)</f>
        <v>0</v>
      </c>
      <c r="C1241" s="125">
        <f>+IFERROR(VLOOKUP(L1241,'TB mapping'!A:C,3,0),0)</f>
        <v>0</v>
      </c>
      <c r="D1241" s="125" t="str">
        <f t="shared" si="132"/>
        <v>LIC340</v>
      </c>
      <c r="E1241" s="125" t="str">
        <f t="shared" si="133"/>
        <v>LIC340</v>
      </c>
      <c r="F1241" s="158" t="str">
        <f>+VLOOKUP(H1241,'code mapping'!A:C,3,0)</f>
        <v>LIC34</v>
      </c>
      <c r="G1241" s="127" t="s">
        <v>453</v>
      </c>
      <c r="H1241" s="127" t="s">
        <v>623</v>
      </c>
      <c r="I1241" s="127" t="s">
        <v>624</v>
      </c>
      <c r="J1241" s="128">
        <v>140000</v>
      </c>
      <c r="K1241" s="127" t="s">
        <v>472</v>
      </c>
      <c r="L1241" s="151">
        <v>132237</v>
      </c>
      <c r="M1241" s="128">
        <v>0</v>
      </c>
      <c r="N1241" s="127" t="s">
        <v>473</v>
      </c>
      <c r="O1241" s="127" t="s">
        <v>457</v>
      </c>
      <c r="P1241" s="128">
        <v>0</v>
      </c>
      <c r="Q1241" s="128">
        <v>0.01</v>
      </c>
      <c r="R1241" s="128">
        <v>0</v>
      </c>
      <c r="S1241" s="128">
        <v>0</v>
      </c>
      <c r="T1241" s="128">
        <v>0</v>
      </c>
      <c r="U1241" s="128">
        <v>0.01</v>
      </c>
      <c r="V1241" s="128">
        <v>0</v>
      </c>
      <c r="W1241" s="128">
        <v>0.01</v>
      </c>
      <c r="X1241" s="128">
        <v>0</v>
      </c>
      <c r="Y1241" s="128">
        <v>0</v>
      </c>
      <c r="Z1241" s="128">
        <v>0</v>
      </c>
      <c r="AA1241" s="128">
        <v>0.01</v>
      </c>
      <c r="AB1241" s="126">
        <f t="shared" si="134"/>
        <v>-1.0000000000000001E-9</v>
      </c>
      <c r="AC1241" s="122" t="s">
        <v>1838</v>
      </c>
      <c r="AD1241" s="123">
        <f t="shared" si="135"/>
        <v>1983.9723217250009</v>
      </c>
    </row>
    <row r="1242" spans="1:30" ht="12.75" hidden="1" customHeight="1">
      <c r="A1242" s="125" t="str">
        <f t="shared" si="131"/>
        <v>LIC34HDFC Current Account</v>
      </c>
      <c r="B1242" s="125">
        <f>+IFERROR(VLOOKUP(L1242,'TB mapping'!A:D,4,0),0)</f>
        <v>0</v>
      </c>
      <c r="C1242" s="125">
        <f>+IFERROR(VLOOKUP(L1242,'TB mapping'!A:C,3,0),0)</f>
        <v>0</v>
      </c>
      <c r="D1242" s="125" t="str">
        <f t="shared" si="132"/>
        <v>LIC340</v>
      </c>
      <c r="E1242" s="125" t="str">
        <f t="shared" si="133"/>
        <v>LIC340</v>
      </c>
      <c r="F1242" s="158" t="str">
        <f>+VLOOKUP(H1242,'code mapping'!A:C,3,0)</f>
        <v>LIC34</v>
      </c>
      <c r="G1242" s="127" t="s">
        <v>453</v>
      </c>
      <c r="H1242" s="127" t="s">
        <v>623</v>
      </c>
      <c r="I1242" s="127" t="s">
        <v>624</v>
      </c>
      <c r="J1242" s="128">
        <v>140000</v>
      </c>
      <c r="K1242" s="127" t="s">
        <v>472</v>
      </c>
      <c r="L1242" s="151">
        <v>140330</v>
      </c>
      <c r="M1242" s="128">
        <v>0</v>
      </c>
      <c r="N1242" s="127" t="s">
        <v>475</v>
      </c>
      <c r="O1242" s="127" t="s">
        <v>457</v>
      </c>
      <c r="P1242" s="128">
        <v>-5.48</v>
      </c>
      <c r="Q1242" s="128">
        <v>0</v>
      </c>
      <c r="R1242" s="128">
        <v>0</v>
      </c>
      <c r="S1242" s="128">
        <v>0</v>
      </c>
      <c r="T1242" s="128">
        <v>-5.48</v>
      </c>
      <c r="U1242" s="128">
        <v>0</v>
      </c>
      <c r="V1242" s="128">
        <v>-5.48</v>
      </c>
      <c r="W1242" s="128">
        <v>0</v>
      </c>
      <c r="X1242" s="128">
        <v>0</v>
      </c>
      <c r="Y1242" s="128">
        <v>0</v>
      </c>
      <c r="Z1242" s="128">
        <v>-5.48</v>
      </c>
      <c r="AA1242" s="128">
        <v>0</v>
      </c>
      <c r="AB1242" s="126">
        <f t="shared" si="134"/>
        <v>5.4800000000000009E-7</v>
      </c>
      <c r="AC1242" s="122" t="s">
        <v>1838</v>
      </c>
      <c r="AD1242" s="123">
        <f t="shared" si="135"/>
        <v>1983.9723217250009</v>
      </c>
    </row>
    <row r="1243" spans="1:30" ht="12.75" hidden="1" customHeight="1">
      <c r="A1243" s="125" t="str">
        <f t="shared" si="131"/>
        <v>LIC34HDFC Bank Ltd</v>
      </c>
      <c r="B1243" s="125">
        <f>+IFERROR(VLOOKUP(L1243,'TB mapping'!A:D,4,0),0)</f>
        <v>0</v>
      </c>
      <c r="C1243" s="125">
        <f>+IFERROR(VLOOKUP(L1243,'TB mapping'!A:C,3,0),0)</f>
        <v>0</v>
      </c>
      <c r="D1243" s="125" t="str">
        <f t="shared" si="132"/>
        <v>LIC340</v>
      </c>
      <c r="E1243" s="125" t="str">
        <f t="shared" si="133"/>
        <v>LIC340</v>
      </c>
      <c r="F1243" s="158" t="str">
        <f>+VLOOKUP(H1243,'code mapping'!A:C,3,0)</f>
        <v>LIC34</v>
      </c>
      <c r="G1243" s="127" t="s">
        <v>453</v>
      </c>
      <c r="H1243" s="127" t="s">
        <v>623</v>
      </c>
      <c r="I1243" s="127" t="s">
        <v>624</v>
      </c>
      <c r="J1243" s="128">
        <v>140000</v>
      </c>
      <c r="K1243" s="127" t="s">
        <v>472</v>
      </c>
      <c r="L1243" s="151">
        <v>140372</v>
      </c>
      <c r="M1243" s="128">
        <v>0</v>
      </c>
      <c r="N1243" s="127" t="s">
        <v>476</v>
      </c>
      <c r="O1243" s="127" t="s">
        <v>457</v>
      </c>
      <c r="P1243" s="128">
        <v>0</v>
      </c>
      <c r="Q1243" s="128">
        <v>1.32</v>
      </c>
      <c r="R1243" s="128">
        <v>0</v>
      </c>
      <c r="S1243" s="128">
        <v>0</v>
      </c>
      <c r="T1243" s="128">
        <v>0</v>
      </c>
      <c r="U1243" s="128">
        <v>1.32</v>
      </c>
      <c r="V1243" s="128">
        <v>0</v>
      </c>
      <c r="W1243" s="128">
        <v>1.32</v>
      </c>
      <c r="X1243" s="128">
        <v>0</v>
      </c>
      <c r="Y1243" s="128">
        <v>0</v>
      </c>
      <c r="Z1243" s="128">
        <v>0</v>
      </c>
      <c r="AA1243" s="128">
        <v>1.32</v>
      </c>
      <c r="AB1243" s="126">
        <f t="shared" si="134"/>
        <v>-1.3200000000000002E-7</v>
      </c>
      <c r="AC1243" s="122" t="s">
        <v>1838</v>
      </c>
      <c r="AD1243" s="123">
        <f t="shared" si="135"/>
        <v>1983.9723217250009</v>
      </c>
    </row>
    <row r="1244" spans="1:30" ht="12.75" hidden="1" customHeight="1">
      <c r="A1244" s="125" t="str">
        <f t="shared" si="131"/>
        <v>LIC34Standard Chartered Bank- India</v>
      </c>
      <c r="B1244" s="125">
        <f>+IFERROR(VLOOKUP(L1244,'TB mapping'!A:D,4,0),0)</f>
        <v>0</v>
      </c>
      <c r="C1244" s="125">
        <f>+IFERROR(VLOOKUP(L1244,'TB mapping'!A:C,3,0),0)</f>
        <v>0</v>
      </c>
      <c r="D1244" s="125" t="str">
        <f t="shared" si="132"/>
        <v>LIC340</v>
      </c>
      <c r="E1244" s="125" t="str">
        <f t="shared" si="133"/>
        <v>LIC340</v>
      </c>
      <c r="F1244" s="158" t="str">
        <f>+VLOOKUP(H1244,'code mapping'!A:C,3,0)</f>
        <v>LIC34</v>
      </c>
      <c r="G1244" s="127" t="s">
        <v>453</v>
      </c>
      <c r="H1244" s="127" t="s">
        <v>623</v>
      </c>
      <c r="I1244" s="127" t="s">
        <v>624</v>
      </c>
      <c r="J1244" s="128">
        <v>140000</v>
      </c>
      <c r="K1244" s="127" t="s">
        <v>472</v>
      </c>
      <c r="L1244" s="151">
        <v>140500</v>
      </c>
      <c r="M1244" s="128">
        <v>0</v>
      </c>
      <c r="N1244" s="127" t="s">
        <v>477</v>
      </c>
      <c r="O1244" s="127" t="s">
        <v>457</v>
      </c>
      <c r="P1244" s="128">
        <v>-17325.939999999999</v>
      </c>
      <c r="Q1244" s="128">
        <v>0</v>
      </c>
      <c r="R1244" s="128">
        <v>0</v>
      </c>
      <c r="S1244" s="128">
        <v>0</v>
      </c>
      <c r="T1244" s="128">
        <v>-17325.939999999999</v>
      </c>
      <c r="U1244" s="128">
        <v>0</v>
      </c>
      <c r="V1244" s="128">
        <v>-17325.939999999999</v>
      </c>
      <c r="W1244" s="128">
        <v>0</v>
      </c>
      <c r="X1244" s="128">
        <v>0</v>
      </c>
      <c r="Y1244" s="128">
        <v>0</v>
      </c>
      <c r="Z1244" s="128">
        <v>-17325.939999999999</v>
      </c>
      <c r="AA1244" s="128">
        <v>0</v>
      </c>
      <c r="AB1244" s="126">
        <f t="shared" si="134"/>
        <v>1.7325939999999998E-3</v>
      </c>
      <c r="AC1244" s="122" t="s">
        <v>1838</v>
      </c>
      <c r="AD1244" s="123">
        <f t="shared" si="135"/>
        <v>1983.9723217250009</v>
      </c>
    </row>
    <row r="1245" spans="1:30" ht="12.75" hidden="1" customHeight="1">
      <c r="A1245" s="125" t="str">
        <f t="shared" si="131"/>
        <v>LIC34Int Accrual - Government Bonds</v>
      </c>
      <c r="B1245" s="125">
        <f>+IFERROR(VLOOKUP(L1245,'TB mapping'!A:D,4,0),0)</f>
        <v>0</v>
      </c>
      <c r="C1245" s="125">
        <f>+IFERROR(VLOOKUP(L1245,'TB mapping'!A:C,3,0),0)</f>
        <v>0</v>
      </c>
      <c r="D1245" s="125" t="str">
        <f t="shared" si="132"/>
        <v>LIC340</v>
      </c>
      <c r="E1245" s="125" t="str">
        <f t="shared" si="133"/>
        <v>LIC340</v>
      </c>
      <c r="F1245" s="158" t="str">
        <f>+VLOOKUP(H1245,'code mapping'!A:C,3,0)</f>
        <v>LIC34</v>
      </c>
      <c r="G1245" s="127" t="s">
        <v>453</v>
      </c>
      <c r="H1245" s="127" t="s">
        <v>623</v>
      </c>
      <c r="I1245" s="127" t="s">
        <v>624</v>
      </c>
      <c r="J1245" s="128">
        <v>152000</v>
      </c>
      <c r="K1245" s="127" t="s">
        <v>478</v>
      </c>
      <c r="L1245" s="151">
        <v>152130</v>
      </c>
      <c r="M1245" s="128">
        <v>0</v>
      </c>
      <c r="N1245" s="127" t="s">
        <v>480</v>
      </c>
      <c r="O1245" s="127" t="s">
        <v>457</v>
      </c>
      <c r="P1245" s="128">
        <v>-12331527.779999999</v>
      </c>
      <c r="Q1245" s="128">
        <v>0</v>
      </c>
      <c r="R1245" s="128">
        <v>0</v>
      </c>
      <c r="S1245" s="128">
        <v>0</v>
      </c>
      <c r="T1245" s="128">
        <v>-12331527.779999999</v>
      </c>
      <c r="U1245" s="128">
        <v>0</v>
      </c>
      <c r="V1245" s="128">
        <v>-12331527.779999999</v>
      </c>
      <c r="W1245" s="128">
        <v>0</v>
      </c>
      <c r="X1245" s="128">
        <v>0</v>
      </c>
      <c r="Y1245" s="128">
        <v>0</v>
      </c>
      <c r="Z1245" s="128">
        <v>-12331527.779999999</v>
      </c>
      <c r="AA1245" s="128">
        <v>0</v>
      </c>
      <c r="AB1245" s="126">
        <f t="shared" si="134"/>
        <v>1.233152778</v>
      </c>
      <c r="AC1245" s="122" t="s">
        <v>1838</v>
      </c>
      <c r="AD1245" s="123">
        <f t="shared" si="135"/>
        <v>1983.9723217250009</v>
      </c>
    </row>
    <row r="1246" spans="1:30" ht="12.75" hidden="1" customHeight="1">
      <c r="A1246" s="125" t="str">
        <f t="shared" si="131"/>
        <v>LIC34Amort Receivable - CBLO</v>
      </c>
      <c r="B1246" s="125">
        <f>+IFERROR(VLOOKUP(L1246,'TB mapping'!A:D,4,0),0)</f>
        <v>0</v>
      </c>
      <c r="C1246" s="125">
        <f>+IFERROR(VLOOKUP(L1246,'TB mapping'!A:C,3,0),0)</f>
        <v>0</v>
      </c>
      <c r="D1246" s="125" t="str">
        <f t="shared" si="132"/>
        <v>LIC340</v>
      </c>
      <c r="E1246" s="125" t="str">
        <f t="shared" si="133"/>
        <v>LIC340</v>
      </c>
      <c r="F1246" s="158" t="str">
        <f>+VLOOKUP(H1246,'code mapping'!A:C,3,0)</f>
        <v>LIC34</v>
      </c>
      <c r="G1246" s="127" t="s">
        <v>453</v>
      </c>
      <c r="H1246" s="127" t="s">
        <v>623</v>
      </c>
      <c r="I1246" s="127" t="s">
        <v>624</v>
      </c>
      <c r="J1246" s="128">
        <v>152000</v>
      </c>
      <c r="K1246" s="127" t="s">
        <v>478</v>
      </c>
      <c r="L1246" s="151">
        <v>152232</v>
      </c>
      <c r="M1246" s="128">
        <v>0</v>
      </c>
      <c r="N1246" s="127" t="s">
        <v>482</v>
      </c>
      <c r="O1246" s="127" t="s">
        <v>457</v>
      </c>
      <c r="P1246" s="128">
        <v>-11551.75</v>
      </c>
      <c r="Q1246" s="128">
        <v>0</v>
      </c>
      <c r="R1246" s="128">
        <v>0</v>
      </c>
      <c r="S1246" s="128">
        <v>0</v>
      </c>
      <c r="T1246" s="128">
        <v>-11551.75</v>
      </c>
      <c r="U1246" s="128">
        <v>0</v>
      </c>
      <c r="V1246" s="128">
        <v>-11551.75</v>
      </c>
      <c r="W1246" s="128">
        <v>0</v>
      </c>
      <c r="X1246" s="128">
        <v>0</v>
      </c>
      <c r="Y1246" s="128">
        <v>0</v>
      </c>
      <c r="Z1246" s="128">
        <v>-11551.75</v>
      </c>
      <c r="AA1246" s="128">
        <v>0</v>
      </c>
      <c r="AB1246" s="126">
        <f t="shared" si="134"/>
        <v>1.155175E-3</v>
      </c>
      <c r="AC1246" s="122" t="s">
        <v>1838</v>
      </c>
      <c r="AD1246" s="123">
        <f t="shared" si="135"/>
        <v>1983.9723217250009</v>
      </c>
    </row>
    <row r="1247" spans="1:30" ht="12.75" hidden="1" customHeight="1">
      <c r="A1247" s="125" t="str">
        <f t="shared" si="131"/>
        <v>LIC34Prov Unr P/L - Government Bond</v>
      </c>
      <c r="B1247" s="125">
        <f>+IFERROR(VLOOKUP(L1247,'TB mapping'!A:D,4,0),0)</f>
        <v>0</v>
      </c>
      <c r="C1247" s="125">
        <f>+IFERROR(VLOOKUP(L1247,'TB mapping'!A:C,3,0),0)</f>
        <v>0</v>
      </c>
      <c r="D1247" s="125" t="str">
        <f t="shared" si="132"/>
        <v>LIC340</v>
      </c>
      <c r="E1247" s="125" t="str">
        <f t="shared" si="133"/>
        <v>LIC340</v>
      </c>
      <c r="F1247" s="158" t="str">
        <f>+VLOOKUP(H1247,'code mapping'!A:C,3,0)</f>
        <v>LIC34</v>
      </c>
      <c r="G1247" s="127" t="s">
        <v>453</v>
      </c>
      <c r="H1247" s="127" t="s">
        <v>623</v>
      </c>
      <c r="I1247" s="127" t="s">
        <v>624</v>
      </c>
      <c r="J1247" s="128">
        <v>160000</v>
      </c>
      <c r="K1247" s="127" t="s">
        <v>483</v>
      </c>
      <c r="L1247" s="151">
        <v>162130</v>
      </c>
      <c r="M1247" s="128">
        <v>0</v>
      </c>
      <c r="N1247" s="127" t="s">
        <v>485</v>
      </c>
      <c r="O1247" s="127" t="s">
        <v>457</v>
      </c>
      <c r="P1247" s="128">
        <v>-3032868.34</v>
      </c>
      <c r="Q1247" s="128">
        <v>0</v>
      </c>
      <c r="R1247" s="128">
        <v>0</v>
      </c>
      <c r="S1247" s="128">
        <v>0</v>
      </c>
      <c r="T1247" s="128">
        <v>-3032868.34</v>
      </c>
      <c r="U1247" s="128">
        <v>0</v>
      </c>
      <c r="V1247" s="128">
        <v>-3032868.34</v>
      </c>
      <c r="W1247" s="128">
        <v>0</v>
      </c>
      <c r="X1247" s="128">
        <v>0</v>
      </c>
      <c r="Y1247" s="128">
        <v>0</v>
      </c>
      <c r="Z1247" s="128">
        <v>-3032868.34</v>
      </c>
      <c r="AA1247" s="128">
        <v>0</v>
      </c>
      <c r="AB1247" s="126">
        <f t="shared" si="134"/>
        <v>0.30328683400000001</v>
      </c>
      <c r="AC1247" s="122" t="s">
        <v>1838</v>
      </c>
      <c r="AD1247" s="123">
        <f t="shared" si="135"/>
        <v>1983.9723217250009</v>
      </c>
    </row>
    <row r="1248" spans="1:30" ht="12.75" hidden="1" customHeight="1">
      <c r="A1248" s="125" t="str">
        <f t="shared" si="131"/>
        <v>LIC34Payable - Withhold Brokerage</v>
      </c>
      <c r="B1248" s="125">
        <f>+IFERROR(VLOOKUP(L1248,'TB mapping'!A:D,4,0),0)</f>
        <v>0</v>
      </c>
      <c r="C1248" s="125">
        <f>+IFERROR(VLOOKUP(L1248,'TB mapping'!A:C,3,0),0)</f>
        <v>0</v>
      </c>
      <c r="D1248" s="125" t="str">
        <f t="shared" si="132"/>
        <v>LIC340</v>
      </c>
      <c r="E1248" s="125" t="str">
        <f t="shared" si="133"/>
        <v>LIC340</v>
      </c>
      <c r="F1248" s="158" t="str">
        <f>+VLOOKUP(H1248,'code mapping'!A:C,3,0)</f>
        <v>LIC34</v>
      </c>
      <c r="G1248" s="127" t="s">
        <v>453</v>
      </c>
      <c r="H1248" s="127" t="s">
        <v>623</v>
      </c>
      <c r="I1248" s="127" t="s">
        <v>624</v>
      </c>
      <c r="J1248" s="128">
        <v>212000</v>
      </c>
      <c r="K1248" s="127" t="s">
        <v>487</v>
      </c>
      <c r="L1248" s="151">
        <v>210164</v>
      </c>
      <c r="M1248" s="128">
        <v>0</v>
      </c>
      <c r="N1248" s="127" t="s">
        <v>488</v>
      </c>
      <c r="O1248" s="127" t="s">
        <v>457</v>
      </c>
      <c r="P1248" s="128">
        <v>0</v>
      </c>
      <c r="Q1248" s="128">
        <v>181624.66</v>
      </c>
      <c r="R1248" s="128">
        <v>0</v>
      </c>
      <c r="S1248" s="128">
        <v>0</v>
      </c>
      <c r="T1248" s="128">
        <v>0</v>
      </c>
      <c r="U1248" s="128">
        <v>181624.66</v>
      </c>
      <c r="V1248" s="128">
        <v>0</v>
      </c>
      <c r="W1248" s="128">
        <v>181624.66</v>
      </c>
      <c r="X1248" s="128">
        <v>0</v>
      </c>
      <c r="Y1248" s="128">
        <v>0</v>
      </c>
      <c r="Z1248" s="128">
        <v>0</v>
      </c>
      <c r="AA1248" s="128">
        <v>181624.66</v>
      </c>
      <c r="AB1248" s="126">
        <f t="shared" si="134"/>
        <v>-1.8162465999999999E-2</v>
      </c>
      <c r="AC1248" s="122" t="s">
        <v>1838</v>
      </c>
      <c r="AD1248" s="123">
        <f t="shared" si="135"/>
        <v>1983.9723217250009</v>
      </c>
    </row>
    <row r="1249" spans="1:30" ht="12.75" hidden="1" customHeight="1">
      <c r="A1249" s="125" t="str">
        <f t="shared" si="131"/>
        <v>LIC34Dividend Payable</v>
      </c>
      <c r="B1249" s="125">
        <f>+IFERROR(VLOOKUP(L1249,'TB mapping'!A:D,4,0),0)</f>
        <v>0</v>
      </c>
      <c r="C1249" s="125">
        <f>+IFERROR(VLOOKUP(L1249,'TB mapping'!A:C,3,0),0)</f>
        <v>0</v>
      </c>
      <c r="D1249" s="125" t="str">
        <f t="shared" si="132"/>
        <v>LIC340</v>
      </c>
      <c r="E1249" s="125" t="str">
        <f t="shared" si="133"/>
        <v>LIC340</v>
      </c>
      <c r="F1249" s="158" t="str">
        <f>+VLOOKUP(H1249,'code mapping'!A:C,3,0)</f>
        <v>LIC34</v>
      </c>
      <c r="G1249" s="127" t="s">
        <v>453</v>
      </c>
      <c r="H1249" s="127" t="s">
        <v>623</v>
      </c>
      <c r="I1249" s="127" t="s">
        <v>624</v>
      </c>
      <c r="J1249" s="128">
        <v>212000</v>
      </c>
      <c r="K1249" s="127" t="s">
        <v>487</v>
      </c>
      <c r="L1249" s="151">
        <v>212100</v>
      </c>
      <c r="M1249" s="128">
        <v>0</v>
      </c>
      <c r="N1249" s="127" t="s">
        <v>489</v>
      </c>
      <c r="O1249" s="127" t="s">
        <v>457</v>
      </c>
      <c r="P1249" s="128">
        <v>0</v>
      </c>
      <c r="Q1249" s="128">
        <v>0.79</v>
      </c>
      <c r="R1249" s="128">
        <v>0</v>
      </c>
      <c r="S1249" s="128">
        <v>0</v>
      </c>
      <c r="T1249" s="128">
        <v>0</v>
      </c>
      <c r="U1249" s="128">
        <v>0.79</v>
      </c>
      <c r="V1249" s="128">
        <v>0</v>
      </c>
      <c r="W1249" s="128">
        <v>0.79</v>
      </c>
      <c r="X1249" s="128">
        <v>0</v>
      </c>
      <c r="Y1249" s="128">
        <v>0</v>
      </c>
      <c r="Z1249" s="128">
        <v>0</v>
      </c>
      <c r="AA1249" s="128">
        <v>0.79</v>
      </c>
      <c r="AB1249" s="126">
        <f t="shared" si="134"/>
        <v>-7.9000000000000006E-8</v>
      </c>
      <c r="AC1249" s="122" t="s">
        <v>1838</v>
      </c>
      <c r="AD1249" s="123">
        <f t="shared" si="135"/>
        <v>1983.9723217250009</v>
      </c>
    </row>
    <row r="1250" spans="1:30" ht="12.75" hidden="1" customHeight="1">
      <c r="A1250" s="125" t="str">
        <f t="shared" si="131"/>
        <v>LIC34IGST Payable</v>
      </c>
      <c r="B1250" s="125">
        <f>+IFERROR(VLOOKUP(L1250,'TB mapping'!A:D,4,0),0)</f>
        <v>0</v>
      </c>
      <c r="C1250" s="125">
        <f>+IFERROR(VLOOKUP(L1250,'TB mapping'!A:C,3,0),0)</f>
        <v>0</v>
      </c>
      <c r="D1250" s="125" t="str">
        <f t="shared" si="132"/>
        <v>LIC340</v>
      </c>
      <c r="E1250" s="125" t="str">
        <f t="shared" si="133"/>
        <v>LIC340</v>
      </c>
      <c r="F1250" s="158" t="str">
        <f>+VLOOKUP(H1250,'code mapping'!A:C,3,0)</f>
        <v>LIC34</v>
      </c>
      <c r="G1250" s="127" t="s">
        <v>453</v>
      </c>
      <c r="H1250" s="127" t="s">
        <v>623</v>
      </c>
      <c r="I1250" s="127" t="s">
        <v>624</v>
      </c>
      <c r="J1250" s="128">
        <v>212000</v>
      </c>
      <c r="K1250" s="127" t="s">
        <v>487</v>
      </c>
      <c r="L1250" s="151">
        <v>212114</v>
      </c>
      <c r="M1250" s="128">
        <v>0</v>
      </c>
      <c r="N1250" s="127" t="s">
        <v>492</v>
      </c>
      <c r="O1250" s="127" t="s">
        <v>457</v>
      </c>
      <c r="P1250" s="128">
        <v>0</v>
      </c>
      <c r="Q1250" s="128">
        <v>5.78</v>
      </c>
      <c r="R1250" s="128">
        <v>0</v>
      </c>
      <c r="S1250" s="128">
        <v>0</v>
      </c>
      <c r="T1250" s="128">
        <v>0</v>
      </c>
      <c r="U1250" s="128">
        <v>5.78</v>
      </c>
      <c r="V1250" s="128">
        <v>0</v>
      </c>
      <c r="W1250" s="128">
        <v>5.78</v>
      </c>
      <c r="X1250" s="128">
        <v>0</v>
      </c>
      <c r="Y1250" s="128">
        <v>0</v>
      </c>
      <c r="Z1250" s="128">
        <v>0</v>
      </c>
      <c r="AA1250" s="128">
        <v>5.78</v>
      </c>
      <c r="AB1250" s="126">
        <f t="shared" si="134"/>
        <v>-5.7800000000000001E-7</v>
      </c>
      <c r="AC1250" s="122" t="s">
        <v>1838</v>
      </c>
      <c r="AD1250" s="123">
        <f t="shared" si="135"/>
        <v>1983.9723217250009</v>
      </c>
    </row>
    <row r="1251" spans="1:30" ht="12.75" hidden="1" customHeight="1">
      <c r="A1251" s="125" t="str">
        <f t="shared" si="131"/>
        <v>LIC34Redemption Payable Ct</v>
      </c>
      <c r="B1251" s="125">
        <f>+IFERROR(VLOOKUP(L1251,'TB mapping'!A:D,4,0),0)</f>
        <v>0</v>
      </c>
      <c r="C1251" s="125">
        <f>+IFERROR(VLOOKUP(L1251,'TB mapping'!A:C,3,0),0)</f>
        <v>0</v>
      </c>
      <c r="D1251" s="125" t="str">
        <f t="shared" si="132"/>
        <v>LIC340</v>
      </c>
      <c r="E1251" s="125" t="str">
        <f t="shared" si="133"/>
        <v>LIC340</v>
      </c>
      <c r="F1251" s="158" t="str">
        <f>+VLOOKUP(H1251,'code mapping'!A:C,3,0)</f>
        <v>LIC34</v>
      </c>
      <c r="G1251" s="127" t="s">
        <v>453</v>
      </c>
      <c r="H1251" s="127" t="s">
        <v>623</v>
      </c>
      <c r="I1251" s="127" t="s">
        <v>624</v>
      </c>
      <c r="J1251" s="128">
        <v>212000</v>
      </c>
      <c r="K1251" s="127" t="s">
        <v>487</v>
      </c>
      <c r="L1251" s="151">
        <v>212121</v>
      </c>
      <c r="M1251" s="128">
        <v>0</v>
      </c>
      <c r="N1251" s="127" t="s">
        <v>493</v>
      </c>
      <c r="O1251" s="127" t="s">
        <v>457</v>
      </c>
      <c r="P1251" s="128">
        <v>0</v>
      </c>
      <c r="Q1251" s="128">
        <v>131044.98</v>
      </c>
      <c r="R1251" s="128">
        <v>0</v>
      </c>
      <c r="S1251" s="128">
        <v>0</v>
      </c>
      <c r="T1251" s="128">
        <v>0</v>
      </c>
      <c r="U1251" s="128">
        <v>131044.98</v>
      </c>
      <c r="V1251" s="128">
        <v>0</v>
      </c>
      <c r="W1251" s="128">
        <v>131044.98</v>
      </c>
      <c r="X1251" s="128">
        <v>0</v>
      </c>
      <c r="Y1251" s="128">
        <v>0</v>
      </c>
      <c r="Z1251" s="128">
        <v>0</v>
      </c>
      <c r="AA1251" s="128">
        <v>131044.98</v>
      </c>
      <c r="AB1251" s="126">
        <f t="shared" si="134"/>
        <v>-1.3104497999999999E-2</v>
      </c>
      <c r="AC1251" s="122" t="s">
        <v>1838</v>
      </c>
      <c r="AD1251" s="123">
        <f t="shared" si="135"/>
        <v>1983.9723217250009</v>
      </c>
    </row>
    <row r="1252" spans="1:30" ht="12.75" hidden="1" customHeight="1">
      <c r="A1252" s="125" t="str">
        <f t="shared" si="131"/>
        <v>LIC34Switch Out Payable Ct</v>
      </c>
      <c r="B1252" s="125">
        <f>+IFERROR(VLOOKUP(L1252,'TB mapping'!A:D,4,0),0)</f>
        <v>0</v>
      </c>
      <c r="C1252" s="125">
        <f>+IFERROR(VLOOKUP(L1252,'TB mapping'!A:C,3,0),0)</f>
        <v>0</v>
      </c>
      <c r="D1252" s="125" t="str">
        <f t="shared" si="132"/>
        <v>LIC340</v>
      </c>
      <c r="E1252" s="125" t="str">
        <f t="shared" si="133"/>
        <v>LIC340</v>
      </c>
      <c r="F1252" s="158" t="str">
        <f>+VLOOKUP(H1252,'code mapping'!A:C,3,0)</f>
        <v>LIC34</v>
      </c>
      <c r="G1252" s="127" t="s">
        <v>453</v>
      </c>
      <c r="H1252" s="127" t="s">
        <v>623</v>
      </c>
      <c r="I1252" s="127" t="s">
        <v>624</v>
      </c>
      <c r="J1252" s="128">
        <v>212000</v>
      </c>
      <c r="K1252" s="127" t="s">
        <v>487</v>
      </c>
      <c r="L1252" s="151">
        <v>212124</v>
      </c>
      <c r="M1252" s="128">
        <v>0</v>
      </c>
      <c r="N1252" s="127" t="s">
        <v>494</v>
      </c>
      <c r="O1252" s="127" t="s">
        <v>457</v>
      </c>
      <c r="P1252" s="128">
        <v>0</v>
      </c>
      <c r="Q1252" s="128">
        <v>1384216.18</v>
      </c>
      <c r="R1252" s="128">
        <v>0</v>
      </c>
      <c r="S1252" s="128">
        <v>0</v>
      </c>
      <c r="T1252" s="128">
        <v>0</v>
      </c>
      <c r="U1252" s="128">
        <v>1384216.18</v>
      </c>
      <c r="V1252" s="128">
        <v>0</v>
      </c>
      <c r="W1252" s="128">
        <v>1384216.18</v>
      </c>
      <c r="X1252" s="128">
        <v>0</v>
      </c>
      <c r="Y1252" s="128">
        <v>0</v>
      </c>
      <c r="Z1252" s="128">
        <v>0</v>
      </c>
      <c r="AA1252" s="128">
        <v>1384216.18</v>
      </c>
      <c r="AB1252" s="126">
        <f t="shared" si="134"/>
        <v>-0.138421618</v>
      </c>
      <c r="AC1252" s="122" t="s">
        <v>1838</v>
      </c>
      <c r="AD1252" s="123">
        <f t="shared" si="135"/>
        <v>1983.9723217250009</v>
      </c>
    </row>
    <row r="1253" spans="1:30" ht="12.75" hidden="1" customHeight="1">
      <c r="A1253" s="125" t="str">
        <f t="shared" si="131"/>
        <v>LIC34Due to Broker</v>
      </c>
      <c r="B1253" s="125">
        <f>+IFERROR(VLOOKUP(L1253,'TB mapping'!A:D,4,0),0)</f>
        <v>0</v>
      </c>
      <c r="C1253" s="125">
        <f>+IFERROR(VLOOKUP(L1253,'TB mapping'!A:C,3,0),0)</f>
        <v>0</v>
      </c>
      <c r="D1253" s="125" t="str">
        <f t="shared" si="132"/>
        <v>LIC340</v>
      </c>
      <c r="E1253" s="125" t="str">
        <f t="shared" si="133"/>
        <v>LIC340</v>
      </c>
      <c r="F1253" s="158" t="str">
        <f>+VLOOKUP(H1253,'code mapping'!A:C,3,0)</f>
        <v>LIC34</v>
      </c>
      <c r="G1253" s="127" t="s">
        <v>453</v>
      </c>
      <c r="H1253" s="127" t="s">
        <v>623</v>
      </c>
      <c r="I1253" s="127" t="s">
        <v>624</v>
      </c>
      <c r="J1253" s="128">
        <v>212000</v>
      </c>
      <c r="K1253" s="127" t="s">
        <v>487</v>
      </c>
      <c r="L1253" s="151">
        <v>212153</v>
      </c>
      <c r="M1253" s="128">
        <v>0</v>
      </c>
      <c r="N1253" s="127" t="s">
        <v>626</v>
      </c>
      <c r="O1253" s="127" t="s">
        <v>457</v>
      </c>
      <c r="P1253" s="128">
        <v>0</v>
      </c>
      <c r="Q1253" s="128">
        <v>24210722.219999999</v>
      </c>
      <c r="R1253" s="128">
        <v>0</v>
      </c>
      <c r="S1253" s="128">
        <v>0</v>
      </c>
      <c r="T1253" s="128">
        <v>0</v>
      </c>
      <c r="U1253" s="128">
        <v>24210722.219999999</v>
      </c>
      <c r="V1253" s="128">
        <v>0</v>
      </c>
      <c r="W1253" s="128">
        <v>24210722.219999999</v>
      </c>
      <c r="X1253" s="128">
        <v>0</v>
      </c>
      <c r="Y1253" s="128">
        <v>0</v>
      </c>
      <c r="Z1253" s="128">
        <v>0</v>
      </c>
      <c r="AA1253" s="128">
        <v>24210722.219999999</v>
      </c>
      <c r="AB1253" s="126">
        <f t="shared" si="134"/>
        <v>-2.4210722219999998</v>
      </c>
      <c r="AC1253" s="122" t="s">
        <v>1838</v>
      </c>
      <c r="AD1253" s="123">
        <f t="shared" si="135"/>
        <v>1983.9723217250009</v>
      </c>
    </row>
    <row r="1254" spans="1:30" ht="12.75" hidden="1" customHeight="1">
      <c r="A1254" s="125" t="str">
        <f t="shared" si="131"/>
        <v>LIC34Due to Broker - Bonds</v>
      </c>
      <c r="B1254" s="125">
        <f>+IFERROR(VLOOKUP(L1254,'TB mapping'!A:D,4,0),0)</f>
        <v>0</v>
      </c>
      <c r="C1254" s="125">
        <f>+IFERROR(VLOOKUP(L1254,'TB mapping'!A:C,3,0),0)</f>
        <v>0</v>
      </c>
      <c r="D1254" s="125" t="str">
        <f t="shared" si="132"/>
        <v>LIC340</v>
      </c>
      <c r="E1254" s="125" t="str">
        <f t="shared" si="133"/>
        <v>LIC340</v>
      </c>
      <c r="F1254" s="158" t="str">
        <f>+VLOOKUP(H1254,'code mapping'!A:C,3,0)</f>
        <v>LIC34</v>
      </c>
      <c r="G1254" s="127" t="s">
        <v>453</v>
      </c>
      <c r="H1254" s="127" t="s">
        <v>623</v>
      </c>
      <c r="I1254" s="127" t="s">
        <v>624</v>
      </c>
      <c r="J1254" s="128">
        <v>212000</v>
      </c>
      <c r="K1254" s="127" t="s">
        <v>487</v>
      </c>
      <c r="L1254" s="151">
        <v>212160</v>
      </c>
      <c r="M1254" s="128">
        <v>0</v>
      </c>
      <c r="N1254" s="127" t="s">
        <v>495</v>
      </c>
      <c r="O1254" s="127" t="s">
        <v>457</v>
      </c>
      <c r="P1254" s="128">
        <v>-24210722.219999999</v>
      </c>
      <c r="Q1254" s="128">
        <v>0</v>
      </c>
      <c r="R1254" s="128">
        <v>0</v>
      </c>
      <c r="S1254" s="128">
        <v>0</v>
      </c>
      <c r="T1254" s="128">
        <v>-24210722.219999999</v>
      </c>
      <c r="U1254" s="128">
        <v>0</v>
      </c>
      <c r="V1254" s="128">
        <v>-24210722.219999999</v>
      </c>
      <c r="W1254" s="128">
        <v>0</v>
      </c>
      <c r="X1254" s="128">
        <v>0</v>
      </c>
      <c r="Y1254" s="128">
        <v>0</v>
      </c>
      <c r="Z1254" s="128">
        <v>-24210722.219999999</v>
      </c>
      <c r="AA1254" s="128">
        <v>0</v>
      </c>
      <c r="AB1254" s="126">
        <f t="shared" si="134"/>
        <v>2.4210722219999998</v>
      </c>
      <c r="AC1254" s="122" t="s">
        <v>1838</v>
      </c>
      <c r="AD1254" s="123">
        <f t="shared" si="135"/>
        <v>1983.9723217250009</v>
      </c>
    </row>
    <row r="1255" spans="1:30" ht="12.75" hidden="1" customHeight="1">
      <c r="A1255" s="125" t="str">
        <f t="shared" si="131"/>
        <v>LIC34Audit Fee-Payable</v>
      </c>
      <c r="B1255" s="125">
        <f>+IFERROR(VLOOKUP(L1255,'TB mapping'!A:D,4,0),0)</f>
        <v>0</v>
      </c>
      <c r="C1255" s="125">
        <f>+IFERROR(VLOOKUP(L1255,'TB mapping'!A:C,3,0),0)</f>
        <v>0</v>
      </c>
      <c r="D1255" s="125" t="str">
        <f t="shared" si="132"/>
        <v>LIC340</v>
      </c>
      <c r="E1255" s="125" t="str">
        <f t="shared" si="133"/>
        <v>LIC340</v>
      </c>
      <c r="F1255" s="158" t="str">
        <f>+VLOOKUP(H1255,'code mapping'!A:C,3,0)</f>
        <v>LIC34</v>
      </c>
      <c r="G1255" s="127" t="s">
        <v>453</v>
      </c>
      <c r="H1255" s="127" t="s">
        <v>623</v>
      </c>
      <c r="I1255" s="127" t="s">
        <v>624</v>
      </c>
      <c r="J1255" s="128">
        <v>212000</v>
      </c>
      <c r="K1255" s="127" t="s">
        <v>487</v>
      </c>
      <c r="L1255" s="151">
        <v>212194</v>
      </c>
      <c r="M1255" s="128">
        <v>0</v>
      </c>
      <c r="N1255" s="127" t="s">
        <v>496</v>
      </c>
      <c r="O1255" s="127" t="s">
        <v>457</v>
      </c>
      <c r="P1255" s="128">
        <v>-573.06000000000006</v>
      </c>
      <c r="Q1255" s="128">
        <v>0</v>
      </c>
      <c r="R1255" s="128">
        <v>0</v>
      </c>
      <c r="S1255" s="128">
        <v>0</v>
      </c>
      <c r="T1255" s="128">
        <v>-573.06000000000006</v>
      </c>
      <c r="U1255" s="128">
        <v>0</v>
      </c>
      <c r="V1255" s="128">
        <v>-573.06000000000006</v>
      </c>
      <c r="W1255" s="128">
        <v>0</v>
      </c>
      <c r="X1255" s="128">
        <v>0</v>
      </c>
      <c r="Y1255" s="128">
        <v>0</v>
      </c>
      <c r="Z1255" s="128">
        <v>-573.06000000000006</v>
      </c>
      <c r="AA1255" s="128">
        <v>0</v>
      </c>
      <c r="AB1255" s="126">
        <f t="shared" si="134"/>
        <v>5.7306000000000003E-5</v>
      </c>
      <c r="AC1255" s="122" t="s">
        <v>1838</v>
      </c>
      <c r="AD1255" s="123">
        <f t="shared" si="135"/>
        <v>1983.9723217250009</v>
      </c>
    </row>
    <row r="1256" spans="1:30" ht="12.75" hidden="1" customHeight="1">
      <c r="A1256" s="125" t="str">
        <f t="shared" si="131"/>
        <v>LIC34Other Exp- Payable</v>
      </c>
      <c r="B1256" s="125">
        <f>+IFERROR(VLOOKUP(L1256,'TB mapping'!A:D,4,0),0)</f>
        <v>0</v>
      </c>
      <c r="C1256" s="125">
        <f>+IFERROR(VLOOKUP(L1256,'TB mapping'!A:C,3,0),0)</f>
        <v>0</v>
      </c>
      <c r="D1256" s="125" t="str">
        <f t="shared" si="132"/>
        <v>LIC340</v>
      </c>
      <c r="E1256" s="125" t="str">
        <f t="shared" si="133"/>
        <v>LIC340</v>
      </c>
      <c r="F1256" s="158" t="str">
        <f>+VLOOKUP(H1256,'code mapping'!A:C,3,0)</f>
        <v>LIC34</v>
      </c>
      <c r="G1256" s="127" t="s">
        <v>453</v>
      </c>
      <c r="H1256" s="127" t="s">
        <v>623</v>
      </c>
      <c r="I1256" s="127" t="s">
        <v>624</v>
      </c>
      <c r="J1256" s="128">
        <v>212000</v>
      </c>
      <c r="K1256" s="127" t="s">
        <v>487</v>
      </c>
      <c r="L1256" s="151">
        <v>212220</v>
      </c>
      <c r="M1256" s="128">
        <v>0</v>
      </c>
      <c r="N1256" s="127" t="s">
        <v>497</v>
      </c>
      <c r="O1256" s="127" t="s">
        <v>457</v>
      </c>
      <c r="P1256" s="128">
        <v>0</v>
      </c>
      <c r="Q1256" s="128">
        <v>757992.8</v>
      </c>
      <c r="R1256" s="128">
        <v>0</v>
      </c>
      <c r="S1256" s="128">
        <v>0</v>
      </c>
      <c r="T1256" s="128">
        <v>0</v>
      </c>
      <c r="U1256" s="128">
        <v>757992.8</v>
      </c>
      <c r="V1256" s="128">
        <v>0</v>
      </c>
      <c r="W1256" s="128">
        <v>757992.8</v>
      </c>
      <c r="X1256" s="128">
        <v>0</v>
      </c>
      <c r="Y1256" s="128">
        <v>0</v>
      </c>
      <c r="Z1256" s="128">
        <v>0</v>
      </c>
      <c r="AA1256" s="128">
        <v>757992.8</v>
      </c>
      <c r="AB1256" s="126">
        <f t="shared" si="134"/>
        <v>-7.5799280000000011E-2</v>
      </c>
      <c r="AC1256" s="122" t="s">
        <v>1838</v>
      </c>
      <c r="AD1256" s="123">
        <f t="shared" si="135"/>
        <v>1983.9723217250009</v>
      </c>
    </row>
    <row r="1257" spans="1:30" ht="12.75" hidden="1" customHeight="1">
      <c r="A1257" s="125" t="str">
        <f t="shared" si="131"/>
        <v>LIC34Expense Allocation-Liab'ity Ac</v>
      </c>
      <c r="B1257" s="125">
        <f>+IFERROR(VLOOKUP(L1257,'TB mapping'!A:D,4,0),0)</f>
        <v>0</v>
      </c>
      <c r="C1257" s="125">
        <f>+IFERROR(VLOOKUP(L1257,'TB mapping'!A:C,3,0),0)</f>
        <v>0</v>
      </c>
      <c r="D1257" s="125" t="str">
        <f t="shared" si="132"/>
        <v>LIC340</v>
      </c>
      <c r="E1257" s="125" t="str">
        <f t="shared" si="133"/>
        <v>LIC340</v>
      </c>
      <c r="F1257" s="158" t="str">
        <f>+VLOOKUP(H1257,'code mapping'!A:C,3,0)</f>
        <v>LIC34</v>
      </c>
      <c r="G1257" s="127" t="s">
        <v>453</v>
      </c>
      <c r="H1257" s="127" t="s">
        <v>623</v>
      </c>
      <c r="I1257" s="127" t="s">
        <v>624</v>
      </c>
      <c r="J1257" s="128">
        <v>212000</v>
      </c>
      <c r="K1257" s="127" t="s">
        <v>487</v>
      </c>
      <c r="L1257" s="151">
        <v>212223</v>
      </c>
      <c r="M1257" s="128">
        <v>0</v>
      </c>
      <c r="N1257" s="127" t="s">
        <v>498</v>
      </c>
      <c r="O1257" s="127" t="s">
        <v>457</v>
      </c>
      <c r="P1257" s="128">
        <v>-500568.57</v>
      </c>
      <c r="Q1257" s="128">
        <v>0</v>
      </c>
      <c r="R1257" s="128">
        <v>0</v>
      </c>
      <c r="S1257" s="128">
        <v>0</v>
      </c>
      <c r="T1257" s="128">
        <v>-500568.57</v>
      </c>
      <c r="U1257" s="128">
        <v>0</v>
      </c>
      <c r="V1257" s="128">
        <v>-500568.57</v>
      </c>
      <c r="W1257" s="128">
        <v>0</v>
      </c>
      <c r="X1257" s="128">
        <v>0</v>
      </c>
      <c r="Y1257" s="128">
        <v>0</v>
      </c>
      <c r="Z1257" s="128">
        <v>-500568.57</v>
      </c>
      <c r="AA1257" s="128">
        <v>0</v>
      </c>
      <c r="AB1257" s="126">
        <f t="shared" si="134"/>
        <v>5.0056857000000003E-2</v>
      </c>
      <c r="AC1257" s="122" t="s">
        <v>1838</v>
      </c>
      <c r="AD1257" s="123">
        <f t="shared" si="135"/>
        <v>1983.9723217250009</v>
      </c>
    </row>
    <row r="1258" spans="1:30" ht="12.75" hidden="1" customHeight="1">
      <c r="A1258" s="125" t="str">
        <f t="shared" si="131"/>
        <v>LIC34Exp- Additional TER Payable</v>
      </c>
      <c r="B1258" s="125">
        <f>+IFERROR(VLOOKUP(L1258,'TB mapping'!A:D,4,0),0)</f>
        <v>0</v>
      </c>
      <c r="C1258" s="125">
        <f>+IFERROR(VLOOKUP(L1258,'TB mapping'!A:C,3,0),0)</f>
        <v>0</v>
      </c>
      <c r="D1258" s="125" t="str">
        <f t="shared" si="132"/>
        <v>LIC340</v>
      </c>
      <c r="E1258" s="125" t="str">
        <f t="shared" si="133"/>
        <v>LIC340</v>
      </c>
      <c r="F1258" s="158" t="str">
        <f>+VLOOKUP(H1258,'code mapping'!A:C,3,0)</f>
        <v>LIC34</v>
      </c>
      <c r="G1258" s="127" t="s">
        <v>453</v>
      </c>
      <c r="H1258" s="127" t="s">
        <v>623</v>
      </c>
      <c r="I1258" s="127" t="s">
        <v>624</v>
      </c>
      <c r="J1258" s="128">
        <v>212000</v>
      </c>
      <c r="K1258" s="127" t="s">
        <v>487</v>
      </c>
      <c r="L1258" s="151">
        <v>212227</v>
      </c>
      <c r="M1258" s="128">
        <v>0</v>
      </c>
      <c r="N1258" s="127" t="s">
        <v>627</v>
      </c>
      <c r="O1258" s="127" t="s">
        <v>457</v>
      </c>
      <c r="P1258" s="128">
        <v>0</v>
      </c>
      <c r="Q1258" s="128">
        <v>25977</v>
      </c>
      <c r="R1258" s="128">
        <v>0</v>
      </c>
      <c r="S1258" s="128">
        <v>0</v>
      </c>
      <c r="T1258" s="128">
        <v>0</v>
      </c>
      <c r="U1258" s="128">
        <v>25977</v>
      </c>
      <c r="V1258" s="128">
        <v>0</v>
      </c>
      <c r="W1258" s="128">
        <v>25977</v>
      </c>
      <c r="X1258" s="128">
        <v>0</v>
      </c>
      <c r="Y1258" s="128">
        <v>0</v>
      </c>
      <c r="Z1258" s="128">
        <v>0</v>
      </c>
      <c r="AA1258" s="128">
        <v>25977</v>
      </c>
      <c r="AB1258" s="126">
        <f t="shared" si="134"/>
        <v>-2.5977000000000001E-3</v>
      </c>
      <c r="AC1258" s="122" t="s">
        <v>1838</v>
      </c>
      <c r="AD1258" s="123">
        <f t="shared" si="135"/>
        <v>1983.9723217250009</v>
      </c>
    </row>
    <row r="1259" spans="1:30" ht="12.75" hidden="1" customHeight="1">
      <c r="A1259" s="125" t="str">
        <f t="shared" si="131"/>
        <v>LIC34Investor Education Payable</v>
      </c>
      <c r="B1259" s="125">
        <f>+IFERROR(VLOOKUP(L1259,'TB mapping'!A:D,4,0),0)</f>
        <v>0</v>
      </c>
      <c r="C1259" s="125">
        <f>+IFERROR(VLOOKUP(L1259,'TB mapping'!A:C,3,0),0)</f>
        <v>0</v>
      </c>
      <c r="D1259" s="125" t="str">
        <f t="shared" si="132"/>
        <v>LIC340</v>
      </c>
      <c r="E1259" s="125" t="str">
        <f t="shared" si="133"/>
        <v>LIC340</v>
      </c>
      <c r="F1259" s="158" t="str">
        <f>+VLOOKUP(H1259,'code mapping'!A:C,3,0)</f>
        <v>LIC34</v>
      </c>
      <c r="G1259" s="127" t="s">
        <v>453</v>
      </c>
      <c r="H1259" s="127" t="s">
        <v>623</v>
      </c>
      <c r="I1259" s="127" t="s">
        <v>624</v>
      </c>
      <c r="J1259" s="128">
        <v>212000</v>
      </c>
      <c r="K1259" s="127" t="s">
        <v>487</v>
      </c>
      <c r="L1259" s="151">
        <v>212240</v>
      </c>
      <c r="M1259" s="128">
        <v>0</v>
      </c>
      <c r="N1259" s="127" t="s">
        <v>500</v>
      </c>
      <c r="O1259" s="127" t="s">
        <v>457</v>
      </c>
      <c r="P1259" s="128">
        <v>0</v>
      </c>
      <c r="Q1259" s="128">
        <v>6611.93</v>
      </c>
      <c r="R1259" s="128">
        <v>0</v>
      </c>
      <c r="S1259" s="128">
        <v>0</v>
      </c>
      <c r="T1259" s="128">
        <v>0</v>
      </c>
      <c r="U1259" s="128">
        <v>6611.93</v>
      </c>
      <c r="V1259" s="128">
        <v>0</v>
      </c>
      <c r="W1259" s="128">
        <v>6611.93</v>
      </c>
      <c r="X1259" s="128">
        <v>0</v>
      </c>
      <c r="Y1259" s="128">
        <v>0</v>
      </c>
      <c r="Z1259" s="128">
        <v>0</v>
      </c>
      <c r="AA1259" s="128">
        <v>6611.93</v>
      </c>
      <c r="AB1259" s="126">
        <f t="shared" si="134"/>
        <v>-6.6119300000000002E-4</v>
      </c>
      <c r="AC1259" s="122" t="s">
        <v>1838</v>
      </c>
      <c r="AD1259" s="123">
        <f t="shared" si="135"/>
        <v>1983.9723217250009</v>
      </c>
    </row>
    <row r="1260" spans="1:30" ht="12.75" hidden="1" customHeight="1">
      <c r="A1260" s="125" t="str">
        <f t="shared" si="131"/>
        <v>LIC34Payable - Dividend Dist Tax</v>
      </c>
      <c r="B1260" s="125">
        <f>+IFERROR(VLOOKUP(L1260,'TB mapping'!A:D,4,0),0)</f>
        <v>0</v>
      </c>
      <c r="C1260" s="125">
        <f>+IFERROR(VLOOKUP(L1260,'TB mapping'!A:C,3,0),0)</f>
        <v>0</v>
      </c>
      <c r="D1260" s="125" t="str">
        <f t="shared" si="132"/>
        <v>LIC340</v>
      </c>
      <c r="E1260" s="125" t="str">
        <f t="shared" si="133"/>
        <v>LIC340</v>
      </c>
      <c r="F1260" s="158" t="str">
        <f>+VLOOKUP(H1260,'code mapping'!A:C,3,0)</f>
        <v>LIC34</v>
      </c>
      <c r="G1260" s="127" t="s">
        <v>453</v>
      </c>
      <c r="H1260" s="127" t="s">
        <v>623</v>
      </c>
      <c r="I1260" s="127" t="s">
        <v>624</v>
      </c>
      <c r="J1260" s="128">
        <v>212000</v>
      </c>
      <c r="K1260" s="127" t="s">
        <v>487</v>
      </c>
      <c r="L1260" s="151">
        <v>212242</v>
      </c>
      <c r="M1260" s="128">
        <v>0</v>
      </c>
      <c r="N1260" s="127" t="s">
        <v>650</v>
      </c>
      <c r="O1260" s="127" t="s">
        <v>457</v>
      </c>
      <c r="P1260" s="128">
        <v>0</v>
      </c>
      <c r="Q1260" s="128">
        <v>3</v>
      </c>
      <c r="R1260" s="128">
        <v>0</v>
      </c>
      <c r="S1260" s="128">
        <v>0</v>
      </c>
      <c r="T1260" s="128">
        <v>0</v>
      </c>
      <c r="U1260" s="128">
        <v>3</v>
      </c>
      <c r="V1260" s="128">
        <v>0</v>
      </c>
      <c r="W1260" s="128">
        <v>3</v>
      </c>
      <c r="X1260" s="128">
        <v>0</v>
      </c>
      <c r="Y1260" s="128">
        <v>0</v>
      </c>
      <c r="Z1260" s="128">
        <v>0</v>
      </c>
      <c r="AA1260" s="128">
        <v>3</v>
      </c>
      <c r="AB1260" s="126">
        <f t="shared" si="134"/>
        <v>-2.9999999999999999E-7</v>
      </c>
      <c r="AC1260" s="122" t="s">
        <v>1838</v>
      </c>
      <c r="AD1260" s="123">
        <f t="shared" si="135"/>
        <v>1983.9723217250009</v>
      </c>
    </row>
    <row r="1261" spans="1:30" ht="12.75" hidden="1" customHeight="1">
      <c r="A1261" s="125" t="str">
        <f t="shared" si="131"/>
        <v>LIC34Transaction Charges Payable</v>
      </c>
      <c r="B1261" s="125">
        <f>+IFERROR(VLOOKUP(L1261,'TB mapping'!A:D,4,0),0)</f>
        <v>0</v>
      </c>
      <c r="C1261" s="125">
        <f>+IFERROR(VLOOKUP(L1261,'TB mapping'!A:C,3,0),0)</f>
        <v>0</v>
      </c>
      <c r="D1261" s="125" t="str">
        <f t="shared" si="132"/>
        <v>LIC340</v>
      </c>
      <c r="E1261" s="125" t="str">
        <f t="shared" si="133"/>
        <v>LIC340</v>
      </c>
      <c r="F1261" s="158" t="str">
        <f>+VLOOKUP(H1261,'code mapping'!A:C,3,0)</f>
        <v>LIC34</v>
      </c>
      <c r="G1261" s="127" t="s">
        <v>453</v>
      </c>
      <c r="H1261" s="127" t="s">
        <v>623</v>
      </c>
      <c r="I1261" s="127" t="s">
        <v>624</v>
      </c>
      <c r="J1261" s="128">
        <v>212000</v>
      </c>
      <c r="K1261" s="127" t="s">
        <v>487</v>
      </c>
      <c r="L1261" s="151">
        <v>212247</v>
      </c>
      <c r="M1261" s="128">
        <v>0</v>
      </c>
      <c r="N1261" s="127" t="s">
        <v>501</v>
      </c>
      <c r="O1261" s="127" t="s">
        <v>457</v>
      </c>
      <c r="P1261" s="128">
        <v>-75</v>
      </c>
      <c r="Q1261" s="128">
        <v>0</v>
      </c>
      <c r="R1261" s="128">
        <v>0</v>
      </c>
      <c r="S1261" s="128">
        <v>0</v>
      </c>
      <c r="T1261" s="128">
        <v>-75</v>
      </c>
      <c r="U1261" s="128">
        <v>0</v>
      </c>
      <c r="V1261" s="128">
        <v>-75</v>
      </c>
      <c r="W1261" s="128">
        <v>0</v>
      </c>
      <c r="X1261" s="128">
        <v>0</v>
      </c>
      <c r="Y1261" s="128">
        <v>0</v>
      </c>
      <c r="Z1261" s="128">
        <v>-75</v>
      </c>
      <c r="AA1261" s="128">
        <v>0</v>
      </c>
      <c r="AB1261" s="126">
        <f t="shared" si="134"/>
        <v>7.5000000000000002E-6</v>
      </c>
      <c r="AC1261" s="122" t="s">
        <v>1838</v>
      </c>
      <c r="AD1261" s="123">
        <f t="shared" si="135"/>
        <v>1983.9723217250009</v>
      </c>
    </row>
    <row r="1262" spans="1:30" ht="12.75" hidden="1" customHeight="1">
      <c r="A1262" s="125" t="str">
        <f t="shared" si="131"/>
        <v>LIC34Brokerage &amp; Dist Exp Payable</v>
      </c>
      <c r="B1262" s="125">
        <f>+IFERROR(VLOOKUP(L1262,'TB mapping'!A:D,4,0),0)</f>
        <v>0</v>
      </c>
      <c r="C1262" s="125">
        <f>+IFERROR(VLOOKUP(L1262,'TB mapping'!A:C,3,0),0)</f>
        <v>0</v>
      </c>
      <c r="D1262" s="125" t="str">
        <f t="shared" si="132"/>
        <v>LIC340</v>
      </c>
      <c r="E1262" s="125" t="str">
        <f t="shared" si="133"/>
        <v>LIC340</v>
      </c>
      <c r="F1262" s="158" t="str">
        <f>+VLOOKUP(H1262,'code mapping'!A:C,3,0)</f>
        <v>LIC34</v>
      </c>
      <c r="G1262" s="127" t="s">
        <v>453</v>
      </c>
      <c r="H1262" s="127" t="s">
        <v>623</v>
      </c>
      <c r="I1262" s="127" t="s">
        <v>624</v>
      </c>
      <c r="J1262" s="128">
        <v>212000</v>
      </c>
      <c r="K1262" s="127" t="s">
        <v>487</v>
      </c>
      <c r="L1262" s="151">
        <v>212255</v>
      </c>
      <c r="M1262" s="128">
        <v>0</v>
      </c>
      <c r="N1262" s="127" t="s">
        <v>503</v>
      </c>
      <c r="O1262" s="127" t="s">
        <v>457</v>
      </c>
      <c r="P1262" s="128">
        <v>0</v>
      </c>
      <c r="Q1262" s="128">
        <v>1052157.22</v>
      </c>
      <c r="R1262" s="128">
        <v>0</v>
      </c>
      <c r="S1262" s="128">
        <v>0</v>
      </c>
      <c r="T1262" s="128">
        <v>0</v>
      </c>
      <c r="U1262" s="128">
        <v>1052157.22</v>
      </c>
      <c r="V1262" s="128">
        <v>0</v>
      </c>
      <c r="W1262" s="128">
        <v>1052157.22</v>
      </c>
      <c r="X1262" s="128">
        <v>0</v>
      </c>
      <c r="Y1262" s="128">
        <v>0</v>
      </c>
      <c r="Z1262" s="128">
        <v>0</v>
      </c>
      <c r="AA1262" s="128">
        <v>1052157.22</v>
      </c>
      <c r="AB1262" s="126">
        <f t="shared" si="134"/>
        <v>-0.105215722</v>
      </c>
      <c r="AC1262" s="122" t="s">
        <v>1838</v>
      </c>
      <c r="AD1262" s="123">
        <f t="shared" si="135"/>
        <v>1983.9723217250009</v>
      </c>
    </row>
    <row r="1263" spans="1:30" ht="12.75" hidden="1" customHeight="1">
      <c r="A1263" s="125" t="str">
        <f t="shared" si="131"/>
        <v>LIC34Upfront Brk &amp; Trail Paid-Liab</v>
      </c>
      <c r="B1263" s="125">
        <f>+IFERROR(VLOOKUP(L1263,'TB mapping'!A:D,4,0),0)</f>
        <v>0</v>
      </c>
      <c r="C1263" s="125">
        <f>+IFERROR(VLOOKUP(L1263,'TB mapping'!A:C,3,0),0)</f>
        <v>0</v>
      </c>
      <c r="D1263" s="125" t="str">
        <f t="shared" si="132"/>
        <v>LIC340</v>
      </c>
      <c r="E1263" s="125" t="str">
        <f t="shared" si="133"/>
        <v>LIC340</v>
      </c>
      <c r="F1263" s="158" t="str">
        <f>+VLOOKUP(H1263,'code mapping'!A:C,3,0)</f>
        <v>LIC34</v>
      </c>
      <c r="G1263" s="127" t="s">
        <v>453</v>
      </c>
      <c r="H1263" s="127" t="s">
        <v>623</v>
      </c>
      <c r="I1263" s="127" t="s">
        <v>624</v>
      </c>
      <c r="J1263" s="128">
        <v>212000</v>
      </c>
      <c r="K1263" s="127" t="s">
        <v>487</v>
      </c>
      <c r="L1263" s="151">
        <v>212257</v>
      </c>
      <c r="M1263" s="128">
        <v>0</v>
      </c>
      <c r="N1263" s="127" t="s">
        <v>504</v>
      </c>
      <c r="O1263" s="127" t="s">
        <v>457</v>
      </c>
      <c r="P1263" s="128">
        <v>0</v>
      </c>
      <c r="Q1263" s="128">
        <v>159.21</v>
      </c>
      <c r="R1263" s="128">
        <v>0</v>
      </c>
      <c r="S1263" s="128">
        <v>0</v>
      </c>
      <c r="T1263" s="128">
        <v>0</v>
      </c>
      <c r="U1263" s="128">
        <v>159.21</v>
      </c>
      <c r="V1263" s="128">
        <v>0</v>
      </c>
      <c r="W1263" s="128">
        <v>159.21</v>
      </c>
      <c r="X1263" s="128">
        <v>0</v>
      </c>
      <c r="Y1263" s="128">
        <v>0</v>
      </c>
      <c r="Z1263" s="128">
        <v>0</v>
      </c>
      <c r="AA1263" s="128">
        <v>159.21</v>
      </c>
      <c r="AB1263" s="126">
        <f t="shared" si="134"/>
        <v>-1.5921000000000002E-5</v>
      </c>
      <c r="AC1263" s="122" t="s">
        <v>1838</v>
      </c>
      <c r="AD1263" s="123">
        <f t="shared" si="135"/>
        <v>1983.9723217250009</v>
      </c>
    </row>
    <row r="1264" spans="1:30" ht="12.75" hidden="1" customHeight="1">
      <c r="A1264" s="125" t="str">
        <f t="shared" si="131"/>
        <v>LIC34Payable CGST on Mfees</v>
      </c>
      <c r="B1264" s="125">
        <f>+IFERROR(VLOOKUP(L1264,'TB mapping'!A:D,4,0),0)</f>
        <v>0</v>
      </c>
      <c r="C1264" s="125">
        <f>+IFERROR(VLOOKUP(L1264,'TB mapping'!A:C,3,0),0)</f>
        <v>0</v>
      </c>
      <c r="D1264" s="125" t="str">
        <f t="shared" si="132"/>
        <v>LIC340</v>
      </c>
      <c r="E1264" s="125" t="str">
        <f t="shared" si="133"/>
        <v>LIC340</v>
      </c>
      <c r="F1264" s="158" t="str">
        <f>+VLOOKUP(H1264,'code mapping'!A:C,3,0)</f>
        <v>LIC34</v>
      </c>
      <c r="G1264" s="127" t="s">
        <v>453</v>
      </c>
      <c r="H1264" s="127" t="s">
        <v>623</v>
      </c>
      <c r="I1264" s="127" t="s">
        <v>624</v>
      </c>
      <c r="J1264" s="128">
        <v>212000</v>
      </c>
      <c r="K1264" s="127" t="s">
        <v>487</v>
      </c>
      <c r="L1264" s="151">
        <v>212271</v>
      </c>
      <c r="M1264" s="128">
        <v>0</v>
      </c>
      <c r="N1264" s="127" t="s">
        <v>505</v>
      </c>
      <c r="O1264" s="127" t="s">
        <v>457</v>
      </c>
      <c r="P1264" s="128">
        <v>0</v>
      </c>
      <c r="Q1264" s="128">
        <v>14236.86</v>
      </c>
      <c r="R1264" s="128">
        <v>0</v>
      </c>
      <c r="S1264" s="128">
        <v>0</v>
      </c>
      <c r="T1264" s="128">
        <v>0</v>
      </c>
      <c r="U1264" s="128">
        <v>14236.86</v>
      </c>
      <c r="V1264" s="128">
        <v>0</v>
      </c>
      <c r="W1264" s="128">
        <v>14236.86</v>
      </c>
      <c r="X1264" s="128">
        <v>0</v>
      </c>
      <c r="Y1264" s="128">
        <v>0</v>
      </c>
      <c r="Z1264" s="128">
        <v>0</v>
      </c>
      <c r="AA1264" s="128">
        <v>14236.86</v>
      </c>
      <c r="AB1264" s="126">
        <f t="shared" si="134"/>
        <v>-1.423686E-3</v>
      </c>
      <c r="AC1264" s="122" t="s">
        <v>1838</v>
      </c>
      <c r="AD1264" s="123">
        <f t="shared" si="135"/>
        <v>1983.9723217250009</v>
      </c>
    </row>
    <row r="1265" spans="1:30" ht="12.75" hidden="1" customHeight="1">
      <c r="A1265" s="125" t="str">
        <f t="shared" si="131"/>
        <v>LIC34Payable SGST on Mfees</v>
      </c>
      <c r="B1265" s="125">
        <f>+IFERROR(VLOOKUP(L1265,'TB mapping'!A:D,4,0),0)</f>
        <v>0</v>
      </c>
      <c r="C1265" s="125">
        <f>+IFERROR(VLOOKUP(L1265,'TB mapping'!A:C,3,0),0)</f>
        <v>0</v>
      </c>
      <c r="D1265" s="125" t="str">
        <f t="shared" si="132"/>
        <v>LIC340</v>
      </c>
      <c r="E1265" s="125" t="str">
        <f t="shared" si="133"/>
        <v>LIC340</v>
      </c>
      <c r="F1265" s="158" t="str">
        <f>+VLOOKUP(H1265,'code mapping'!A:C,3,0)</f>
        <v>LIC34</v>
      </c>
      <c r="G1265" s="127" t="s">
        <v>453</v>
      </c>
      <c r="H1265" s="127" t="s">
        <v>623</v>
      </c>
      <c r="I1265" s="127" t="s">
        <v>624</v>
      </c>
      <c r="J1265" s="128">
        <v>212000</v>
      </c>
      <c r="K1265" s="127" t="s">
        <v>487</v>
      </c>
      <c r="L1265" s="151">
        <v>212272</v>
      </c>
      <c r="M1265" s="128">
        <v>0</v>
      </c>
      <c r="N1265" s="127" t="s">
        <v>506</v>
      </c>
      <c r="O1265" s="127" t="s">
        <v>457</v>
      </c>
      <c r="P1265" s="128">
        <v>0</v>
      </c>
      <c r="Q1265" s="128">
        <v>14236.86</v>
      </c>
      <c r="R1265" s="128">
        <v>0</v>
      </c>
      <c r="S1265" s="128">
        <v>0</v>
      </c>
      <c r="T1265" s="128">
        <v>0</v>
      </c>
      <c r="U1265" s="128">
        <v>14236.86</v>
      </c>
      <c r="V1265" s="128">
        <v>0</v>
      </c>
      <c r="W1265" s="128">
        <v>14236.86</v>
      </c>
      <c r="X1265" s="128">
        <v>0</v>
      </c>
      <c r="Y1265" s="128">
        <v>0</v>
      </c>
      <c r="Z1265" s="128">
        <v>0</v>
      </c>
      <c r="AA1265" s="128">
        <v>14236.86</v>
      </c>
      <c r="AB1265" s="126">
        <f t="shared" si="134"/>
        <v>-1.423686E-3</v>
      </c>
      <c r="AC1265" s="122" t="s">
        <v>1838</v>
      </c>
      <c r="AD1265" s="123">
        <f t="shared" si="135"/>
        <v>1983.9723217250009</v>
      </c>
    </row>
    <row r="1266" spans="1:30" ht="12.75" hidden="1" customHeight="1">
      <c r="A1266" s="125" t="str">
        <f t="shared" si="131"/>
        <v>LIC34Payable -Inv Educ Fund-AMFI</v>
      </c>
      <c r="B1266" s="125">
        <f>+IFERROR(VLOOKUP(L1266,'TB mapping'!A:D,4,0),0)</f>
        <v>0</v>
      </c>
      <c r="C1266" s="125">
        <f>+IFERROR(VLOOKUP(L1266,'TB mapping'!A:C,3,0),0)</f>
        <v>0</v>
      </c>
      <c r="D1266" s="125" t="str">
        <f t="shared" si="132"/>
        <v>LIC340</v>
      </c>
      <c r="E1266" s="125" t="str">
        <f t="shared" si="133"/>
        <v>LIC340</v>
      </c>
      <c r="F1266" s="158" t="str">
        <f>+VLOOKUP(H1266,'code mapping'!A:C,3,0)</f>
        <v>LIC34</v>
      </c>
      <c r="G1266" s="127" t="s">
        <v>453</v>
      </c>
      <c r="H1266" s="127" t="s">
        <v>623</v>
      </c>
      <c r="I1266" s="127" t="s">
        <v>624</v>
      </c>
      <c r="J1266" s="128">
        <v>212000</v>
      </c>
      <c r="K1266" s="127" t="s">
        <v>487</v>
      </c>
      <c r="L1266" s="151">
        <v>213166</v>
      </c>
      <c r="M1266" s="128">
        <v>0</v>
      </c>
      <c r="N1266" s="127" t="s">
        <v>507</v>
      </c>
      <c r="O1266" s="127" t="s">
        <v>457</v>
      </c>
      <c r="P1266" s="128">
        <v>0</v>
      </c>
      <c r="Q1266" s="128">
        <v>6611.93</v>
      </c>
      <c r="R1266" s="128">
        <v>0</v>
      </c>
      <c r="S1266" s="128">
        <v>0</v>
      </c>
      <c r="T1266" s="128">
        <v>0</v>
      </c>
      <c r="U1266" s="128">
        <v>6611.93</v>
      </c>
      <c r="V1266" s="128">
        <v>0</v>
      </c>
      <c r="W1266" s="128">
        <v>6611.93</v>
      </c>
      <c r="X1266" s="128">
        <v>0</v>
      </c>
      <c r="Y1266" s="128">
        <v>0</v>
      </c>
      <c r="Z1266" s="128">
        <v>0</v>
      </c>
      <c r="AA1266" s="128">
        <v>6611.93</v>
      </c>
      <c r="AB1266" s="126">
        <f t="shared" si="134"/>
        <v>-6.6119300000000002E-4</v>
      </c>
      <c r="AC1266" s="122" t="s">
        <v>1838</v>
      </c>
      <c r="AD1266" s="123">
        <f t="shared" si="135"/>
        <v>1983.9723217250009</v>
      </c>
    </row>
    <row r="1267" spans="1:30" ht="12.75" hidden="1" customHeight="1">
      <c r="A1267" s="125" t="str">
        <f t="shared" si="131"/>
        <v>LIC34Management Fee Payable</v>
      </c>
      <c r="B1267" s="125">
        <f>+IFERROR(VLOOKUP(L1267,'TB mapping'!A:D,4,0),0)</f>
        <v>0</v>
      </c>
      <c r="C1267" s="125">
        <f>+IFERROR(VLOOKUP(L1267,'TB mapping'!A:C,3,0),0)</f>
        <v>0</v>
      </c>
      <c r="D1267" s="125" t="str">
        <f t="shared" si="132"/>
        <v>LIC340</v>
      </c>
      <c r="E1267" s="125" t="str">
        <f t="shared" si="133"/>
        <v>LIC340</v>
      </c>
      <c r="F1267" s="158" t="str">
        <f>+VLOOKUP(H1267,'code mapping'!A:C,3,0)</f>
        <v>LIC34</v>
      </c>
      <c r="G1267" s="127" t="s">
        <v>453</v>
      </c>
      <c r="H1267" s="127" t="s">
        <v>623</v>
      </c>
      <c r="I1267" s="127" t="s">
        <v>624</v>
      </c>
      <c r="J1267" s="128">
        <v>213000</v>
      </c>
      <c r="K1267" s="127" t="s">
        <v>508</v>
      </c>
      <c r="L1267" s="151">
        <v>213500</v>
      </c>
      <c r="M1267" s="128">
        <v>0</v>
      </c>
      <c r="N1267" s="127" t="s">
        <v>509</v>
      </c>
      <c r="O1267" s="127" t="s">
        <v>457</v>
      </c>
      <c r="P1267" s="128">
        <v>0</v>
      </c>
      <c r="Q1267" s="128">
        <v>158169.33000000002</v>
      </c>
      <c r="R1267" s="128">
        <v>0</v>
      </c>
      <c r="S1267" s="128">
        <v>0</v>
      </c>
      <c r="T1267" s="128">
        <v>0</v>
      </c>
      <c r="U1267" s="128">
        <v>158169.33000000002</v>
      </c>
      <c r="V1267" s="128">
        <v>0</v>
      </c>
      <c r="W1267" s="128">
        <v>158169.33000000002</v>
      </c>
      <c r="X1267" s="128">
        <v>0</v>
      </c>
      <c r="Y1267" s="128">
        <v>0</v>
      </c>
      <c r="Z1267" s="128">
        <v>0</v>
      </c>
      <c r="AA1267" s="128">
        <v>158169.33000000002</v>
      </c>
      <c r="AB1267" s="126">
        <f t="shared" si="134"/>
        <v>-1.5816933000000002E-2</v>
      </c>
      <c r="AC1267" s="122" t="s">
        <v>1838</v>
      </c>
      <c r="AD1267" s="123">
        <f t="shared" si="135"/>
        <v>1983.9723217250009</v>
      </c>
    </row>
    <row r="1268" spans="1:30" ht="12.75" hidden="1" customHeight="1">
      <c r="A1268" s="125" t="str">
        <f t="shared" si="131"/>
        <v>LIC34Other Adjustment A/c.</v>
      </c>
      <c r="B1268" s="125">
        <f>+IFERROR(VLOOKUP(L1268,'TB mapping'!A:D,4,0),0)</f>
        <v>0</v>
      </c>
      <c r="C1268" s="125">
        <f>+IFERROR(VLOOKUP(L1268,'TB mapping'!A:C,3,0),0)</f>
        <v>0</v>
      </c>
      <c r="D1268" s="125" t="str">
        <f t="shared" si="132"/>
        <v>LIC340</v>
      </c>
      <c r="E1268" s="125" t="str">
        <f t="shared" si="133"/>
        <v>LIC340</v>
      </c>
      <c r="F1268" s="158" t="str">
        <f>+VLOOKUP(H1268,'code mapping'!A:C,3,0)</f>
        <v>LIC34</v>
      </c>
      <c r="G1268" s="127" t="s">
        <v>453</v>
      </c>
      <c r="H1268" s="127" t="s">
        <v>623</v>
      </c>
      <c r="I1268" s="127" t="s">
        <v>624</v>
      </c>
      <c r="J1268" s="128">
        <v>220000</v>
      </c>
      <c r="K1268" s="127" t="s">
        <v>510</v>
      </c>
      <c r="L1268" s="151">
        <v>190000</v>
      </c>
      <c r="M1268" s="128">
        <v>0</v>
      </c>
      <c r="N1268" s="127" t="s">
        <v>511</v>
      </c>
      <c r="O1268" s="127" t="s">
        <v>457</v>
      </c>
      <c r="P1268" s="128">
        <v>0</v>
      </c>
      <c r="Q1268" s="128">
        <v>0.36</v>
      </c>
      <c r="R1268" s="128">
        <v>0</v>
      </c>
      <c r="S1268" s="128">
        <v>0</v>
      </c>
      <c r="T1268" s="128">
        <v>0</v>
      </c>
      <c r="U1268" s="128">
        <v>0.36</v>
      </c>
      <c r="V1268" s="128">
        <v>0</v>
      </c>
      <c r="W1268" s="128">
        <v>0.36</v>
      </c>
      <c r="X1268" s="128">
        <v>0</v>
      </c>
      <c r="Y1268" s="128">
        <v>0</v>
      </c>
      <c r="Z1268" s="128">
        <v>0</v>
      </c>
      <c r="AA1268" s="128">
        <v>0.36</v>
      </c>
      <c r="AB1268" s="126">
        <f t="shared" si="134"/>
        <v>-3.5999999999999998E-8</v>
      </c>
      <c r="AC1268" s="122" t="s">
        <v>1838</v>
      </c>
      <c r="AD1268" s="123">
        <f t="shared" si="135"/>
        <v>1983.9723217250009</v>
      </c>
    </row>
    <row r="1269" spans="1:30" ht="12.75" hidden="1" customHeight="1">
      <c r="A1269" s="125" t="str">
        <f t="shared" si="131"/>
        <v>LIC34Prov For Withholding Brokerage</v>
      </c>
      <c r="B1269" s="125">
        <f>+IFERROR(VLOOKUP(L1269,'TB mapping'!A:D,4,0),0)</f>
        <v>0</v>
      </c>
      <c r="C1269" s="125">
        <f>+IFERROR(VLOOKUP(L1269,'TB mapping'!A:C,3,0),0)</f>
        <v>0</v>
      </c>
      <c r="D1269" s="125" t="str">
        <f t="shared" si="132"/>
        <v>LIC340</v>
      </c>
      <c r="E1269" s="125" t="str">
        <f t="shared" si="133"/>
        <v>LIC340</v>
      </c>
      <c r="F1269" s="158" t="str">
        <f>+VLOOKUP(H1269,'code mapping'!A:C,3,0)</f>
        <v>LIC34</v>
      </c>
      <c r="G1269" s="127" t="s">
        <v>453</v>
      </c>
      <c r="H1269" s="127" t="s">
        <v>623</v>
      </c>
      <c r="I1269" s="127" t="s">
        <v>624</v>
      </c>
      <c r="J1269" s="128">
        <v>220000</v>
      </c>
      <c r="K1269" s="127" t="s">
        <v>510</v>
      </c>
      <c r="L1269" s="151">
        <v>210162</v>
      </c>
      <c r="M1269" s="128">
        <v>0</v>
      </c>
      <c r="N1269" s="127" t="s">
        <v>512</v>
      </c>
      <c r="O1269" s="127" t="s">
        <v>457</v>
      </c>
      <c r="P1269" s="128">
        <v>0</v>
      </c>
      <c r="Q1269" s="128">
        <v>54640.23</v>
      </c>
      <c r="R1269" s="128">
        <v>0</v>
      </c>
      <c r="S1269" s="128">
        <v>0</v>
      </c>
      <c r="T1269" s="128">
        <v>0</v>
      </c>
      <c r="U1269" s="128">
        <v>54640.23</v>
      </c>
      <c r="V1269" s="128">
        <v>0</v>
      </c>
      <c r="W1269" s="128">
        <v>54640.23</v>
      </c>
      <c r="X1269" s="128">
        <v>0</v>
      </c>
      <c r="Y1269" s="128">
        <v>0</v>
      </c>
      <c r="Z1269" s="128">
        <v>0</v>
      </c>
      <c r="AA1269" s="128">
        <v>54640.23</v>
      </c>
      <c r="AB1269" s="126">
        <f t="shared" si="134"/>
        <v>-5.4640230000000001E-3</v>
      </c>
      <c r="AC1269" s="122" t="s">
        <v>1838</v>
      </c>
      <c r="AD1269" s="123">
        <f t="shared" si="135"/>
        <v>1983.9723217250009</v>
      </c>
    </row>
    <row r="1270" spans="1:30" ht="12.75" hidden="1" customHeight="1">
      <c r="A1270" s="125" t="str">
        <f t="shared" si="131"/>
        <v>LIC34Prov  Withholding Brok 2016-17</v>
      </c>
      <c r="B1270" s="125">
        <f>+IFERROR(VLOOKUP(L1270,'TB mapping'!A:D,4,0),0)</f>
        <v>0</v>
      </c>
      <c r="C1270" s="125">
        <f>+IFERROR(VLOOKUP(L1270,'TB mapping'!A:C,3,0),0)</f>
        <v>0</v>
      </c>
      <c r="D1270" s="125" t="str">
        <f t="shared" si="132"/>
        <v>LIC340</v>
      </c>
      <c r="E1270" s="125" t="str">
        <f t="shared" si="133"/>
        <v>LIC340</v>
      </c>
      <c r="F1270" s="158" t="str">
        <f>+VLOOKUP(H1270,'code mapping'!A:C,3,0)</f>
        <v>LIC34</v>
      </c>
      <c r="G1270" s="127" t="s">
        <v>453</v>
      </c>
      <c r="H1270" s="127" t="s">
        <v>623</v>
      </c>
      <c r="I1270" s="127" t="s">
        <v>624</v>
      </c>
      <c r="J1270" s="128">
        <v>220000</v>
      </c>
      <c r="K1270" s="127" t="s">
        <v>510</v>
      </c>
      <c r="L1270" s="151">
        <v>210163</v>
      </c>
      <c r="M1270" s="128">
        <v>0</v>
      </c>
      <c r="N1270" s="127" t="s">
        <v>513</v>
      </c>
      <c r="O1270" s="127" t="s">
        <v>457</v>
      </c>
      <c r="P1270" s="128">
        <v>0</v>
      </c>
      <c r="Q1270" s="128">
        <v>78359.86</v>
      </c>
      <c r="R1270" s="128">
        <v>0</v>
      </c>
      <c r="S1270" s="128">
        <v>0</v>
      </c>
      <c r="T1270" s="128">
        <v>0</v>
      </c>
      <c r="U1270" s="128">
        <v>78359.86</v>
      </c>
      <c r="V1270" s="128">
        <v>0</v>
      </c>
      <c r="W1270" s="128">
        <v>78359.86</v>
      </c>
      <c r="X1270" s="128">
        <v>0</v>
      </c>
      <c r="Y1270" s="128">
        <v>0</v>
      </c>
      <c r="Z1270" s="128">
        <v>0</v>
      </c>
      <c r="AA1270" s="128">
        <v>78359.86</v>
      </c>
      <c r="AB1270" s="126">
        <f t="shared" si="134"/>
        <v>-7.8359859999999996E-3</v>
      </c>
      <c r="AC1270" s="122" t="s">
        <v>1838</v>
      </c>
      <c r="AD1270" s="123">
        <f t="shared" si="135"/>
        <v>1983.9723217250009</v>
      </c>
    </row>
    <row r="1271" spans="1:30" ht="12.75" hidden="1" customHeight="1">
      <c r="A1271" s="125" t="str">
        <f t="shared" si="131"/>
        <v>LIC34Unit Capital</v>
      </c>
      <c r="B1271" s="125">
        <f>+IFERROR(VLOOKUP(L1271,'TB mapping'!A:D,4,0),0)</f>
        <v>0</v>
      </c>
      <c r="C1271" s="125">
        <f>+IFERROR(VLOOKUP(L1271,'TB mapping'!A:C,3,0),0)</f>
        <v>0</v>
      </c>
      <c r="D1271" s="125" t="str">
        <f t="shared" si="132"/>
        <v>LIC340</v>
      </c>
      <c r="E1271" s="125" t="str">
        <f t="shared" si="133"/>
        <v>LIC340</v>
      </c>
      <c r="F1271" s="158" t="str">
        <f>+VLOOKUP(H1271,'code mapping'!A:C,3,0)</f>
        <v>LIC34</v>
      </c>
      <c r="G1271" s="127" t="s">
        <v>453</v>
      </c>
      <c r="H1271" s="127" t="s">
        <v>623</v>
      </c>
      <c r="I1271" s="127" t="s">
        <v>624</v>
      </c>
      <c r="J1271" s="128">
        <v>301000</v>
      </c>
      <c r="K1271" s="127" t="s">
        <v>514</v>
      </c>
      <c r="L1271" s="151">
        <v>310000</v>
      </c>
      <c r="M1271" s="128">
        <v>0</v>
      </c>
      <c r="N1271" s="127" t="s">
        <v>515</v>
      </c>
      <c r="O1271" s="127" t="s">
        <v>457</v>
      </c>
      <c r="P1271" s="128">
        <v>0</v>
      </c>
      <c r="Q1271" s="128">
        <v>230323770.84999999</v>
      </c>
      <c r="R1271" s="128">
        <v>0</v>
      </c>
      <c r="S1271" s="128">
        <v>0</v>
      </c>
      <c r="T1271" s="128">
        <v>0</v>
      </c>
      <c r="U1271" s="128">
        <v>230323770.84999999</v>
      </c>
      <c r="V1271" s="128">
        <v>0</v>
      </c>
      <c r="W1271" s="128">
        <v>230323770.84999999</v>
      </c>
      <c r="X1271" s="128">
        <v>0</v>
      </c>
      <c r="Y1271" s="128">
        <v>0</v>
      </c>
      <c r="Z1271" s="128">
        <v>0</v>
      </c>
      <c r="AA1271" s="128">
        <v>230323770.84999999</v>
      </c>
      <c r="AB1271" s="126">
        <f t="shared" si="134"/>
        <v>-23.032377085</v>
      </c>
      <c r="AC1271" s="122" t="s">
        <v>1838</v>
      </c>
      <c r="AD1271" s="123">
        <f t="shared" si="135"/>
        <v>1983.9723217250009</v>
      </c>
    </row>
    <row r="1272" spans="1:30" ht="12.75" hidden="1" customHeight="1">
      <c r="A1272" s="125" t="str">
        <f t="shared" si="131"/>
        <v>LIC34Unit Premium Reserve- RG</v>
      </c>
      <c r="B1272" s="125">
        <f>+IFERROR(VLOOKUP(L1272,'TB mapping'!A:D,4,0),0)</f>
        <v>0</v>
      </c>
      <c r="C1272" s="125">
        <f>+IFERROR(VLOOKUP(L1272,'TB mapping'!A:C,3,0),0)</f>
        <v>0</v>
      </c>
      <c r="D1272" s="125" t="str">
        <f t="shared" si="132"/>
        <v>LIC340</v>
      </c>
      <c r="E1272" s="125" t="str">
        <f t="shared" si="133"/>
        <v>LIC340</v>
      </c>
      <c r="F1272" s="158" t="str">
        <f>+VLOOKUP(H1272,'code mapping'!A:C,3,0)</f>
        <v>LIC34</v>
      </c>
      <c r="G1272" s="127" t="s">
        <v>453</v>
      </c>
      <c r="H1272" s="127" t="s">
        <v>623</v>
      </c>
      <c r="I1272" s="127" t="s">
        <v>624</v>
      </c>
      <c r="J1272" s="128">
        <v>303000</v>
      </c>
      <c r="K1272" s="127" t="s">
        <v>516</v>
      </c>
      <c r="L1272" s="151">
        <v>303201</v>
      </c>
      <c r="M1272" s="128">
        <v>0</v>
      </c>
      <c r="N1272" s="127" t="s">
        <v>517</v>
      </c>
      <c r="O1272" s="127" t="s">
        <v>457</v>
      </c>
      <c r="P1272" s="128">
        <v>-104556304.3</v>
      </c>
      <c r="Q1272" s="128">
        <v>0</v>
      </c>
      <c r="R1272" s="128">
        <v>0</v>
      </c>
      <c r="S1272" s="128">
        <v>0</v>
      </c>
      <c r="T1272" s="128">
        <v>-104556304.3</v>
      </c>
      <c r="U1272" s="128">
        <v>0</v>
      </c>
      <c r="V1272" s="128">
        <v>-104556304.3</v>
      </c>
      <c r="W1272" s="128">
        <v>0</v>
      </c>
      <c r="X1272" s="128">
        <v>0</v>
      </c>
      <c r="Y1272" s="128">
        <v>0</v>
      </c>
      <c r="Z1272" s="128">
        <v>-104556304.3</v>
      </c>
      <c r="AA1272" s="128">
        <v>0</v>
      </c>
      <c r="AB1272" s="126">
        <f t="shared" si="134"/>
        <v>10.455630429999999</v>
      </c>
      <c r="AC1272" s="122" t="s">
        <v>1838</v>
      </c>
      <c r="AD1272" s="123">
        <f t="shared" si="135"/>
        <v>1983.9723217250009</v>
      </c>
    </row>
    <row r="1273" spans="1:30" ht="12.75" hidden="1" customHeight="1">
      <c r="A1273" s="125" t="str">
        <f t="shared" ref="A1273:A1336" si="136">+F1273&amp;N1273</f>
        <v>LIC34Unit Premium Reserve- RD</v>
      </c>
      <c r="B1273" s="125">
        <f>+IFERROR(VLOOKUP(L1273,'TB mapping'!A:D,4,0),0)</f>
        <v>0</v>
      </c>
      <c r="C1273" s="125">
        <f>+IFERROR(VLOOKUP(L1273,'TB mapping'!A:C,3,0),0)</f>
        <v>0</v>
      </c>
      <c r="D1273" s="125" t="str">
        <f t="shared" ref="D1273:D1336" si="137">+F1273&amp;B1273</f>
        <v>LIC340</v>
      </c>
      <c r="E1273" s="125" t="str">
        <f t="shared" ref="E1273:E1336" si="138">+F1273&amp;C1273</f>
        <v>LIC340</v>
      </c>
      <c r="F1273" s="158" t="str">
        <f>+VLOOKUP(H1273,'code mapping'!A:C,3,0)</f>
        <v>LIC34</v>
      </c>
      <c r="G1273" s="127" t="s">
        <v>453</v>
      </c>
      <c r="H1273" s="127" t="s">
        <v>623</v>
      </c>
      <c r="I1273" s="127" t="s">
        <v>624</v>
      </c>
      <c r="J1273" s="128">
        <v>303000</v>
      </c>
      <c r="K1273" s="127" t="s">
        <v>516</v>
      </c>
      <c r="L1273" s="151">
        <v>303202</v>
      </c>
      <c r="M1273" s="128">
        <v>0</v>
      </c>
      <c r="N1273" s="127" t="s">
        <v>518</v>
      </c>
      <c r="O1273" s="127" t="s">
        <v>457</v>
      </c>
      <c r="P1273" s="128">
        <v>-1832529.23</v>
      </c>
      <c r="Q1273" s="128">
        <v>0</v>
      </c>
      <c r="R1273" s="128">
        <v>0</v>
      </c>
      <c r="S1273" s="128">
        <v>0</v>
      </c>
      <c r="T1273" s="128">
        <v>-1832529.23</v>
      </c>
      <c r="U1273" s="128">
        <v>0</v>
      </c>
      <c r="V1273" s="128">
        <v>-1832529.23</v>
      </c>
      <c r="W1273" s="128">
        <v>0</v>
      </c>
      <c r="X1273" s="128">
        <v>0</v>
      </c>
      <c r="Y1273" s="128">
        <v>0</v>
      </c>
      <c r="Z1273" s="128">
        <v>-1832529.23</v>
      </c>
      <c r="AA1273" s="128">
        <v>0</v>
      </c>
      <c r="AB1273" s="126">
        <f t="shared" ref="AB1273:AB1336" si="139">SUM(-Z1273-AA1273)/10^7</f>
        <v>0.18325292300000001</v>
      </c>
      <c r="AC1273" s="122" t="s">
        <v>1838</v>
      </c>
      <c r="AD1273" s="123">
        <f t="shared" si="135"/>
        <v>1983.9723217250009</v>
      </c>
    </row>
    <row r="1274" spans="1:30" ht="12.75" hidden="1" customHeight="1">
      <c r="A1274" s="125" t="str">
        <f t="shared" si="136"/>
        <v>LIC34Unit Premium Reserve-GDP</v>
      </c>
      <c r="B1274" s="125">
        <f>+IFERROR(VLOOKUP(L1274,'TB mapping'!A:D,4,0),0)</f>
        <v>0</v>
      </c>
      <c r="C1274" s="125">
        <f>+IFERROR(VLOOKUP(L1274,'TB mapping'!A:C,3,0),0)</f>
        <v>0</v>
      </c>
      <c r="D1274" s="125" t="str">
        <f t="shared" si="137"/>
        <v>LIC340</v>
      </c>
      <c r="E1274" s="125" t="str">
        <f t="shared" si="138"/>
        <v>LIC340</v>
      </c>
      <c r="F1274" s="158" t="str">
        <f>+VLOOKUP(H1274,'code mapping'!A:C,3,0)</f>
        <v>LIC34</v>
      </c>
      <c r="G1274" s="127" t="s">
        <v>453</v>
      </c>
      <c r="H1274" s="127" t="s">
        <v>623</v>
      </c>
      <c r="I1274" s="127" t="s">
        <v>624</v>
      </c>
      <c r="J1274" s="128">
        <v>303000</v>
      </c>
      <c r="K1274" s="127" t="s">
        <v>516</v>
      </c>
      <c r="L1274" s="151">
        <v>303245</v>
      </c>
      <c r="M1274" s="128">
        <v>0</v>
      </c>
      <c r="N1274" s="127" t="s">
        <v>519</v>
      </c>
      <c r="O1274" s="127" t="s">
        <v>457</v>
      </c>
      <c r="P1274" s="128">
        <v>-185683768.25999999</v>
      </c>
      <c r="Q1274" s="128">
        <v>0</v>
      </c>
      <c r="R1274" s="128">
        <v>0</v>
      </c>
      <c r="S1274" s="128">
        <v>0</v>
      </c>
      <c r="T1274" s="128">
        <v>-185683768.25999999</v>
      </c>
      <c r="U1274" s="128">
        <v>0</v>
      </c>
      <c r="V1274" s="128">
        <v>-185683768.25999999</v>
      </c>
      <c r="W1274" s="128">
        <v>0</v>
      </c>
      <c r="X1274" s="128">
        <v>0</v>
      </c>
      <c r="Y1274" s="128">
        <v>0</v>
      </c>
      <c r="Z1274" s="128">
        <v>-185683768.25999999</v>
      </c>
      <c r="AA1274" s="128">
        <v>0</v>
      </c>
      <c r="AB1274" s="126">
        <f t="shared" si="139"/>
        <v>18.568376825999998</v>
      </c>
      <c r="AC1274" s="122" t="s">
        <v>1838</v>
      </c>
      <c r="AD1274" s="123">
        <f t="shared" si="135"/>
        <v>1983.9723217250009</v>
      </c>
    </row>
    <row r="1275" spans="1:30" ht="12.75" hidden="1" customHeight="1">
      <c r="A1275" s="125" t="str">
        <f t="shared" si="136"/>
        <v>LIC34Unit Premium Reserve-DDP</v>
      </c>
      <c r="B1275" s="125">
        <f>+IFERROR(VLOOKUP(L1275,'TB mapping'!A:D,4,0),0)</f>
        <v>0</v>
      </c>
      <c r="C1275" s="125">
        <f>+IFERROR(VLOOKUP(L1275,'TB mapping'!A:C,3,0),0)</f>
        <v>0</v>
      </c>
      <c r="D1275" s="125" t="str">
        <f t="shared" si="137"/>
        <v>LIC340</v>
      </c>
      <c r="E1275" s="125" t="str">
        <f t="shared" si="138"/>
        <v>LIC340</v>
      </c>
      <c r="F1275" s="158" t="str">
        <f>+VLOOKUP(H1275,'code mapping'!A:C,3,0)</f>
        <v>LIC34</v>
      </c>
      <c r="G1275" s="127" t="s">
        <v>453</v>
      </c>
      <c r="H1275" s="127" t="s">
        <v>623</v>
      </c>
      <c r="I1275" s="127" t="s">
        <v>624</v>
      </c>
      <c r="J1275" s="128">
        <v>303000</v>
      </c>
      <c r="K1275" s="127" t="s">
        <v>516</v>
      </c>
      <c r="L1275" s="151">
        <v>303246</v>
      </c>
      <c r="M1275" s="128">
        <v>0</v>
      </c>
      <c r="N1275" s="127" t="s">
        <v>520</v>
      </c>
      <c r="O1275" s="127" t="s">
        <v>457</v>
      </c>
      <c r="P1275" s="128">
        <v>-398.9</v>
      </c>
      <c r="Q1275" s="128">
        <v>0</v>
      </c>
      <c r="R1275" s="128">
        <v>0</v>
      </c>
      <c r="S1275" s="128">
        <v>0</v>
      </c>
      <c r="T1275" s="128">
        <v>-398.9</v>
      </c>
      <c r="U1275" s="128">
        <v>0</v>
      </c>
      <c r="V1275" s="128">
        <v>-398.9</v>
      </c>
      <c r="W1275" s="128">
        <v>0</v>
      </c>
      <c r="X1275" s="128">
        <v>0</v>
      </c>
      <c r="Y1275" s="128">
        <v>0</v>
      </c>
      <c r="Z1275" s="128">
        <v>-398.9</v>
      </c>
      <c r="AA1275" s="128">
        <v>0</v>
      </c>
      <c r="AB1275" s="126">
        <f t="shared" si="139"/>
        <v>3.9889999999999999E-5</v>
      </c>
      <c r="AC1275" s="122" t="s">
        <v>1838</v>
      </c>
      <c r="AD1275" s="123">
        <f t="shared" si="135"/>
        <v>1983.9723217250009</v>
      </c>
    </row>
    <row r="1276" spans="1:30" ht="12.75" hidden="1" customHeight="1">
      <c r="A1276" s="125" t="str">
        <f t="shared" si="136"/>
        <v>LIC34Unit Premium Reserve-PFD</v>
      </c>
      <c r="B1276" s="125">
        <f>+IFERROR(VLOOKUP(L1276,'TB mapping'!A:D,4,0),0)</f>
        <v>0</v>
      </c>
      <c r="C1276" s="125">
        <f>+IFERROR(VLOOKUP(L1276,'TB mapping'!A:C,3,0),0)</f>
        <v>0</v>
      </c>
      <c r="D1276" s="125" t="str">
        <f t="shared" si="137"/>
        <v>LIC340</v>
      </c>
      <c r="E1276" s="125" t="str">
        <f t="shared" si="138"/>
        <v>LIC340</v>
      </c>
      <c r="F1276" s="158" t="str">
        <f>+VLOOKUP(H1276,'code mapping'!A:C,3,0)</f>
        <v>LIC34</v>
      </c>
      <c r="G1276" s="127" t="s">
        <v>453</v>
      </c>
      <c r="H1276" s="127" t="s">
        <v>623</v>
      </c>
      <c r="I1276" s="127" t="s">
        <v>624</v>
      </c>
      <c r="J1276" s="128">
        <v>303000</v>
      </c>
      <c r="K1276" s="127" t="s">
        <v>516</v>
      </c>
      <c r="L1276" s="151">
        <v>303581</v>
      </c>
      <c r="M1276" s="128">
        <v>0</v>
      </c>
      <c r="N1276" s="127" t="s">
        <v>628</v>
      </c>
      <c r="O1276" s="127" t="s">
        <v>457</v>
      </c>
      <c r="P1276" s="128">
        <v>-631313.06000000006</v>
      </c>
      <c r="Q1276" s="128">
        <v>0</v>
      </c>
      <c r="R1276" s="128">
        <v>0</v>
      </c>
      <c r="S1276" s="128">
        <v>0</v>
      </c>
      <c r="T1276" s="128">
        <v>-631313.06000000006</v>
      </c>
      <c r="U1276" s="128">
        <v>0</v>
      </c>
      <c r="V1276" s="128">
        <v>-631313.06000000006</v>
      </c>
      <c r="W1276" s="128">
        <v>0</v>
      </c>
      <c r="X1276" s="128">
        <v>0</v>
      </c>
      <c r="Y1276" s="128">
        <v>0</v>
      </c>
      <c r="Z1276" s="128">
        <v>-631313.06000000006</v>
      </c>
      <c r="AA1276" s="128">
        <v>0</v>
      </c>
      <c r="AB1276" s="126">
        <f t="shared" si="139"/>
        <v>6.3131306000000012E-2</v>
      </c>
      <c r="AC1276" s="122" t="s">
        <v>1838</v>
      </c>
      <c r="AD1276" s="123">
        <f t="shared" si="135"/>
        <v>1983.9723217250009</v>
      </c>
    </row>
    <row r="1277" spans="1:30" ht="12.75" hidden="1" customHeight="1">
      <c r="A1277" s="125" t="str">
        <f t="shared" si="136"/>
        <v>LIC34Unit Premium Reserve-PFG</v>
      </c>
      <c r="B1277" s="125">
        <f>+IFERROR(VLOOKUP(L1277,'TB mapping'!A:D,4,0),0)</f>
        <v>0</v>
      </c>
      <c r="C1277" s="125">
        <f>+IFERROR(VLOOKUP(L1277,'TB mapping'!A:C,3,0),0)</f>
        <v>0</v>
      </c>
      <c r="D1277" s="125" t="str">
        <f t="shared" si="137"/>
        <v>LIC340</v>
      </c>
      <c r="E1277" s="125" t="str">
        <f t="shared" si="138"/>
        <v>LIC340</v>
      </c>
      <c r="F1277" s="158" t="str">
        <f>+VLOOKUP(H1277,'code mapping'!A:C,3,0)</f>
        <v>LIC34</v>
      </c>
      <c r="G1277" s="127" t="s">
        <v>453</v>
      </c>
      <c r="H1277" s="127" t="s">
        <v>623</v>
      </c>
      <c r="I1277" s="127" t="s">
        <v>624</v>
      </c>
      <c r="J1277" s="128">
        <v>303000</v>
      </c>
      <c r="K1277" s="127" t="s">
        <v>516</v>
      </c>
      <c r="L1277" s="151">
        <v>303582</v>
      </c>
      <c r="M1277" s="128">
        <v>0</v>
      </c>
      <c r="N1277" s="127" t="s">
        <v>629</v>
      </c>
      <c r="O1277" s="127" t="s">
        <v>457</v>
      </c>
      <c r="P1277" s="128">
        <v>-21856436.760000002</v>
      </c>
      <c r="Q1277" s="128">
        <v>0</v>
      </c>
      <c r="R1277" s="128">
        <v>0</v>
      </c>
      <c r="S1277" s="128">
        <v>0</v>
      </c>
      <c r="T1277" s="128">
        <v>-21856436.760000002</v>
      </c>
      <c r="U1277" s="128">
        <v>0</v>
      </c>
      <c r="V1277" s="128">
        <v>-21856436.760000002</v>
      </c>
      <c r="W1277" s="128">
        <v>0</v>
      </c>
      <c r="X1277" s="128">
        <v>0</v>
      </c>
      <c r="Y1277" s="128">
        <v>0</v>
      </c>
      <c r="Z1277" s="128">
        <v>-21856436.760000002</v>
      </c>
      <c r="AA1277" s="128">
        <v>0</v>
      </c>
      <c r="AB1277" s="126">
        <f t="shared" si="139"/>
        <v>2.1856436760000002</v>
      </c>
      <c r="AC1277" s="122" t="s">
        <v>1838</v>
      </c>
      <c r="AD1277" s="123">
        <f t="shared" si="135"/>
        <v>1983.9723217250009</v>
      </c>
    </row>
    <row r="1278" spans="1:30" ht="12.75" hidden="1" customHeight="1">
      <c r="A1278" s="125" t="str">
        <f t="shared" si="136"/>
        <v>LIC34Net Earnings</v>
      </c>
      <c r="B1278" s="125">
        <f>+IFERROR(VLOOKUP(L1278,'TB mapping'!A:D,4,0),0)</f>
        <v>0</v>
      </c>
      <c r="C1278" s="125">
        <f>+IFERROR(VLOOKUP(L1278,'TB mapping'!A:C,3,0),0)</f>
        <v>0</v>
      </c>
      <c r="D1278" s="125" t="str">
        <f t="shared" si="137"/>
        <v>LIC340</v>
      </c>
      <c r="E1278" s="125" t="str">
        <f t="shared" si="138"/>
        <v>LIC340</v>
      </c>
      <c r="F1278" s="158" t="str">
        <f>+VLOOKUP(H1278,'code mapping'!A:C,3,0)</f>
        <v>LIC34</v>
      </c>
      <c r="G1278" s="127" t="s">
        <v>453</v>
      </c>
      <c r="H1278" s="127" t="s">
        <v>623</v>
      </c>
      <c r="I1278" s="127" t="s">
        <v>624</v>
      </c>
      <c r="J1278" s="128">
        <v>303000</v>
      </c>
      <c r="K1278" s="127" t="s">
        <v>516</v>
      </c>
      <c r="L1278" s="151">
        <v>390000</v>
      </c>
      <c r="M1278" s="128">
        <v>0</v>
      </c>
      <c r="N1278" s="127" t="s">
        <v>521</v>
      </c>
      <c r="O1278" s="127" t="s">
        <v>457</v>
      </c>
      <c r="P1278" s="128">
        <v>0</v>
      </c>
      <c r="Q1278" s="128">
        <v>820339980.27999997</v>
      </c>
      <c r="R1278" s="128">
        <v>0</v>
      </c>
      <c r="S1278" s="128">
        <v>0</v>
      </c>
      <c r="T1278" s="128">
        <v>0</v>
      </c>
      <c r="U1278" s="128">
        <v>820339980.27999997</v>
      </c>
      <c r="V1278" s="128">
        <v>0</v>
      </c>
      <c r="W1278" s="128">
        <v>820339980.27999997</v>
      </c>
      <c r="X1278" s="128">
        <v>0</v>
      </c>
      <c r="Y1278" s="128">
        <v>0</v>
      </c>
      <c r="Z1278" s="128">
        <v>0</v>
      </c>
      <c r="AA1278" s="128">
        <v>820339980.27999997</v>
      </c>
      <c r="AB1278" s="126">
        <f t="shared" si="139"/>
        <v>-82.033998027999999</v>
      </c>
      <c r="AC1278" s="122" t="s">
        <v>1838</v>
      </c>
      <c r="AD1278" s="123">
        <f t="shared" si="135"/>
        <v>1983.9723217250009</v>
      </c>
    </row>
    <row r="1279" spans="1:30" ht="12.75" hidden="1" customHeight="1">
      <c r="A1279" s="125" t="str">
        <f t="shared" si="136"/>
        <v>LIC34R/L G/P - Treasury Bills</v>
      </c>
      <c r="B1279" s="125">
        <f>+IFERROR(VLOOKUP(L1279,'TB mapping'!A:D,4,0),0)</f>
        <v>0</v>
      </c>
      <c r="C1279" s="125">
        <f>+IFERROR(VLOOKUP(L1279,'TB mapping'!A:C,3,0),0)</f>
        <v>5.3</v>
      </c>
      <c r="D1279" s="125" t="str">
        <f t="shared" si="137"/>
        <v>LIC340</v>
      </c>
      <c r="E1279" s="125" t="str">
        <f t="shared" si="138"/>
        <v>LIC345.3</v>
      </c>
      <c r="F1279" s="158" t="str">
        <f>+VLOOKUP(H1279,'code mapping'!A:C,3,0)</f>
        <v>LIC34</v>
      </c>
      <c r="G1279" s="127" t="s">
        <v>453</v>
      </c>
      <c r="H1279" s="127" t="s">
        <v>623</v>
      </c>
      <c r="I1279" s="127" t="s">
        <v>624</v>
      </c>
      <c r="J1279" s="128">
        <v>410000</v>
      </c>
      <c r="K1279" s="127" t="s">
        <v>522</v>
      </c>
      <c r="L1279" s="151">
        <v>412110</v>
      </c>
      <c r="M1279" s="128">
        <v>0</v>
      </c>
      <c r="N1279" s="127" t="s">
        <v>630</v>
      </c>
      <c r="O1279" s="127" t="s">
        <v>457</v>
      </c>
      <c r="P1279" s="128">
        <v>0</v>
      </c>
      <c r="Q1279" s="128">
        <v>72058.34</v>
      </c>
      <c r="R1279" s="128">
        <v>0</v>
      </c>
      <c r="S1279" s="128">
        <v>0</v>
      </c>
      <c r="T1279" s="128">
        <v>0</v>
      </c>
      <c r="U1279" s="128">
        <v>72058.34</v>
      </c>
      <c r="V1279" s="128">
        <v>0</v>
      </c>
      <c r="W1279" s="128">
        <v>72058.34</v>
      </c>
      <c r="X1279" s="128">
        <v>0</v>
      </c>
      <c r="Y1279" s="128">
        <v>0</v>
      </c>
      <c r="Z1279" s="128">
        <v>0</v>
      </c>
      <c r="AA1279" s="128">
        <v>72058.34</v>
      </c>
      <c r="AB1279" s="126">
        <f t="shared" si="139"/>
        <v>-7.2058339999999995E-3</v>
      </c>
      <c r="AC1279" s="122" t="s">
        <v>1838</v>
      </c>
      <c r="AD1279" s="123">
        <f t="shared" ref="AD1279:AD1284" si="140">SUMIF(E:E,E1279,AB:AB)</f>
        <v>1.1272486220000002</v>
      </c>
    </row>
    <row r="1280" spans="1:30" ht="12.75" hidden="1" customHeight="1">
      <c r="A1280" s="125" t="str">
        <f t="shared" si="136"/>
        <v>LIC34R/L G/P - Government Bonds</v>
      </c>
      <c r="B1280" s="125">
        <f>+IFERROR(VLOOKUP(L1280,'TB mapping'!A:D,4,0),0)</f>
        <v>0</v>
      </c>
      <c r="C1280" s="125">
        <f>+IFERROR(VLOOKUP(L1280,'TB mapping'!A:C,3,0),0)</f>
        <v>5.3</v>
      </c>
      <c r="D1280" s="125" t="str">
        <f t="shared" si="137"/>
        <v>LIC340</v>
      </c>
      <c r="E1280" s="125" t="str">
        <f t="shared" si="138"/>
        <v>LIC345.3</v>
      </c>
      <c r="F1280" s="158" t="str">
        <f>+VLOOKUP(H1280,'code mapping'!A:C,3,0)</f>
        <v>LIC34</v>
      </c>
      <c r="G1280" s="127" t="s">
        <v>453</v>
      </c>
      <c r="H1280" s="127" t="s">
        <v>623</v>
      </c>
      <c r="I1280" s="127" t="s">
        <v>624</v>
      </c>
      <c r="J1280" s="128">
        <v>410000</v>
      </c>
      <c r="K1280" s="127" t="s">
        <v>522</v>
      </c>
      <c r="L1280" s="151">
        <v>412130</v>
      </c>
      <c r="M1280" s="128">
        <v>0</v>
      </c>
      <c r="N1280" s="127" t="s">
        <v>524</v>
      </c>
      <c r="O1280" s="127" t="s">
        <v>457</v>
      </c>
      <c r="P1280" s="128">
        <v>0</v>
      </c>
      <c r="Q1280" s="128">
        <v>31122754.59</v>
      </c>
      <c r="R1280" s="128">
        <v>0</v>
      </c>
      <c r="S1280" s="128">
        <v>0</v>
      </c>
      <c r="T1280" s="128">
        <v>0</v>
      </c>
      <c r="U1280" s="128">
        <v>31122754.59</v>
      </c>
      <c r="V1280" s="128">
        <v>0</v>
      </c>
      <c r="W1280" s="128">
        <v>31122754.59</v>
      </c>
      <c r="X1280" s="128">
        <v>0</v>
      </c>
      <c r="Y1280" s="128">
        <v>0</v>
      </c>
      <c r="Z1280" s="128">
        <v>0</v>
      </c>
      <c r="AA1280" s="128">
        <v>31122754.59</v>
      </c>
      <c r="AB1280" s="126">
        <f t="shared" si="139"/>
        <v>-3.1122754590000001</v>
      </c>
      <c r="AC1280" s="122" t="s">
        <v>1838</v>
      </c>
      <c r="AD1280" s="123">
        <f t="shared" si="140"/>
        <v>1.1272486220000002</v>
      </c>
    </row>
    <row r="1281" spans="1:30" ht="12.75" hidden="1" customHeight="1">
      <c r="A1281" s="125" t="str">
        <f t="shared" si="136"/>
        <v>LIC34R/L G/P - SDLs</v>
      </c>
      <c r="B1281" s="125">
        <f>+IFERROR(VLOOKUP(L1281,'TB mapping'!A:D,4,0),0)</f>
        <v>0</v>
      </c>
      <c r="C1281" s="125">
        <f>+IFERROR(VLOOKUP(L1281,'TB mapping'!A:C,3,0),0)</f>
        <v>5.3</v>
      </c>
      <c r="D1281" s="125" t="str">
        <f t="shared" si="137"/>
        <v>LIC340</v>
      </c>
      <c r="E1281" s="125" t="str">
        <f t="shared" si="138"/>
        <v>LIC345.3</v>
      </c>
      <c r="F1281" s="158" t="str">
        <f>+VLOOKUP(H1281,'code mapping'!A:C,3,0)</f>
        <v>LIC34</v>
      </c>
      <c r="G1281" s="127" t="s">
        <v>453</v>
      </c>
      <c r="H1281" s="127" t="s">
        <v>623</v>
      </c>
      <c r="I1281" s="127" t="s">
        <v>624</v>
      </c>
      <c r="J1281" s="128">
        <v>410000</v>
      </c>
      <c r="K1281" s="127" t="s">
        <v>522</v>
      </c>
      <c r="L1281" s="151">
        <v>412135</v>
      </c>
      <c r="M1281" s="128">
        <v>0</v>
      </c>
      <c r="N1281" s="127" t="s">
        <v>525</v>
      </c>
      <c r="O1281" s="127" t="s">
        <v>457</v>
      </c>
      <c r="P1281" s="128">
        <v>0</v>
      </c>
      <c r="Q1281" s="128">
        <v>885000</v>
      </c>
      <c r="R1281" s="128">
        <v>0</v>
      </c>
      <c r="S1281" s="128">
        <v>0</v>
      </c>
      <c r="T1281" s="128">
        <v>0</v>
      </c>
      <c r="U1281" s="128">
        <v>885000</v>
      </c>
      <c r="V1281" s="128">
        <v>0</v>
      </c>
      <c r="W1281" s="128">
        <v>885000</v>
      </c>
      <c r="X1281" s="128">
        <v>0</v>
      </c>
      <c r="Y1281" s="128">
        <v>0</v>
      </c>
      <c r="Z1281" s="128">
        <v>0</v>
      </c>
      <c r="AA1281" s="128">
        <v>885000</v>
      </c>
      <c r="AB1281" s="126">
        <f t="shared" si="139"/>
        <v>-8.8499999999999995E-2</v>
      </c>
      <c r="AC1281" s="122" t="s">
        <v>1838</v>
      </c>
      <c r="AD1281" s="123">
        <f t="shared" si="140"/>
        <v>1.1272486220000002</v>
      </c>
    </row>
    <row r="1282" spans="1:30" ht="12.75" hidden="1" customHeight="1">
      <c r="A1282" s="125" t="str">
        <f t="shared" si="136"/>
        <v>LIC34Profit on Sale-Mutual Fd Units</v>
      </c>
      <c r="B1282" s="125">
        <f>+IFERROR(VLOOKUP(L1282,'TB mapping'!A:D,4,0),0)</f>
        <v>0</v>
      </c>
      <c r="C1282" s="125">
        <f>+IFERROR(VLOOKUP(L1282,'TB mapping'!A:C,3,0),0)</f>
        <v>5.3</v>
      </c>
      <c r="D1282" s="125" t="str">
        <f t="shared" si="137"/>
        <v>LIC340</v>
      </c>
      <c r="E1282" s="125" t="str">
        <f t="shared" si="138"/>
        <v>LIC345.3</v>
      </c>
      <c r="F1282" s="158" t="str">
        <f>+VLOOKUP(H1282,'code mapping'!A:C,3,0)</f>
        <v>LIC34</v>
      </c>
      <c r="G1282" s="127" t="s">
        <v>453</v>
      </c>
      <c r="H1282" s="127" t="s">
        <v>623</v>
      </c>
      <c r="I1282" s="127" t="s">
        <v>624</v>
      </c>
      <c r="J1282" s="128">
        <v>410000</v>
      </c>
      <c r="K1282" s="127" t="s">
        <v>522</v>
      </c>
      <c r="L1282" s="151">
        <v>415102</v>
      </c>
      <c r="M1282" s="128">
        <v>0</v>
      </c>
      <c r="N1282" s="127" t="s">
        <v>526</v>
      </c>
      <c r="O1282" s="127" t="s">
        <v>457</v>
      </c>
      <c r="P1282" s="128">
        <v>0</v>
      </c>
      <c r="Q1282" s="128">
        <v>583755.94000000006</v>
      </c>
      <c r="R1282" s="128">
        <v>0</v>
      </c>
      <c r="S1282" s="128">
        <v>0</v>
      </c>
      <c r="T1282" s="128">
        <v>0</v>
      </c>
      <c r="U1282" s="128">
        <v>583755.94000000006</v>
      </c>
      <c r="V1282" s="128">
        <v>0</v>
      </c>
      <c r="W1282" s="128">
        <v>583755.94000000006</v>
      </c>
      <c r="X1282" s="128">
        <v>0</v>
      </c>
      <c r="Y1282" s="128">
        <v>0</v>
      </c>
      <c r="Z1282" s="128">
        <v>0</v>
      </c>
      <c r="AA1282" s="128">
        <v>583755.94000000006</v>
      </c>
      <c r="AB1282" s="126">
        <f t="shared" si="139"/>
        <v>-5.8375594000000003E-2</v>
      </c>
      <c r="AC1282" s="122" t="s">
        <v>1838</v>
      </c>
      <c r="AD1282" s="123">
        <f t="shared" si="140"/>
        <v>1.1272486220000002</v>
      </c>
    </row>
    <row r="1283" spans="1:30" ht="12.75" hidden="1" customHeight="1">
      <c r="A1283" s="125" t="str">
        <f t="shared" si="136"/>
        <v>LIC34R/L Gain - Inter Sch Govt Bond</v>
      </c>
      <c r="B1283" s="125">
        <f>+IFERROR(VLOOKUP(L1283,'TB mapping'!A:D,4,0),0)</f>
        <v>0</v>
      </c>
      <c r="C1283" s="125">
        <f>+IFERROR(VLOOKUP(L1283,'TB mapping'!A:C,3,0),0)</f>
        <v>5.4</v>
      </c>
      <c r="D1283" s="125" t="str">
        <f t="shared" si="137"/>
        <v>LIC340</v>
      </c>
      <c r="E1283" s="125" t="str">
        <f t="shared" si="138"/>
        <v>LIC345.4</v>
      </c>
      <c r="F1283" s="158" t="str">
        <f>+VLOOKUP(H1283,'code mapping'!A:C,3,0)</f>
        <v>LIC34</v>
      </c>
      <c r="G1283" s="127" t="s">
        <v>453</v>
      </c>
      <c r="H1283" s="127" t="s">
        <v>623</v>
      </c>
      <c r="I1283" s="127" t="s">
        <v>624</v>
      </c>
      <c r="J1283" s="128">
        <v>410000</v>
      </c>
      <c r="K1283" s="127" t="s">
        <v>522</v>
      </c>
      <c r="L1283" s="151">
        <v>427304</v>
      </c>
      <c r="M1283" s="128">
        <v>0</v>
      </c>
      <c r="N1283" s="127" t="s">
        <v>527</v>
      </c>
      <c r="O1283" s="127" t="s">
        <v>457</v>
      </c>
      <c r="P1283" s="128">
        <v>0</v>
      </c>
      <c r="Q1283" s="128">
        <v>152014.38</v>
      </c>
      <c r="R1283" s="128">
        <v>0</v>
      </c>
      <c r="S1283" s="128">
        <v>0</v>
      </c>
      <c r="T1283" s="128">
        <v>0</v>
      </c>
      <c r="U1283" s="128">
        <v>152014.38</v>
      </c>
      <c r="V1283" s="128">
        <v>0</v>
      </c>
      <c r="W1283" s="128">
        <v>152014.38</v>
      </c>
      <c r="X1283" s="128">
        <v>0</v>
      </c>
      <c r="Y1283" s="128">
        <v>0</v>
      </c>
      <c r="Z1283" s="128">
        <v>0</v>
      </c>
      <c r="AA1283" s="128">
        <v>152014.38</v>
      </c>
      <c r="AB1283" s="126">
        <f t="shared" si="139"/>
        <v>-1.5201438000000001E-2</v>
      </c>
      <c r="AC1283" s="122" t="s">
        <v>1838</v>
      </c>
      <c r="AD1283" s="123">
        <f t="shared" si="140"/>
        <v>0.55178297200000004</v>
      </c>
    </row>
    <row r="1284" spans="1:30" ht="12.75" hidden="1" customHeight="1">
      <c r="A1284" s="125" t="str">
        <f t="shared" si="136"/>
        <v>LIC34R/L Gain - Inter SchemeT Bills</v>
      </c>
      <c r="B1284" s="125">
        <f>+IFERROR(VLOOKUP(L1284,'TB mapping'!A:D,4,0),0)</f>
        <v>0</v>
      </c>
      <c r="C1284" s="125">
        <f>+IFERROR(VLOOKUP(L1284,'TB mapping'!A:C,3,0),0)</f>
        <v>5.4</v>
      </c>
      <c r="D1284" s="125" t="str">
        <f t="shared" si="137"/>
        <v>LIC340</v>
      </c>
      <c r="E1284" s="125" t="str">
        <f t="shared" si="138"/>
        <v>LIC345.4</v>
      </c>
      <c r="F1284" s="158" t="str">
        <f>+VLOOKUP(H1284,'code mapping'!A:C,3,0)</f>
        <v>LIC34</v>
      </c>
      <c r="G1284" s="127" t="s">
        <v>453</v>
      </c>
      <c r="H1284" s="127" t="s">
        <v>623</v>
      </c>
      <c r="I1284" s="127" t="s">
        <v>624</v>
      </c>
      <c r="J1284" s="128">
        <v>410000</v>
      </c>
      <c r="K1284" s="127" t="s">
        <v>522</v>
      </c>
      <c r="L1284" s="151">
        <v>427313</v>
      </c>
      <c r="M1284" s="128">
        <v>0</v>
      </c>
      <c r="N1284" s="127" t="s">
        <v>631</v>
      </c>
      <c r="O1284" s="127" t="s">
        <v>457</v>
      </c>
      <c r="P1284" s="128">
        <v>0</v>
      </c>
      <c r="Q1284" s="128">
        <v>2655.9</v>
      </c>
      <c r="R1284" s="128">
        <v>0</v>
      </c>
      <c r="S1284" s="128">
        <v>0</v>
      </c>
      <c r="T1284" s="128">
        <v>0</v>
      </c>
      <c r="U1284" s="128">
        <v>2655.9</v>
      </c>
      <c r="V1284" s="128">
        <v>0</v>
      </c>
      <c r="W1284" s="128">
        <v>2655.9</v>
      </c>
      <c r="X1284" s="128">
        <v>0</v>
      </c>
      <c r="Y1284" s="128">
        <v>0</v>
      </c>
      <c r="Z1284" s="128">
        <v>0</v>
      </c>
      <c r="AA1284" s="128">
        <v>2655.9</v>
      </c>
      <c r="AB1284" s="126">
        <f t="shared" si="139"/>
        <v>-2.6559000000000001E-4</v>
      </c>
      <c r="AC1284" s="122" t="s">
        <v>1838</v>
      </c>
      <c r="AD1284" s="123">
        <f t="shared" si="140"/>
        <v>0.55178297200000004</v>
      </c>
    </row>
    <row r="1285" spans="1:30" ht="12.75" hidden="1" customHeight="1">
      <c r="A1285" s="125" t="str">
        <f t="shared" si="136"/>
        <v>LIC34UR/L G/P - Government Bonds</v>
      </c>
      <c r="B1285" s="125">
        <f>+IFERROR(VLOOKUP(L1285,'TB mapping'!A:D,4,0),0)</f>
        <v>0</v>
      </c>
      <c r="C1285" s="125" t="str">
        <f>+IFERROR(VLOOKUP(L1285,'TB mapping'!A:C,3,0),0)</f>
        <v>Ignore</v>
      </c>
      <c r="D1285" s="125" t="str">
        <f t="shared" si="137"/>
        <v>LIC340</v>
      </c>
      <c r="E1285" s="125" t="str">
        <f t="shared" si="138"/>
        <v>LIC34Ignore</v>
      </c>
      <c r="F1285" s="158" t="str">
        <f>+VLOOKUP(H1285,'code mapping'!A:C,3,0)</f>
        <v>LIC34</v>
      </c>
      <c r="G1285" s="127" t="s">
        <v>453</v>
      </c>
      <c r="H1285" s="127" t="s">
        <v>623</v>
      </c>
      <c r="I1285" s="127" t="s">
        <v>624</v>
      </c>
      <c r="J1285" s="128">
        <v>430000</v>
      </c>
      <c r="K1285" s="127" t="s">
        <v>528</v>
      </c>
      <c r="L1285" s="151">
        <v>432130</v>
      </c>
      <c r="M1285" s="128">
        <v>0</v>
      </c>
      <c r="N1285" s="127" t="s">
        <v>530</v>
      </c>
      <c r="O1285" s="127" t="s">
        <v>457</v>
      </c>
      <c r="P1285" s="128">
        <v>0</v>
      </c>
      <c r="Q1285" s="128">
        <v>3032868.34</v>
      </c>
      <c r="R1285" s="128">
        <v>0</v>
      </c>
      <c r="S1285" s="128">
        <v>0</v>
      </c>
      <c r="T1285" s="128">
        <v>0</v>
      </c>
      <c r="U1285" s="128">
        <v>3032868.34</v>
      </c>
      <c r="V1285" s="128">
        <v>0</v>
      </c>
      <c r="W1285" s="128">
        <v>3032868.34</v>
      </c>
      <c r="X1285" s="128">
        <v>0</v>
      </c>
      <c r="Y1285" s="128">
        <v>0</v>
      </c>
      <c r="Z1285" s="128">
        <v>0</v>
      </c>
      <c r="AA1285" s="128">
        <v>3032868.34</v>
      </c>
      <c r="AB1285" s="126">
        <f t="shared" si="139"/>
        <v>-0.30328683400000001</v>
      </c>
      <c r="AC1285" s="122" t="s">
        <v>1838</v>
      </c>
      <c r="AD1285" s="123">
        <f>SUMIF(C:C,C1285,AB:AB)</f>
        <v>-291.7660984179999</v>
      </c>
    </row>
    <row r="1286" spans="1:30" ht="12.75" hidden="1" customHeight="1">
      <c r="A1286" s="125" t="str">
        <f t="shared" si="136"/>
        <v>LIC34Amort Income -Treasury Bills</v>
      </c>
      <c r="B1286" s="125">
        <f>+IFERROR(VLOOKUP(L1286,'TB mapping'!A:D,4,0),0)</f>
        <v>0</v>
      </c>
      <c r="C1286" s="125">
        <f>+IFERROR(VLOOKUP(L1286,'TB mapping'!A:C,3,0),0)</f>
        <v>5.2</v>
      </c>
      <c r="D1286" s="125" t="str">
        <f t="shared" si="137"/>
        <v>LIC340</v>
      </c>
      <c r="E1286" s="125" t="str">
        <f t="shared" si="138"/>
        <v>LIC345.2</v>
      </c>
      <c r="F1286" s="158" t="str">
        <f>+VLOOKUP(H1286,'code mapping'!A:C,3,0)</f>
        <v>LIC34</v>
      </c>
      <c r="G1286" s="127" t="s">
        <v>453</v>
      </c>
      <c r="H1286" s="127" t="s">
        <v>623</v>
      </c>
      <c r="I1286" s="127" t="s">
        <v>624</v>
      </c>
      <c r="J1286" s="128">
        <v>450000</v>
      </c>
      <c r="K1286" s="127" t="s">
        <v>532</v>
      </c>
      <c r="L1286" s="151">
        <v>452110</v>
      </c>
      <c r="M1286" s="128">
        <v>0</v>
      </c>
      <c r="N1286" s="127" t="s">
        <v>632</v>
      </c>
      <c r="O1286" s="127" t="s">
        <v>457</v>
      </c>
      <c r="P1286" s="128">
        <v>0</v>
      </c>
      <c r="Q1286" s="128">
        <v>796485.76</v>
      </c>
      <c r="R1286" s="128">
        <v>0</v>
      </c>
      <c r="S1286" s="128">
        <v>0</v>
      </c>
      <c r="T1286" s="128">
        <v>0</v>
      </c>
      <c r="U1286" s="128">
        <v>796485.76</v>
      </c>
      <c r="V1286" s="128">
        <v>0</v>
      </c>
      <c r="W1286" s="128">
        <v>796485.76</v>
      </c>
      <c r="X1286" s="128">
        <v>0</v>
      </c>
      <c r="Y1286" s="128">
        <v>0</v>
      </c>
      <c r="Z1286" s="128">
        <v>0</v>
      </c>
      <c r="AA1286" s="128">
        <v>796485.76</v>
      </c>
      <c r="AB1286" s="126">
        <f t="shared" si="139"/>
        <v>-7.9648575999999999E-2</v>
      </c>
      <c r="AC1286" s="122" t="s">
        <v>1838</v>
      </c>
      <c r="AD1286" s="123">
        <f t="shared" ref="AD1286:AD1317" si="141">SUMIF(E:E,E1286,AB:AB)</f>
        <v>-6.3063623470000003</v>
      </c>
    </row>
    <row r="1287" spans="1:30" ht="12.75" hidden="1" customHeight="1">
      <c r="A1287" s="125" t="str">
        <f t="shared" si="136"/>
        <v>LIC34Interest Income - CCIL Margin</v>
      </c>
      <c r="B1287" s="125">
        <f>+IFERROR(VLOOKUP(L1287,'TB mapping'!A:D,4,0),0)</f>
        <v>0</v>
      </c>
      <c r="C1287" s="125">
        <f>+IFERROR(VLOOKUP(L1287,'TB mapping'!A:C,3,0),0)</f>
        <v>5.2</v>
      </c>
      <c r="D1287" s="125" t="str">
        <f t="shared" si="137"/>
        <v>LIC340</v>
      </c>
      <c r="E1287" s="125" t="str">
        <f t="shared" si="138"/>
        <v>LIC345.2</v>
      </c>
      <c r="F1287" s="158" t="str">
        <f>+VLOOKUP(H1287,'code mapping'!A:C,3,0)</f>
        <v>LIC34</v>
      </c>
      <c r="G1287" s="127" t="s">
        <v>453</v>
      </c>
      <c r="H1287" s="127" t="s">
        <v>623</v>
      </c>
      <c r="I1287" s="127" t="s">
        <v>624</v>
      </c>
      <c r="J1287" s="128">
        <v>450000</v>
      </c>
      <c r="K1287" s="127" t="s">
        <v>532</v>
      </c>
      <c r="L1287" s="151">
        <v>452111</v>
      </c>
      <c r="M1287" s="128">
        <v>0</v>
      </c>
      <c r="N1287" s="127" t="s">
        <v>533</v>
      </c>
      <c r="O1287" s="127" t="s">
        <v>457</v>
      </c>
      <c r="P1287" s="128">
        <v>0</v>
      </c>
      <c r="Q1287" s="128">
        <v>1920.15</v>
      </c>
      <c r="R1287" s="128">
        <v>0</v>
      </c>
      <c r="S1287" s="128">
        <v>0</v>
      </c>
      <c r="T1287" s="128">
        <v>0</v>
      </c>
      <c r="U1287" s="128">
        <v>1920.15</v>
      </c>
      <c r="V1287" s="128">
        <v>0</v>
      </c>
      <c r="W1287" s="128">
        <v>1920.15</v>
      </c>
      <c r="X1287" s="128">
        <v>0</v>
      </c>
      <c r="Y1287" s="128">
        <v>0</v>
      </c>
      <c r="Z1287" s="128">
        <v>0</v>
      </c>
      <c r="AA1287" s="128">
        <v>1920.15</v>
      </c>
      <c r="AB1287" s="126">
        <f t="shared" si="139"/>
        <v>-1.92015E-4</v>
      </c>
      <c r="AC1287" s="122" t="s">
        <v>1838</v>
      </c>
      <c r="AD1287" s="123">
        <f t="shared" si="141"/>
        <v>-6.3063623470000003</v>
      </c>
    </row>
    <row r="1288" spans="1:30" ht="12.75" hidden="1" customHeight="1">
      <c r="A1288" s="125" t="str">
        <f t="shared" si="136"/>
        <v>LIC34Int Income - Government Bonds</v>
      </c>
      <c r="B1288" s="125">
        <f>+IFERROR(VLOOKUP(L1288,'TB mapping'!A:D,4,0),0)</f>
        <v>0</v>
      </c>
      <c r="C1288" s="125">
        <f>+IFERROR(VLOOKUP(L1288,'TB mapping'!A:C,3,0),0)</f>
        <v>5.2</v>
      </c>
      <c r="D1288" s="125" t="str">
        <f t="shared" si="137"/>
        <v>LIC340</v>
      </c>
      <c r="E1288" s="125" t="str">
        <f t="shared" si="138"/>
        <v>LIC345.2</v>
      </c>
      <c r="F1288" s="158" t="str">
        <f>+VLOOKUP(H1288,'code mapping'!A:C,3,0)</f>
        <v>LIC34</v>
      </c>
      <c r="G1288" s="127" t="s">
        <v>453</v>
      </c>
      <c r="H1288" s="127" t="s">
        <v>623</v>
      </c>
      <c r="I1288" s="127" t="s">
        <v>624</v>
      </c>
      <c r="J1288" s="128">
        <v>450000</v>
      </c>
      <c r="K1288" s="127" t="s">
        <v>532</v>
      </c>
      <c r="L1288" s="151">
        <v>452130</v>
      </c>
      <c r="M1288" s="128">
        <v>0</v>
      </c>
      <c r="N1288" s="127" t="s">
        <v>535</v>
      </c>
      <c r="O1288" s="127" t="s">
        <v>457</v>
      </c>
      <c r="P1288" s="128">
        <v>0</v>
      </c>
      <c r="Q1288" s="128">
        <v>42711161.409999996</v>
      </c>
      <c r="R1288" s="128">
        <v>0</v>
      </c>
      <c r="S1288" s="128">
        <v>0</v>
      </c>
      <c r="T1288" s="128">
        <v>0</v>
      </c>
      <c r="U1288" s="128">
        <v>42711161.409999996</v>
      </c>
      <c r="V1288" s="128">
        <v>0</v>
      </c>
      <c r="W1288" s="128">
        <v>42711161.409999996</v>
      </c>
      <c r="X1288" s="128">
        <v>0</v>
      </c>
      <c r="Y1288" s="128">
        <v>0</v>
      </c>
      <c r="Z1288" s="128">
        <v>0</v>
      </c>
      <c r="AA1288" s="128">
        <v>42711161.409999996</v>
      </c>
      <c r="AB1288" s="126">
        <f t="shared" si="139"/>
        <v>-4.2711161409999994</v>
      </c>
      <c r="AC1288" s="122" t="s">
        <v>1838</v>
      </c>
      <c r="AD1288" s="123">
        <f t="shared" si="141"/>
        <v>-6.3063623470000003</v>
      </c>
    </row>
    <row r="1289" spans="1:30" ht="12.75" hidden="1" customHeight="1">
      <c r="A1289" s="125" t="str">
        <f t="shared" si="136"/>
        <v>LIC34Int Income - State Dev Loans</v>
      </c>
      <c r="B1289" s="125">
        <f>+IFERROR(VLOOKUP(L1289,'TB mapping'!A:D,4,0),0)</f>
        <v>0</v>
      </c>
      <c r="C1289" s="125">
        <f>+IFERROR(VLOOKUP(L1289,'TB mapping'!A:C,3,0),0)</f>
        <v>5.2</v>
      </c>
      <c r="D1289" s="125" t="str">
        <f t="shared" si="137"/>
        <v>LIC340</v>
      </c>
      <c r="E1289" s="125" t="str">
        <f t="shared" si="138"/>
        <v>LIC345.2</v>
      </c>
      <c r="F1289" s="158" t="str">
        <f>+VLOOKUP(H1289,'code mapping'!A:C,3,0)</f>
        <v>LIC34</v>
      </c>
      <c r="G1289" s="127" t="s">
        <v>453</v>
      </c>
      <c r="H1289" s="127" t="s">
        <v>623</v>
      </c>
      <c r="I1289" s="127" t="s">
        <v>624</v>
      </c>
      <c r="J1289" s="128">
        <v>450000</v>
      </c>
      <c r="K1289" s="127" t="s">
        <v>532</v>
      </c>
      <c r="L1289" s="151">
        <v>452135</v>
      </c>
      <c r="M1289" s="128">
        <v>0</v>
      </c>
      <c r="N1289" s="127" t="s">
        <v>536</v>
      </c>
      <c r="O1289" s="127" t="s">
        <v>457</v>
      </c>
      <c r="P1289" s="128">
        <v>0</v>
      </c>
      <c r="Q1289" s="128">
        <v>9809000</v>
      </c>
      <c r="R1289" s="128">
        <v>0</v>
      </c>
      <c r="S1289" s="128">
        <v>0</v>
      </c>
      <c r="T1289" s="128">
        <v>0</v>
      </c>
      <c r="U1289" s="128">
        <v>9809000</v>
      </c>
      <c r="V1289" s="128">
        <v>0</v>
      </c>
      <c r="W1289" s="128">
        <v>9809000</v>
      </c>
      <c r="X1289" s="128">
        <v>0</v>
      </c>
      <c r="Y1289" s="128">
        <v>0</v>
      </c>
      <c r="Z1289" s="128">
        <v>0</v>
      </c>
      <c r="AA1289" s="128">
        <v>9809000</v>
      </c>
      <c r="AB1289" s="126">
        <f t="shared" si="139"/>
        <v>-0.98089999999999999</v>
      </c>
      <c r="AC1289" s="122" t="s">
        <v>1838</v>
      </c>
      <c r="AD1289" s="123">
        <f t="shared" si="141"/>
        <v>-6.3063623470000003</v>
      </c>
    </row>
    <row r="1290" spans="1:30" ht="12.75" hidden="1" customHeight="1">
      <c r="A1290" s="125" t="str">
        <f t="shared" si="136"/>
        <v>LIC34Amort. Income - CBLO</v>
      </c>
      <c r="B1290" s="125">
        <f>+IFERROR(VLOOKUP(L1290,'TB mapping'!A:D,4,0),0)</f>
        <v>0</v>
      </c>
      <c r="C1290" s="125">
        <f>+IFERROR(VLOOKUP(L1290,'TB mapping'!A:C,3,0),0)</f>
        <v>5.2</v>
      </c>
      <c r="D1290" s="125" t="str">
        <f t="shared" si="137"/>
        <v>LIC340</v>
      </c>
      <c r="E1290" s="125" t="str">
        <f t="shared" si="138"/>
        <v>LIC345.2</v>
      </c>
      <c r="F1290" s="158" t="str">
        <f>+VLOOKUP(H1290,'code mapping'!A:C,3,0)</f>
        <v>LIC34</v>
      </c>
      <c r="G1290" s="127" t="s">
        <v>453</v>
      </c>
      <c r="H1290" s="127" t="s">
        <v>623</v>
      </c>
      <c r="I1290" s="127" t="s">
        <v>624</v>
      </c>
      <c r="J1290" s="128">
        <v>450000</v>
      </c>
      <c r="K1290" s="127" t="s">
        <v>532</v>
      </c>
      <c r="L1290" s="151">
        <v>452228</v>
      </c>
      <c r="M1290" s="128">
        <v>0</v>
      </c>
      <c r="N1290" s="127" t="s">
        <v>537</v>
      </c>
      <c r="O1290" s="127" t="s">
        <v>457</v>
      </c>
      <c r="P1290" s="128">
        <v>0</v>
      </c>
      <c r="Q1290" s="128">
        <v>9163022.3200000003</v>
      </c>
      <c r="R1290" s="128">
        <v>0</v>
      </c>
      <c r="S1290" s="128">
        <v>0</v>
      </c>
      <c r="T1290" s="128">
        <v>0</v>
      </c>
      <c r="U1290" s="128">
        <v>9163022.3200000003</v>
      </c>
      <c r="V1290" s="128">
        <v>0</v>
      </c>
      <c r="W1290" s="128">
        <v>9163022.3200000003</v>
      </c>
      <c r="X1290" s="128">
        <v>0</v>
      </c>
      <c r="Y1290" s="128">
        <v>0</v>
      </c>
      <c r="Z1290" s="128">
        <v>0</v>
      </c>
      <c r="AA1290" s="128">
        <v>9163022.3200000003</v>
      </c>
      <c r="AB1290" s="126">
        <f t="shared" si="139"/>
        <v>-0.91630223200000005</v>
      </c>
      <c r="AC1290" s="122" t="s">
        <v>1838</v>
      </c>
      <c r="AD1290" s="123">
        <f t="shared" si="141"/>
        <v>-6.3063623470000003</v>
      </c>
    </row>
    <row r="1291" spans="1:30" ht="12.75" hidden="1" customHeight="1">
      <c r="A1291" s="125" t="str">
        <f t="shared" si="136"/>
        <v>LIC34Int Income - Repo Deposits</v>
      </c>
      <c r="B1291" s="125">
        <f>+IFERROR(VLOOKUP(L1291,'TB mapping'!A:D,4,0),0)</f>
        <v>0</v>
      </c>
      <c r="C1291" s="125">
        <f>+IFERROR(VLOOKUP(L1291,'TB mapping'!A:C,3,0),0)</f>
        <v>5.2</v>
      </c>
      <c r="D1291" s="125" t="str">
        <f t="shared" si="137"/>
        <v>LIC340</v>
      </c>
      <c r="E1291" s="125" t="str">
        <f t="shared" si="138"/>
        <v>LIC345.2</v>
      </c>
      <c r="F1291" s="158" t="str">
        <f>+VLOOKUP(H1291,'code mapping'!A:C,3,0)</f>
        <v>LIC34</v>
      </c>
      <c r="G1291" s="127" t="s">
        <v>453</v>
      </c>
      <c r="H1291" s="127" t="s">
        <v>623</v>
      </c>
      <c r="I1291" s="127" t="s">
        <v>624</v>
      </c>
      <c r="J1291" s="128">
        <v>450000</v>
      </c>
      <c r="K1291" s="127" t="s">
        <v>532</v>
      </c>
      <c r="L1291" s="151">
        <v>452230</v>
      </c>
      <c r="M1291" s="128">
        <v>0</v>
      </c>
      <c r="N1291" s="127" t="s">
        <v>538</v>
      </c>
      <c r="O1291" s="127" t="s">
        <v>457</v>
      </c>
      <c r="P1291" s="128">
        <v>0</v>
      </c>
      <c r="Q1291" s="128">
        <v>582033.82999999996</v>
      </c>
      <c r="R1291" s="128">
        <v>0</v>
      </c>
      <c r="S1291" s="128">
        <v>0</v>
      </c>
      <c r="T1291" s="128">
        <v>0</v>
      </c>
      <c r="U1291" s="128">
        <v>582033.82999999996</v>
      </c>
      <c r="V1291" s="128">
        <v>0</v>
      </c>
      <c r="W1291" s="128">
        <v>582033.82999999996</v>
      </c>
      <c r="X1291" s="128">
        <v>0</v>
      </c>
      <c r="Y1291" s="128">
        <v>0</v>
      </c>
      <c r="Z1291" s="128">
        <v>0</v>
      </c>
      <c r="AA1291" s="128">
        <v>582033.82999999996</v>
      </c>
      <c r="AB1291" s="126">
        <f t="shared" si="139"/>
        <v>-5.8203382999999997E-2</v>
      </c>
      <c r="AC1291" s="122" t="s">
        <v>1838</v>
      </c>
      <c r="AD1291" s="123">
        <f t="shared" si="141"/>
        <v>-6.3063623470000003</v>
      </c>
    </row>
    <row r="1292" spans="1:30" ht="12.75" hidden="1" customHeight="1">
      <c r="A1292" s="125" t="str">
        <f t="shared" si="136"/>
        <v>LIC34Load Income</v>
      </c>
      <c r="B1292" s="125">
        <f>+IFERROR(VLOOKUP(L1292,'TB mapping'!A:D,4,0),0)</f>
        <v>0</v>
      </c>
      <c r="C1292" s="125">
        <f>+IFERROR(VLOOKUP(L1292,'TB mapping'!A:C,3,0),0)</f>
        <v>5.5</v>
      </c>
      <c r="D1292" s="125" t="str">
        <f t="shared" si="137"/>
        <v>LIC340</v>
      </c>
      <c r="E1292" s="125" t="str">
        <f t="shared" si="138"/>
        <v>LIC345.5</v>
      </c>
      <c r="F1292" s="158" t="str">
        <f>+VLOOKUP(H1292,'code mapping'!A:C,3,0)</f>
        <v>LIC34</v>
      </c>
      <c r="G1292" s="127" t="s">
        <v>453</v>
      </c>
      <c r="H1292" s="127" t="s">
        <v>623</v>
      </c>
      <c r="I1292" s="127" t="s">
        <v>624</v>
      </c>
      <c r="J1292" s="128">
        <v>460000</v>
      </c>
      <c r="K1292" s="127" t="s">
        <v>539</v>
      </c>
      <c r="L1292" s="151">
        <v>455103</v>
      </c>
      <c r="M1292" s="128">
        <v>0</v>
      </c>
      <c r="N1292" s="127" t="s">
        <v>540</v>
      </c>
      <c r="O1292" s="127" t="s">
        <v>457</v>
      </c>
      <c r="P1292" s="128">
        <v>0</v>
      </c>
      <c r="Q1292" s="128">
        <v>12909.91</v>
      </c>
      <c r="R1292" s="128">
        <v>0</v>
      </c>
      <c r="S1292" s="128">
        <v>0</v>
      </c>
      <c r="T1292" s="128">
        <v>0</v>
      </c>
      <c r="U1292" s="128">
        <v>12909.91</v>
      </c>
      <c r="V1292" s="128">
        <v>0</v>
      </c>
      <c r="W1292" s="128">
        <v>12909.91</v>
      </c>
      <c r="X1292" s="128">
        <v>0</v>
      </c>
      <c r="Y1292" s="128">
        <v>0</v>
      </c>
      <c r="Z1292" s="128">
        <v>0</v>
      </c>
      <c r="AA1292" s="128">
        <v>12909.91</v>
      </c>
      <c r="AB1292" s="126">
        <f t="shared" si="139"/>
        <v>-1.290991E-3</v>
      </c>
      <c r="AC1292" s="122" t="s">
        <v>1838</v>
      </c>
      <c r="AD1292" s="123">
        <f t="shared" si="141"/>
        <v>3.6080777000000001E-2</v>
      </c>
    </row>
    <row r="1293" spans="1:30" ht="12.75" hidden="1" customHeight="1">
      <c r="A1293" s="125" t="str">
        <f t="shared" si="136"/>
        <v>LIC34Other Income</v>
      </c>
      <c r="B1293" s="125">
        <f>+IFERROR(VLOOKUP(L1293,'TB mapping'!A:D,4,0),0)</f>
        <v>0</v>
      </c>
      <c r="C1293" s="125">
        <f>+IFERROR(VLOOKUP(L1293,'TB mapping'!A:C,3,0),0)</f>
        <v>5.5</v>
      </c>
      <c r="D1293" s="125" t="str">
        <f t="shared" si="137"/>
        <v>LIC340</v>
      </c>
      <c r="E1293" s="125" t="str">
        <f t="shared" si="138"/>
        <v>LIC345.5</v>
      </c>
      <c r="F1293" s="158" t="str">
        <f>+VLOOKUP(H1293,'code mapping'!A:C,3,0)</f>
        <v>LIC34</v>
      </c>
      <c r="G1293" s="127" t="s">
        <v>453</v>
      </c>
      <c r="H1293" s="127" t="s">
        <v>623</v>
      </c>
      <c r="I1293" s="127" t="s">
        <v>624</v>
      </c>
      <c r="J1293" s="128">
        <v>460000</v>
      </c>
      <c r="K1293" s="127" t="s">
        <v>539</v>
      </c>
      <c r="L1293" s="151">
        <v>460000</v>
      </c>
      <c r="M1293" s="128">
        <v>0</v>
      </c>
      <c r="N1293" s="127" t="s">
        <v>541</v>
      </c>
      <c r="O1293" s="127" t="s">
        <v>457</v>
      </c>
      <c r="P1293" s="128">
        <v>-373717.68</v>
      </c>
      <c r="Q1293" s="128">
        <v>0</v>
      </c>
      <c r="R1293" s="128">
        <v>0</v>
      </c>
      <c r="S1293" s="128">
        <v>0</v>
      </c>
      <c r="T1293" s="128">
        <v>-373717.68</v>
      </c>
      <c r="U1293" s="128">
        <v>0</v>
      </c>
      <c r="V1293" s="128">
        <v>-373717.68</v>
      </c>
      <c r="W1293" s="128">
        <v>0</v>
      </c>
      <c r="X1293" s="128">
        <v>0</v>
      </c>
      <c r="Y1293" s="128">
        <v>0</v>
      </c>
      <c r="Z1293" s="128">
        <v>-373717.68</v>
      </c>
      <c r="AA1293" s="128">
        <v>0</v>
      </c>
      <c r="AB1293" s="126">
        <f t="shared" si="139"/>
        <v>3.7371768E-2</v>
      </c>
      <c r="AC1293" s="122" t="s">
        <v>1838</v>
      </c>
      <c r="AD1293" s="123">
        <f t="shared" si="141"/>
        <v>3.6080777000000001E-2</v>
      </c>
    </row>
    <row r="1294" spans="1:30" ht="12.75" hidden="1" customHeight="1">
      <c r="A1294" s="125" t="str">
        <f t="shared" si="136"/>
        <v>LIC34Interplan Adjustment</v>
      </c>
      <c r="B1294" s="125">
        <f>+IFERROR(VLOOKUP(L1294,'TB mapping'!A:D,4,0),0)</f>
        <v>0</v>
      </c>
      <c r="C1294" s="125">
        <f>+IFERROR(VLOOKUP(L1294,'TB mapping'!A:C,3,0),0)</f>
        <v>5.5</v>
      </c>
      <c r="D1294" s="125" t="str">
        <f t="shared" si="137"/>
        <v>LIC340</v>
      </c>
      <c r="E1294" s="125" t="str">
        <f t="shared" si="138"/>
        <v>LIC345.5</v>
      </c>
      <c r="F1294" s="158" t="str">
        <f>+VLOOKUP(H1294,'code mapping'!A:C,3,0)</f>
        <v>LIC34</v>
      </c>
      <c r="G1294" s="127" t="s">
        <v>453</v>
      </c>
      <c r="H1294" s="127" t="s">
        <v>623</v>
      </c>
      <c r="I1294" s="127" t="s">
        <v>624</v>
      </c>
      <c r="J1294" s="128">
        <v>460000</v>
      </c>
      <c r="K1294" s="127" t="s">
        <v>539</v>
      </c>
      <c r="L1294" s="151">
        <v>460100</v>
      </c>
      <c r="M1294" s="128">
        <v>0</v>
      </c>
      <c r="N1294" s="127" t="s">
        <v>633</v>
      </c>
      <c r="O1294" s="127" t="s">
        <v>457</v>
      </c>
      <c r="P1294" s="128">
        <v>0</v>
      </c>
      <c r="Q1294" s="128">
        <v>21.01</v>
      </c>
      <c r="R1294" s="128">
        <v>0</v>
      </c>
      <c r="S1294" s="128">
        <v>0</v>
      </c>
      <c r="T1294" s="128">
        <v>0</v>
      </c>
      <c r="U1294" s="128">
        <v>21.01</v>
      </c>
      <c r="V1294" s="128">
        <v>0</v>
      </c>
      <c r="W1294" s="128">
        <v>21.01</v>
      </c>
      <c r="X1294" s="128">
        <v>0</v>
      </c>
      <c r="Y1294" s="128">
        <v>0</v>
      </c>
      <c r="Z1294" s="128">
        <v>0</v>
      </c>
      <c r="AA1294" s="128">
        <v>21.01</v>
      </c>
      <c r="AB1294" s="126">
        <f t="shared" si="139"/>
        <v>-2.1010000000000003E-6</v>
      </c>
      <c r="AC1294" s="122" t="s">
        <v>1838</v>
      </c>
      <c r="AD1294" s="123">
        <f t="shared" si="141"/>
        <v>3.6080777000000001E-2</v>
      </c>
    </row>
    <row r="1295" spans="1:30" ht="12.75" hidden="1" customHeight="1">
      <c r="A1295" s="125" t="str">
        <f t="shared" si="136"/>
        <v>LIC34Interplan Adjustment- RG</v>
      </c>
      <c r="B1295" s="125">
        <f>+IFERROR(VLOOKUP(L1295,'TB mapping'!A:D,4,0),0)</f>
        <v>0</v>
      </c>
      <c r="C1295" s="125">
        <f>+IFERROR(VLOOKUP(L1295,'TB mapping'!A:C,3,0),0)</f>
        <v>5.5</v>
      </c>
      <c r="D1295" s="125" t="str">
        <f t="shared" si="137"/>
        <v>LIC340</v>
      </c>
      <c r="E1295" s="125" t="str">
        <f t="shared" si="138"/>
        <v>LIC345.5</v>
      </c>
      <c r="F1295" s="158" t="str">
        <f>+VLOOKUP(H1295,'code mapping'!A:C,3,0)</f>
        <v>LIC34</v>
      </c>
      <c r="G1295" s="127" t="s">
        <v>453</v>
      </c>
      <c r="H1295" s="127" t="s">
        <v>623</v>
      </c>
      <c r="I1295" s="127" t="s">
        <v>624</v>
      </c>
      <c r="J1295" s="128">
        <v>460000</v>
      </c>
      <c r="K1295" s="127" t="s">
        <v>539</v>
      </c>
      <c r="L1295" s="151">
        <v>460101</v>
      </c>
      <c r="M1295" s="128">
        <v>0</v>
      </c>
      <c r="N1295" s="127" t="s">
        <v>542</v>
      </c>
      <c r="O1295" s="127" t="s">
        <v>457</v>
      </c>
      <c r="P1295" s="128">
        <v>0</v>
      </c>
      <c r="Q1295" s="128">
        <v>51684.31</v>
      </c>
      <c r="R1295" s="128">
        <v>0</v>
      </c>
      <c r="S1295" s="128">
        <v>0</v>
      </c>
      <c r="T1295" s="128">
        <v>0</v>
      </c>
      <c r="U1295" s="128">
        <v>51684.31</v>
      </c>
      <c r="V1295" s="128">
        <v>0</v>
      </c>
      <c r="W1295" s="128">
        <v>51684.31</v>
      </c>
      <c r="X1295" s="128">
        <v>0</v>
      </c>
      <c r="Y1295" s="128">
        <v>0</v>
      </c>
      <c r="Z1295" s="128">
        <v>0</v>
      </c>
      <c r="AA1295" s="128">
        <v>51684.31</v>
      </c>
      <c r="AB1295" s="126">
        <f t="shared" si="139"/>
        <v>-5.1684309999999994E-3</v>
      </c>
      <c r="AC1295" s="122" t="s">
        <v>1838</v>
      </c>
      <c r="AD1295" s="123">
        <f t="shared" si="141"/>
        <v>3.6080777000000001E-2</v>
      </c>
    </row>
    <row r="1296" spans="1:30" ht="12.75" hidden="1" customHeight="1">
      <c r="A1296" s="125" t="str">
        <f t="shared" si="136"/>
        <v>LIC34Interplan Adjustment- RD</v>
      </c>
      <c r="B1296" s="125">
        <f>+IFERROR(VLOOKUP(L1296,'TB mapping'!A:D,4,0),0)</f>
        <v>0</v>
      </c>
      <c r="C1296" s="125">
        <f>+IFERROR(VLOOKUP(L1296,'TB mapping'!A:C,3,0),0)</f>
        <v>5.5</v>
      </c>
      <c r="D1296" s="125" t="str">
        <f t="shared" si="137"/>
        <v>LIC340</v>
      </c>
      <c r="E1296" s="125" t="str">
        <f t="shared" si="138"/>
        <v>LIC345.5</v>
      </c>
      <c r="F1296" s="158" t="str">
        <f>+VLOOKUP(H1296,'code mapping'!A:C,3,0)</f>
        <v>LIC34</v>
      </c>
      <c r="G1296" s="127" t="s">
        <v>453</v>
      </c>
      <c r="H1296" s="127" t="s">
        <v>623</v>
      </c>
      <c r="I1296" s="127" t="s">
        <v>624</v>
      </c>
      <c r="J1296" s="128">
        <v>460000</v>
      </c>
      <c r="K1296" s="127" t="s">
        <v>539</v>
      </c>
      <c r="L1296" s="151">
        <v>460102</v>
      </c>
      <c r="M1296" s="128">
        <v>0</v>
      </c>
      <c r="N1296" s="127" t="s">
        <v>543</v>
      </c>
      <c r="O1296" s="127" t="s">
        <v>457</v>
      </c>
      <c r="P1296" s="128">
        <v>-51599.99</v>
      </c>
      <c r="Q1296" s="128">
        <v>0</v>
      </c>
      <c r="R1296" s="128">
        <v>0</v>
      </c>
      <c r="S1296" s="128">
        <v>0</v>
      </c>
      <c r="T1296" s="128">
        <v>-51599.99</v>
      </c>
      <c r="U1296" s="128">
        <v>0</v>
      </c>
      <c r="V1296" s="128">
        <v>-51599.99</v>
      </c>
      <c r="W1296" s="128">
        <v>0</v>
      </c>
      <c r="X1296" s="128">
        <v>0</v>
      </c>
      <c r="Y1296" s="128">
        <v>0</v>
      </c>
      <c r="Z1296" s="128">
        <v>-51599.99</v>
      </c>
      <c r="AA1296" s="128">
        <v>0</v>
      </c>
      <c r="AB1296" s="126">
        <f t="shared" si="139"/>
        <v>5.1599990000000002E-3</v>
      </c>
      <c r="AC1296" s="122" t="s">
        <v>1838</v>
      </c>
      <c r="AD1296" s="123">
        <f t="shared" si="141"/>
        <v>3.6080777000000001E-2</v>
      </c>
    </row>
    <row r="1297" spans="1:30" ht="12.75" hidden="1" customHeight="1">
      <c r="A1297" s="125" t="str">
        <f t="shared" si="136"/>
        <v>LIC34Interplan Adjustment- GDP</v>
      </c>
      <c r="B1297" s="125">
        <f>+IFERROR(VLOOKUP(L1297,'TB mapping'!A:D,4,0),0)</f>
        <v>0</v>
      </c>
      <c r="C1297" s="125">
        <f>+IFERROR(VLOOKUP(L1297,'TB mapping'!A:C,3,0),0)</f>
        <v>5.5</v>
      </c>
      <c r="D1297" s="125" t="str">
        <f t="shared" si="137"/>
        <v>LIC340</v>
      </c>
      <c r="E1297" s="125" t="str">
        <f t="shared" si="138"/>
        <v>LIC345.5</v>
      </c>
      <c r="F1297" s="158" t="str">
        <f>+VLOOKUP(H1297,'code mapping'!A:C,3,0)</f>
        <v>LIC34</v>
      </c>
      <c r="G1297" s="127" t="s">
        <v>453</v>
      </c>
      <c r="H1297" s="127" t="s">
        <v>623</v>
      </c>
      <c r="I1297" s="127" t="s">
        <v>624</v>
      </c>
      <c r="J1297" s="128">
        <v>460000</v>
      </c>
      <c r="K1297" s="127" t="s">
        <v>539</v>
      </c>
      <c r="L1297" s="151">
        <v>460143</v>
      </c>
      <c r="M1297" s="128">
        <v>0</v>
      </c>
      <c r="N1297" s="127" t="s">
        <v>544</v>
      </c>
      <c r="O1297" s="127" t="s">
        <v>457</v>
      </c>
      <c r="P1297" s="128">
        <v>-119.36</v>
      </c>
      <c r="Q1297" s="128">
        <v>0</v>
      </c>
      <c r="R1297" s="128">
        <v>0</v>
      </c>
      <c r="S1297" s="128">
        <v>0</v>
      </c>
      <c r="T1297" s="128">
        <v>-119.36</v>
      </c>
      <c r="U1297" s="128">
        <v>0</v>
      </c>
      <c r="V1297" s="128">
        <v>-119.36</v>
      </c>
      <c r="W1297" s="128">
        <v>0</v>
      </c>
      <c r="X1297" s="128">
        <v>0</v>
      </c>
      <c r="Y1297" s="128">
        <v>0</v>
      </c>
      <c r="Z1297" s="128">
        <v>-119.36</v>
      </c>
      <c r="AA1297" s="128">
        <v>0</v>
      </c>
      <c r="AB1297" s="126">
        <f t="shared" si="139"/>
        <v>1.1936000000000001E-5</v>
      </c>
      <c r="AC1297" s="122" t="s">
        <v>1838</v>
      </c>
      <c r="AD1297" s="123">
        <f t="shared" si="141"/>
        <v>3.6080777000000001E-2</v>
      </c>
    </row>
    <row r="1298" spans="1:30" ht="12.75" hidden="1" customHeight="1">
      <c r="A1298" s="125" t="str">
        <f t="shared" si="136"/>
        <v>LIC34Interplan Adjustment- DDP</v>
      </c>
      <c r="B1298" s="125">
        <f>+IFERROR(VLOOKUP(L1298,'TB mapping'!A:D,4,0),0)</f>
        <v>0</v>
      </c>
      <c r="C1298" s="125">
        <f>+IFERROR(VLOOKUP(L1298,'TB mapping'!A:C,3,0),0)</f>
        <v>5.5</v>
      </c>
      <c r="D1298" s="125" t="str">
        <f t="shared" si="137"/>
        <v>LIC340</v>
      </c>
      <c r="E1298" s="125" t="str">
        <f t="shared" si="138"/>
        <v>LIC345.5</v>
      </c>
      <c r="F1298" s="158" t="str">
        <f>+VLOOKUP(H1298,'code mapping'!A:C,3,0)</f>
        <v>LIC34</v>
      </c>
      <c r="G1298" s="127" t="s">
        <v>453</v>
      </c>
      <c r="H1298" s="127" t="s">
        <v>623</v>
      </c>
      <c r="I1298" s="127" t="s">
        <v>624</v>
      </c>
      <c r="J1298" s="128">
        <v>460000</v>
      </c>
      <c r="K1298" s="127" t="s">
        <v>539</v>
      </c>
      <c r="L1298" s="151">
        <v>460144</v>
      </c>
      <c r="M1298" s="128">
        <v>0</v>
      </c>
      <c r="N1298" s="127" t="s">
        <v>545</v>
      </c>
      <c r="O1298" s="127" t="s">
        <v>457</v>
      </c>
      <c r="P1298" s="128">
        <v>0</v>
      </c>
      <c r="Q1298" s="128">
        <v>0.32</v>
      </c>
      <c r="R1298" s="128">
        <v>0</v>
      </c>
      <c r="S1298" s="128">
        <v>0</v>
      </c>
      <c r="T1298" s="128">
        <v>0</v>
      </c>
      <c r="U1298" s="128">
        <v>0.32</v>
      </c>
      <c r="V1298" s="128">
        <v>0</v>
      </c>
      <c r="W1298" s="128">
        <v>0.32</v>
      </c>
      <c r="X1298" s="128">
        <v>0</v>
      </c>
      <c r="Y1298" s="128">
        <v>0</v>
      </c>
      <c r="Z1298" s="128">
        <v>0</v>
      </c>
      <c r="AA1298" s="128">
        <v>0.32</v>
      </c>
      <c r="AB1298" s="126">
        <f t="shared" si="139"/>
        <v>-3.2000000000000002E-8</v>
      </c>
      <c r="AC1298" s="122" t="s">
        <v>1838</v>
      </c>
      <c r="AD1298" s="123">
        <f t="shared" si="141"/>
        <v>3.6080777000000001E-2</v>
      </c>
    </row>
    <row r="1299" spans="1:30" ht="12.75" hidden="1" customHeight="1">
      <c r="A1299" s="125" t="str">
        <f t="shared" si="136"/>
        <v>LIC34Interplan Adjustment-PFD</v>
      </c>
      <c r="B1299" s="125">
        <f>+IFERROR(VLOOKUP(L1299,'TB mapping'!A:D,4,0),0)</f>
        <v>0</v>
      </c>
      <c r="C1299" s="125">
        <f>+IFERROR(VLOOKUP(L1299,'TB mapping'!A:C,3,0),0)</f>
        <v>5.5</v>
      </c>
      <c r="D1299" s="125" t="str">
        <f t="shared" si="137"/>
        <v>LIC340</v>
      </c>
      <c r="E1299" s="125" t="str">
        <f t="shared" si="138"/>
        <v>LIC345.5</v>
      </c>
      <c r="F1299" s="158" t="str">
        <f>+VLOOKUP(H1299,'code mapping'!A:C,3,0)</f>
        <v>LIC34</v>
      </c>
      <c r="G1299" s="127" t="s">
        <v>453</v>
      </c>
      <c r="H1299" s="127" t="s">
        <v>623</v>
      </c>
      <c r="I1299" s="127" t="s">
        <v>624</v>
      </c>
      <c r="J1299" s="128">
        <v>460000</v>
      </c>
      <c r="K1299" s="127" t="s">
        <v>539</v>
      </c>
      <c r="L1299" s="151">
        <v>460746</v>
      </c>
      <c r="M1299" s="128">
        <v>0</v>
      </c>
      <c r="N1299" s="127" t="s">
        <v>634</v>
      </c>
      <c r="O1299" s="127" t="s">
        <v>457</v>
      </c>
      <c r="P1299" s="128">
        <v>0</v>
      </c>
      <c r="Q1299" s="128">
        <v>2.34</v>
      </c>
      <c r="R1299" s="128">
        <v>0</v>
      </c>
      <c r="S1299" s="128">
        <v>0</v>
      </c>
      <c r="T1299" s="128">
        <v>0</v>
      </c>
      <c r="U1299" s="128">
        <v>2.34</v>
      </c>
      <c r="V1299" s="128">
        <v>0</v>
      </c>
      <c r="W1299" s="128">
        <v>2.34</v>
      </c>
      <c r="X1299" s="128">
        <v>0</v>
      </c>
      <c r="Y1299" s="128">
        <v>0</v>
      </c>
      <c r="Z1299" s="128">
        <v>0</v>
      </c>
      <c r="AA1299" s="128">
        <v>2.34</v>
      </c>
      <c r="AB1299" s="126">
        <f t="shared" si="139"/>
        <v>-2.3399999999999998E-7</v>
      </c>
      <c r="AC1299" s="122" t="s">
        <v>1838</v>
      </c>
      <c r="AD1299" s="123">
        <f t="shared" si="141"/>
        <v>3.6080777000000001E-2</v>
      </c>
    </row>
    <row r="1300" spans="1:30" ht="12.75" hidden="1" customHeight="1">
      <c r="A1300" s="125" t="str">
        <f t="shared" si="136"/>
        <v>LIC34Interplan Adjustment-PFG</v>
      </c>
      <c r="B1300" s="125">
        <f>+IFERROR(VLOOKUP(L1300,'TB mapping'!A:D,4,0),0)</f>
        <v>0</v>
      </c>
      <c r="C1300" s="125">
        <f>+IFERROR(VLOOKUP(L1300,'TB mapping'!A:C,3,0),0)</f>
        <v>5.5</v>
      </c>
      <c r="D1300" s="125" t="str">
        <f t="shared" si="137"/>
        <v>LIC340</v>
      </c>
      <c r="E1300" s="125" t="str">
        <f t="shared" si="138"/>
        <v>LIC345.5</v>
      </c>
      <c r="F1300" s="158" t="str">
        <f>+VLOOKUP(H1300,'code mapping'!A:C,3,0)</f>
        <v>LIC34</v>
      </c>
      <c r="G1300" s="127" t="s">
        <v>453</v>
      </c>
      <c r="H1300" s="127" t="s">
        <v>623</v>
      </c>
      <c r="I1300" s="127" t="s">
        <v>624</v>
      </c>
      <c r="J1300" s="128">
        <v>460000</v>
      </c>
      <c r="K1300" s="127" t="s">
        <v>539</v>
      </c>
      <c r="L1300" s="151">
        <v>460747</v>
      </c>
      <c r="M1300" s="128">
        <v>0</v>
      </c>
      <c r="N1300" s="127" t="s">
        <v>635</v>
      </c>
      <c r="O1300" s="127" t="s">
        <v>457</v>
      </c>
      <c r="P1300" s="128">
        <v>0</v>
      </c>
      <c r="Q1300" s="128">
        <v>11.37</v>
      </c>
      <c r="R1300" s="128">
        <v>0</v>
      </c>
      <c r="S1300" s="128">
        <v>0</v>
      </c>
      <c r="T1300" s="128">
        <v>0</v>
      </c>
      <c r="U1300" s="128">
        <v>11.37</v>
      </c>
      <c r="V1300" s="128">
        <v>0</v>
      </c>
      <c r="W1300" s="128">
        <v>11.37</v>
      </c>
      <c r="X1300" s="128">
        <v>0</v>
      </c>
      <c r="Y1300" s="128">
        <v>0</v>
      </c>
      <c r="Z1300" s="128">
        <v>0</v>
      </c>
      <c r="AA1300" s="128">
        <v>11.37</v>
      </c>
      <c r="AB1300" s="126">
        <f t="shared" si="139"/>
        <v>-1.1369999999999999E-6</v>
      </c>
      <c r="AC1300" s="122" t="s">
        <v>1838</v>
      </c>
      <c r="AD1300" s="123">
        <f t="shared" si="141"/>
        <v>3.6080777000000001E-2</v>
      </c>
    </row>
    <row r="1301" spans="1:30" ht="12.75" hidden="1" customHeight="1">
      <c r="A1301" s="125" t="str">
        <f t="shared" si="136"/>
        <v>LIC34R/L L/P - Government Bonds</v>
      </c>
      <c r="B1301" s="125">
        <f>+IFERROR(VLOOKUP(L1301,'TB mapping'!A:D,4,0),0)</f>
        <v>0</v>
      </c>
      <c r="C1301" s="125">
        <f>+IFERROR(VLOOKUP(L1301,'TB mapping'!A:C,3,0),0)</f>
        <v>5.3</v>
      </c>
      <c r="D1301" s="125" t="str">
        <f t="shared" si="137"/>
        <v>LIC340</v>
      </c>
      <c r="E1301" s="125" t="str">
        <f t="shared" si="138"/>
        <v>LIC345.3</v>
      </c>
      <c r="F1301" s="158" t="str">
        <f>+VLOOKUP(H1301,'code mapping'!A:C,3,0)</f>
        <v>LIC34</v>
      </c>
      <c r="G1301" s="127" t="s">
        <v>453</v>
      </c>
      <c r="H1301" s="127" t="s">
        <v>623</v>
      </c>
      <c r="I1301" s="127" t="s">
        <v>624</v>
      </c>
      <c r="J1301" s="128">
        <v>510000</v>
      </c>
      <c r="K1301" s="127" t="s">
        <v>546</v>
      </c>
      <c r="L1301" s="151">
        <v>512130</v>
      </c>
      <c r="M1301" s="128">
        <v>0</v>
      </c>
      <c r="N1301" s="127" t="s">
        <v>548</v>
      </c>
      <c r="O1301" s="127" t="s">
        <v>457</v>
      </c>
      <c r="P1301" s="128">
        <v>-38346355.090000004</v>
      </c>
      <c r="Q1301" s="128">
        <v>0</v>
      </c>
      <c r="R1301" s="128">
        <v>0</v>
      </c>
      <c r="S1301" s="128">
        <v>0</v>
      </c>
      <c r="T1301" s="128">
        <v>-38346355.090000004</v>
      </c>
      <c r="U1301" s="128">
        <v>0</v>
      </c>
      <c r="V1301" s="128">
        <v>-38346355.090000004</v>
      </c>
      <c r="W1301" s="128">
        <v>0</v>
      </c>
      <c r="X1301" s="128">
        <v>0</v>
      </c>
      <c r="Y1301" s="128">
        <v>0</v>
      </c>
      <c r="Z1301" s="128">
        <v>-38346355.090000004</v>
      </c>
      <c r="AA1301" s="128">
        <v>0</v>
      </c>
      <c r="AB1301" s="126">
        <f t="shared" si="139"/>
        <v>3.8346355090000004</v>
      </c>
      <c r="AC1301" s="122" t="s">
        <v>1838</v>
      </c>
      <c r="AD1301" s="123">
        <f t="shared" si="141"/>
        <v>1.1272486220000002</v>
      </c>
    </row>
    <row r="1302" spans="1:30" ht="12.75" hidden="1" customHeight="1">
      <c r="A1302" s="125" t="str">
        <f t="shared" si="136"/>
        <v>LIC34R/L L/P - SDLs</v>
      </c>
      <c r="B1302" s="125">
        <f>+IFERROR(VLOOKUP(L1302,'TB mapping'!A:D,4,0),0)</f>
        <v>0</v>
      </c>
      <c r="C1302" s="125">
        <f>+IFERROR(VLOOKUP(L1302,'TB mapping'!A:C,3,0),0)</f>
        <v>5.3</v>
      </c>
      <c r="D1302" s="125" t="str">
        <f t="shared" si="137"/>
        <v>LIC340</v>
      </c>
      <c r="E1302" s="125" t="str">
        <f t="shared" si="138"/>
        <v>LIC345.3</v>
      </c>
      <c r="F1302" s="158" t="str">
        <f>+VLOOKUP(H1302,'code mapping'!A:C,3,0)</f>
        <v>LIC34</v>
      </c>
      <c r="G1302" s="127" t="s">
        <v>453</v>
      </c>
      <c r="H1302" s="127" t="s">
        <v>623</v>
      </c>
      <c r="I1302" s="127" t="s">
        <v>624</v>
      </c>
      <c r="J1302" s="128">
        <v>510000</v>
      </c>
      <c r="K1302" s="127" t="s">
        <v>546</v>
      </c>
      <c r="L1302" s="151">
        <v>512135</v>
      </c>
      <c r="M1302" s="128">
        <v>0</v>
      </c>
      <c r="N1302" s="127" t="s">
        <v>711</v>
      </c>
      <c r="O1302" s="127" t="s">
        <v>457</v>
      </c>
      <c r="P1302" s="128">
        <v>-5589700</v>
      </c>
      <c r="Q1302" s="128">
        <v>0</v>
      </c>
      <c r="R1302" s="128">
        <v>0</v>
      </c>
      <c r="S1302" s="128">
        <v>0</v>
      </c>
      <c r="T1302" s="128">
        <v>-5589700</v>
      </c>
      <c r="U1302" s="128">
        <v>0</v>
      </c>
      <c r="V1302" s="128">
        <v>-5589700</v>
      </c>
      <c r="W1302" s="128">
        <v>0</v>
      </c>
      <c r="X1302" s="128">
        <v>0</v>
      </c>
      <c r="Y1302" s="128">
        <v>0</v>
      </c>
      <c r="Z1302" s="128">
        <v>-5589700</v>
      </c>
      <c r="AA1302" s="128">
        <v>0</v>
      </c>
      <c r="AB1302" s="126">
        <f t="shared" si="139"/>
        <v>0.55896999999999997</v>
      </c>
      <c r="AC1302" s="122" t="s">
        <v>1838</v>
      </c>
      <c r="AD1302" s="123">
        <f t="shared" si="141"/>
        <v>1.1272486220000002</v>
      </c>
    </row>
    <row r="1303" spans="1:30" ht="12.75" hidden="1" customHeight="1">
      <c r="A1303" s="125" t="str">
        <f t="shared" si="136"/>
        <v>LIC34R/L Loss - Inter Sch Govt Bond</v>
      </c>
      <c r="B1303" s="125">
        <f>+IFERROR(VLOOKUP(L1303,'TB mapping'!A:D,4,0),0)</f>
        <v>0</v>
      </c>
      <c r="C1303" s="125">
        <f>+IFERROR(VLOOKUP(L1303,'TB mapping'!A:C,3,0),0)</f>
        <v>5.4</v>
      </c>
      <c r="D1303" s="125" t="str">
        <f t="shared" si="137"/>
        <v>LIC340</v>
      </c>
      <c r="E1303" s="125" t="str">
        <f t="shared" si="138"/>
        <v>LIC345.4</v>
      </c>
      <c r="F1303" s="158" t="str">
        <f>+VLOOKUP(H1303,'code mapping'!A:C,3,0)</f>
        <v>LIC34</v>
      </c>
      <c r="G1303" s="127" t="s">
        <v>453</v>
      </c>
      <c r="H1303" s="127" t="s">
        <v>623</v>
      </c>
      <c r="I1303" s="127" t="s">
        <v>624</v>
      </c>
      <c r="J1303" s="128">
        <v>510000</v>
      </c>
      <c r="K1303" s="127" t="s">
        <v>546</v>
      </c>
      <c r="L1303" s="151">
        <v>527304</v>
      </c>
      <c r="M1303" s="128">
        <v>0</v>
      </c>
      <c r="N1303" s="127" t="s">
        <v>549</v>
      </c>
      <c r="O1303" s="127" t="s">
        <v>457</v>
      </c>
      <c r="P1303" s="128">
        <v>-5672500</v>
      </c>
      <c r="Q1303" s="128">
        <v>0</v>
      </c>
      <c r="R1303" s="128">
        <v>0</v>
      </c>
      <c r="S1303" s="128">
        <v>0</v>
      </c>
      <c r="T1303" s="128">
        <v>-5672500</v>
      </c>
      <c r="U1303" s="128">
        <v>0</v>
      </c>
      <c r="V1303" s="128">
        <v>-5672500</v>
      </c>
      <c r="W1303" s="128">
        <v>0</v>
      </c>
      <c r="X1303" s="128">
        <v>0</v>
      </c>
      <c r="Y1303" s="128">
        <v>0</v>
      </c>
      <c r="Z1303" s="128">
        <v>-5672500</v>
      </c>
      <c r="AA1303" s="128">
        <v>0</v>
      </c>
      <c r="AB1303" s="126">
        <f t="shared" si="139"/>
        <v>0.56725000000000003</v>
      </c>
      <c r="AC1303" s="122" t="s">
        <v>1838</v>
      </c>
      <c r="AD1303" s="123">
        <f t="shared" si="141"/>
        <v>0.55178297200000004</v>
      </c>
    </row>
    <row r="1304" spans="1:30" ht="12.75" hidden="1" customHeight="1">
      <c r="A1304" s="125" t="str">
        <f t="shared" si="136"/>
        <v>LIC34SEBI Fees</v>
      </c>
      <c r="B1304" s="125">
        <f>+IFERROR(VLOOKUP(L1304,'TB mapping'!A:D,4,0),0)</f>
        <v>0</v>
      </c>
      <c r="C1304" s="125">
        <f>+IFERROR(VLOOKUP(L1304,'TB mapping'!A:C,3,0),0)</f>
        <v>6.3</v>
      </c>
      <c r="D1304" s="125" t="str">
        <f t="shared" si="137"/>
        <v>LIC340</v>
      </c>
      <c r="E1304" s="125" t="str">
        <f t="shared" si="138"/>
        <v>LIC346.3</v>
      </c>
      <c r="F1304" s="158" t="str">
        <f>+VLOOKUP(H1304,'code mapping'!A:C,3,0)</f>
        <v>LIC34</v>
      </c>
      <c r="G1304" s="127" t="s">
        <v>453</v>
      </c>
      <c r="H1304" s="127" t="s">
        <v>623</v>
      </c>
      <c r="I1304" s="127" t="s">
        <v>624</v>
      </c>
      <c r="J1304" s="128">
        <v>550000</v>
      </c>
      <c r="K1304" s="127" t="s">
        <v>550</v>
      </c>
      <c r="L1304" s="151">
        <v>553007</v>
      </c>
      <c r="M1304" s="128">
        <v>0</v>
      </c>
      <c r="N1304" s="127" t="s">
        <v>551</v>
      </c>
      <c r="O1304" s="127" t="s">
        <v>457</v>
      </c>
      <c r="P1304" s="128">
        <v>-16501.330000000002</v>
      </c>
      <c r="Q1304" s="128">
        <v>0</v>
      </c>
      <c r="R1304" s="128">
        <v>0</v>
      </c>
      <c r="S1304" s="128">
        <v>0</v>
      </c>
      <c r="T1304" s="128">
        <v>-16501.330000000002</v>
      </c>
      <c r="U1304" s="128">
        <v>0</v>
      </c>
      <c r="V1304" s="128">
        <v>-16501.330000000002</v>
      </c>
      <c r="W1304" s="128">
        <v>0</v>
      </c>
      <c r="X1304" s="128">
        <v>0</v>
      </c>
      <c r="Y1304" s="128">
        <v>0</v>
      </c>
      <c r="Z1304" s="128">
        <v>-16501.330000000002</v>
      </c>
      <c r="AA1304" s="128">
        <v>0</v>
      </c>
      <c r="AB1304" s="126">
        <f t="shared" si="139"/>
        <v>1.6501330000000002E-3</v>
      </c>
      <c r="AC1304" s="122" t="s">
        <v>1838</v>
      </c>
      <c r="AD1304" s="123">
        <f t="shared" si="141"/>
        <v>2.1279809730000001</v>
      </c>
    </row>
    <row r="1305" spans="1:30" ht="12.75" hidden="1" customHeight="1">
      <c r="A1305" s="125" t="str">
        <f t="shared" si="136"/>
        <v>LIC34Audit Fee</v>
      </c>
      <c r="B1305" s="125">
        <f>+IFERROR(VLOOKUP(L1305,'TB mapping'!A:D,4,0),0)</f>
        <v>0</v>
      </c>
      <c r="C1305" s="125">
        <f>+IFERROR(VLOOKUP(L1305,'TB mapping'!A:C,3,0),0)</f>
        <v>6.3</v>
      </c>
      <c r="D1305" s="125" t="str">
        <f t="shared" si="137"/>
        <v>LIC340</v>
      </c>
      <c r="E1305" s="125" t="str">
        <f t="shared" si="138"/>
        <v>LIC346.3</v>
      </c>
      <c r="F1305" s="158" t="str">
        <f>+VLOOKUP(H1305,'code mapping'!A:C,3,0)</f>
        <v>LIC34</v>
      </c>
      <c r="G1305" s="127" t="s">
        <v>453</v>
      </c>
      <c r="H1305" s="127" t="s">
        <v>623</v>
      </c>
      <c r="I1305" s="127" t="s">
        <v>624</v>
      </c>
      <c r="J1305" s="128">
        <v>550000</v>
      </c>
      <c r="K1305" s="127" t="s">
        <v>550</v>
      </c>
      <c r="L1305" s="151">
        <v>553105</v>
      </c>
      <c r="M1305" s="128">
        <v>0</v>
      </c>
      <c r="N1305" s="127" t="s">
        <v>552</v>
      </c>
      <c r="O1305" s="127" t="s">
        <v>457</v>
      </c>
      <c r="P1305" s="128">
        <v>-8876.5</v>
      </c>
      <c r="Q1305" s="128">
        <v>0</v>
      </c>
      <c r="R1305" s="128">
        <v>0</v>
      </c>
      <c r="S1305" s="128">
        <v>0</v>
      </c>
      <c r="T1305" s="128">
        <v>-8876.5</v>
      </c>
      <c r="U1305" s="128">
        <v>0</v>
      </c>
      <c r="V1305" s="128">
        <v>-8876.5</v>
      </c>
      <c r="W1305" s="128">
        <v>0</v>
      </c>
      <c r="X1305" s="128">
        <v>0</v>
      </c>
      <c r="Y1305" s="128">
        <v>0</v>
      </c>
      <c r="Z1305" s="128">
        <v>-8876.5</v>
      </c>
      <c r="AA1305" s="128">
        <v>0</v>
      </c>
      <c r="AB1305" s="126">
        <f t="shared" si="139"/>
        <v>8.8765000000000003E-4</v>
      </c>
      <c r="AC1305" s="122" t="s">
        <v>1838</v>
      </c>
      <c r="AD1305" s="123">
        <f t="shared" si="141"/>
        <v>2.1279809730000001</v>
      </c>
    </row>
    <row r="1306" spans="1:30" ht="12.75" hidden="1" customHeight="1">
      <c r="A1306" s="125" t="str">
        <f t="shared" si="136"/>
        <v>LIC34Custody Fee</v>
      </c>
      <c r="B1306" s="125">
        <f>+IFERROR(VLOOKUP(L1306,'TB mapping'!A:D,4,0),0)</f>
        <v>0</v>
      </c>
      <c r="C1306" s="125">
        <f>+IFERROR(VLOOKUP(L1306,'TB mapping'!A:C,3,0),0)</f>
        <v>6.3</v>
      </c>
      <c r="D1306" s="125" t="str">
        <f t="shared" si="137"/>
        <v>LIC340</v>
      </c>
      <c r="E1306" s="125" t="str">
        <f t="shared" si="138"/>
        <v>LIC346.3</v>
      </c>
      <c r="F1306" s="158" t="str">
        <f>+VLOOKUP(H1306,'code mapping'!A:C,3,0)</f>
        <v>LIC34</v>
      </c>
      <c r="G1306" s="127" t="s">
        <v>453</v>
      </c>
      <c r="H1306" s="127" t="s">
        <v>623</v>
      </c>
      <c r="I1306" s="127" t="s">
        <v>624</v>
      </c>
      <c r="J1306" s="128">
        <v>550000</v>
      </c>
      <c r="K1306" s="127" t="s">
        <v>550</v>
      </c>
      <c r="L1306" s="151">
        <v>553107</v>
      </c>
      <c r="M1306" s="128">
        <v>0</v>
      </c>
      <c r="N1306" s="127" t="s">
        <v>553</v>
      </c>
      <c r="O1306" s="127" t="s">
        <v>457</v>
      </c>
      <c r="P1306" s="128">
        <v>-1025.2</v>
      </c>
      <c r="Q1306" s="128">
        <v>0</v>
      </c>
      <c r="R1306" s="128">
        <v>0</v>
      </c>
      <c r="S1306" s="128">
        <v>0</v>
      </c>
      <c r="T1306" s="128">
        <v>-1025.2</v>
      </c>
      <c r="U1306" s="128">
        <v>0</v>
      </c>
      <c r="V1306" s="128">
        <v>-1025.2</v>
      </c>
      <c r="W1306" s="128">
        <v>0</v>
      </c>
      <c r="X1306" s="128">
        <v>0</v>
      </c>
      <c r="Y1306" s="128">
        <v>0</v>
      </c>
      <c r="Z1306" s="128">
        <v>-1025.2</v>
      </c>
      <c r="AA1306" s="128">
        <v>0</v>
      </c>
      <c r="AB1306" s="126">
        <f t="shared" si="139"/>
        <v>1.0252E-4</v>
      </c>
      <c r="AC1306" s="122" t="s">
        <v>1838</v>
      </c>
      <c r="AD1306" s="123">
        <f t="shared" si="141"/>
        <v>2.1279809730000001</v>
      </c>
    </row>
    <row r="1307" spans="1:30" ht="12.75" hidden="1" customHeight="1">
      <c r="A1307" s="125" t="str">
        <f t="shared" si="136"/>
        <v>LIC34Expense Allocation Account</v>
      </c>
      <c r="B1307" s="125">
        <f>+IFERROR(VLOOKUP(L1307,'TB mapping'!A:D,4,0),0)</f>
        <v>0</v>
      </c>
      <c r="C1307" s="125">
        <f>+IFERROR(VLOOKUP(L1307,'TB mapping'!A:C,3,0),0)</f>
        <v>6.3</v>
      </c>
      <c r="D1307" s="125" t="str">
        <f t="shared" si="137"/>
        <v>LIC340</v>
      </c>
      <c r="E1307" s="125" t="str">
        <f t="shared" si="138"/>
        <v>LIC346.3</v>
      </c>
      <c r="F1307" s="158" t="str">
        <f>+VLOOKUP(H1307,'code mapping'!A:C,3,0)</f>
        <v>LIC34</v>
      </c>
      <c r="G1307" s="127" t="s">
        <v>453</v>
      </c>
      <c r="H1307" s="127" t="s">
        <v>623</v>
      </c>
      <c r="I1307" s="127" t="s">
        <v>624</v>
      </c>
      <c r="J1307" s="128">
        <v>550000</v>
      </c>
      <c r="K1307" s="127" t="s">
        <v>550</v>
      </c>
      <c r="L1307" s="151">
        <v>553111</v>
      </c>
      <c r="M1307" s="128">
        <v>0</v>
      </c>
      <c r="N1307" s="127" t="s">
        <v>554</v>
      </c>
      <c r="O1307" s="127" t="s">
        <v>457</v>
      </c>
      <c r="P1307" s="128">
        <v>0</v>
      </c>
      <c r="Q1307" s="128">
        <v>500568.85</v>
      </c>
      <c r="R1307" s="128">
        <v>0</v>
      </c>
      <c r="S1307" s="128">
        <v>0</v>
      </c>
      <c r="T1307" s="128">
        <v>0</v>
      </c>
      <c r="U1307" s="128">
        <v>500568.85</v>
      </c>
      <c r="V1307" s="128">
        <v>0</v>
      </c>
      <c r="W1307" s="128">
        <v>500568.85</v>
      </c>
      <c r="X1307" s="128">
        <v>0</v>
      </c>
      <c r="Y1307" s="128">
        <v>0</v>
      </c>
      <c r="Z1307" s="128">
        <v>0</v>
      </c>
      <c r="AA1307" s="128">
        <v>500568.85</v>
      </c>
      <c r="AB1307" s="126">
        <f t="shared" si="139"/>
        <v>-5.0056884999999995E-2</v>
      </c>
      <c r="AC1307" s="122" t="s">
        <v>1838</v>
      </c>
      <c r="AD1307" s="123">
        <f t="shared" si="141"/>
        <v>2.1279809730000001</v>
      </c>
    </row>
    <row r="1308" spans="1:30" ht="12.75" hidden="1" customHeight="1">
      <c r="A1308" s="125" t="str">
        <f t="shared" si="136"/>
        <v>LIC34Trustee Fee</v>
      </c>
      <c r="B1308" s="125">
        <f>+IFERROR(VLOOKUP(L1308,'TB mapping'!A:D,4,0),0)</f>
        <v>6.2</v>
      </c>
      <c r="C1308" s="125">
        <f>+IFERROR(VLOOKUP(L1308,'TB mapping'!A:C,3,0),0)</f>
        <v>6.3</v>
      </c>
      <c r="D1308" s="125" t="str">
        <f t="shared" si="137"/>
        <v>LIC346.2</v>
      </c>
      <c r="E1308" s="125" t="str">
        <f t="shared" si="138"/>
        <v>LIC346.3</v>
      </c>
      <c r="F1308" s="158" t="str">
        <f>+VLOOKUP(H1308,'code mapping'!A:C,3,0)</f>
        <v>LIC34</v>
      </c>
      <c r="G1308" s="127" t="s">
        <v>453</v>
      </c>
      <c r="H1308" s="127" t="s">
        <v>623</v>
      </c>
      <c r="I1308" s="127" t="s">
        <v>624</v>
      </c>
      <c r="J1308" s="128">
        <v>550000</v>
      </c>
      <c r="K1308" s="127" t="s">
        <v>550</v>
      </c>
      <c r="L1308" s="151">
        <v>553131</v>
      </c>
      <c r="M1308" s="128">
        <v>0</v>
      </c>
      <c r="N1308" s="127" t="s">
        <v>555</v>
      </c>
      <c r="O1308" s="127" t="s">
        <v>457</v>
      </c>
      <c r="P1308" s="128">
        <v>-9106.25</v>
      </c>
      <c r="Q1308" s="128">
        <v>0</v>
      </c>
      <c r="R1308" s="128">
        <v>0</v>
      </c>
      <c r="S1308" s="128">
        <v>0</v>
      </c>
      <c r="T1308" s="128">
        <v>-9106.25</v>
      </c>
      <c r="U1308" s="128">
        <v>0</v>
      </c>
      <c r="V1308" s="128">
        <v>-9106.25</v>
      </c>
      <c r="W1308" s="128">
        <v>0</v>
      </c>
      <c r="X1308" s="128">
        <v>0</v>
      </c>
      <c r="Y1308" s="128">
        <v>0</v>
      </c>
      <c r="Z1308" s="128">
        <v>-9106.25</v>
      </c>
      <c r="AA1308" s="128">
        <v>0</v>
      </c>
      <c r="AB1308" s="126">
        <f t="shared" si="139"/>
        <v>9.1062499999999998E-4</v>
      </c>
      <c r="AC1308" s="122" t="s">
        <v>1838</v>
      </c>
      <c r="AD1308" s="123">
        <f t="shared" si="141"/>
        <v>2.1279809730000001</v>
      </c>
    </row>
    <row r="1309" spans="1:30" ht="12.75" hidden="1" customHeight="1">
      <c r="A1309" s="125" t="str">
        <f t="shared" si="136"/>
        <v>LIC34Bank Charges</v>
      </c>
      <c r="B1309" s="125">
        <f>+IFERROR(VLOOKUP(L1309,'TB mapping'!A:D,4,0),0)</f>
        <v>0</v>
      </c>
      <c r="C1309" s="125">
        <f>+IFERROR(VLOOKUP(L1309,'TB mapping'!A:C,3,0),0)</f>
        <v>6.3</v>
      </c>
      <c r="D1309" s="125" t="str">
        <f t="shared" si="137"/>
        <v>LIC340</v>
      </c>
      <c r="E1309" s="125" t="str">
        <f t="shared" si="138"/>
        <v>LIC346.3</v>
      </c>
      <c r="F1309" s="158" t="str">
        <f>+VLOOKUP(H1309,'code mapping'!A:C,3,0)</f>
        <v>LIC34</v>
      </c>
      <c r="G1309" s="127" t="s">
        <v>453</v>
      </c>
      <c r="H1309" s="127" t="s">
        <v>623</v>
      </c>
      <c r="I1309" s="127" t="s">
        <v>624</v>
      </c>
      <c r="J1309" s="128">
        <v>550000</v>
      </c>
      <c r="K1309" s="127" t="s">
        <v>550</v>
      </c>
      <c r="L1309" s="151">
        <v>553141</v>
      </c>
      <c r="M1309" s="128">
        <v>0</v>
      </c>
      <c r="N1309" s="127" t="s">
        <v>556</v>
      </c>
      <c r="O1309" s="127" t="s">
        <v>457</v>
      </c>
      <c r="P1309" s="128">
        <v>-1508.45</v>
      </c>
      <c r="Q1309" s="128">
        <v>0</v>
      </c>
      <c r="R1309" s="128">
        <v>0</v>
      </c>
      <c r="S1309" s="128">
        <v>0</v>
      </c>
      <c r="T1309" s="128">
        <v>-1508.45</v>
      </c>
      <c r="U1309" s="128">
        <v>0</v>
      </c>
      <c r="V1309" s="128">
        <v>-1508.45</v>
      </c>
      <c r="W1309" s="128">
        <v>0</v>
      </c>
      <c r="X1309" s="128">
        <v>0</v>
      </c>
      <c r="Y1309" s="128">
        <v>0</v>
      </c>
      <c r="Z1309" s="128">
        <v>-1508.45</v>
      </c>
      <c r="AA1309" s="128">
        <v>0</v>
      </c>
      <c r="AB1309" s="126">
        <f t="shared" si="139"/>
        <v>1.5084500000000001E-4</v>
      </c>
      <c r="AC1309" s="122" t="s">
        <v>1838</v>
      </c>
      <c r="AD1309" s="123">
        <f t="shared" si="141"/>
        <v>2.1279809730000001</v>
      </c>
    </row>
    <row r="1310" spans="1:30" ht="12.75" hidden="1" customHeight="1">
      <c r="A1310" s="125" t="str">
        <f t="shared" si="136"/>
        <v>LIC34Investor Education Fund Exps</v>
      </c>
      <c r="B1310" s="125">
        <f>+IFERROR(VLOOKUP(L1310,'TB mapping'!A:D,4,0),0)</f>
        <v>0</v>
      </c>
      <c r="C1310" s="125">
        <f>+IFERROR(VLOOKUP(L1310,'TB mapping'!A:C,3,0),0)</f>
        <v>6.3</v>
      </c>
      <c r="D1310" s="125" t="str">
        <f t="shared" si="137"/>
        <v>LIC340</v>
      </c>
      <c r="E1310" s="125" t="str">
        <f t="shared" si="138"/>
        <v>LIC346.3</v>
      </c>
      <c r="F1310" s="158" t="str">
        <f>+VLOOKUP(H1310,'code mapping'!A:C,3,0)</f>
        <v>LIC34</v>
      </c>
      <c r="G1310" s="127" t="s">
        <v>453</v>
      </c>
      <c r="H1310" s="127" t="s">
        <v>623</v>
      </c>
      <c r="I1310" s="127" t="s">
        <v>624</v>
      </c>
      <c r="J1310" s="128">
        <v>550000</v>
      </c>
      <c r="K1310" s="127" t="s">
        <v>550</v>
      </c>
      <c r="L1310" s="151">
        <v>553171</v>
      </c>
      <c r="M1310" s="128">
        <v>0</v>
      </c>
      <c r="N1310" s="127" t="s">
        <v>557</v>
      </c>
      <c r="O1310" s="127" t="s">
        <v>457</v>
      </c>
      <c r="P1310" s="128">
        <v>-93453.08</v>
      </c>
      <c r="Q1310" s="128">
        <v>0</v>
      </c>
      <c r="R1310" s="128">
        <v>0</v>
      </c>
      <c r="S1310" s="128">
        <v>0</v>
      </c>
      <c r="T1310" s="128">
        <v>-93453.08</v>
      </c>
      <c r="U1310" s="128">
        <v>0</v>
      </c>
      <c r="V1310" s="128">
        <v>-93453.08</v>
      </c>
      <c r="W1310" s="128">
        <v>0</v>
      </c>
      <c r="X1310" s="128">
        <v>0</v>
      </c>
      <c r="Y1310" s="128">
        <v>0</v>
      </c>
      <c r="Z1310" s="128">
        <v>-93453.08</v>
      </c>
      <c r="AA1310" s="128">
        <v>0</v>
      </c>
      <c r="AB1310" s="126">
        <f t="shared" si="139"/>
        <v>9.3453080000000001E-3</v>
      </c>
      <c r="AC1310" s="122" t="s">
        <v>1838</v>
      </c>
      <c r="AD1310" s="123">
        <f t="shared" si="141"/>
        <v>2.1279809730000001</v>
      </c>
    </row>
    <row r="1311" spans="1:30" ht="12.75" hidden="1" customHeight="1">
      <c r="A1311" s="125" t="str">
        <f t="shared" si="136"/>
        <v>LIC34Service Tax on Management Fees</v>
      </c>
      <c r="B1311" s="125">
        <f>+IFERROR(VLOOKUP(L1311,'TB mapping'!A:D,4,0),0)</f>
        <v>6.1</v>
      </c>
      <c r="C1311" s="125">
        <f>+IFERROR(VLOOKUP(L1311,'TB mapping'!A:C,3,0),0)</f>
        <v>6.3</v>
      </c>
      <c r="D1311" s="125" t="str">
        <f t="shared" si="137"/>
        <v>LIC346.1</v>
      </c>
      <c r="E1311" s="125" t="str">
        <f t="shared" si="138"/>
        <v>LIC346.3</v>
      </c>
      <c r="F1311" s="158" t="str">
        <f>+VLOOKUP(H1311,'code mapping'!A:C,3,0)</f>
        <v>LIC34</v>
      </c>
      <c r="G1311" s="127" t="s">
        <v>453</v>
      </c>
      <c r="H1311" s="127" t="s">
        <v>623</v>
      </c>
      <c r="I1311" s="127" t="s">
        <v>624</v>
      </c>
      <c r="J1311" s="128">
        <v>550000</v>
      </c>
      <c r="K1311" s="127" t="s">
        <v>550</v>
      </c>
      <c r="L1311" s="151">
        <v>553172</v>
      </c>
      <c r="M1311" s="128">
        <v>0</v>
      </c>
      <c r="N1311" s="127" t="s">
        <v>558</v>
      </c>
      <c r="O1311" s="127" t="s">
        <v>457</v>
      </c>
      <c r="P1311" s="128">
        <v>-528413.35</v>
      </c>
      <c r="Q1311" s="128">
        <v>0</v>
      </c>
      <c r="R1311" s="128">
        <v>0</v>
      </c>
      <c r="S1311" s="128">
        <v>0</v>
      </c>
      <c r="T1311" s="128">
        <v>-528413.35</v>
      </c>
      <c r="U1311" s="128">
        <v>0</v>
      </c>
      <c r="V1311" s="128">
        <v>-528413.35</v>
      </c>
      <c r="W1311" s="128">
        <v>0</v>
      </c>
      <c r="X1311" s="128">
        <v>0</v>
      </c>
      <c r="Y1311" s="128">
        <v>0</v>
      </c>
      <c r="Z1311" s="128">
        <v>-528413.35</v>
      </c>
      <c r="AA1311" s="128">
        <v>0</v>
      </c>
      <c r="AB1311" s="126">
        <f t="shared" si="139"/>
        <v>5.2841334999999996E-2</v>
      </c>
      <c r="AC1311" s="122" t="s">
        <v>1838</v>
      </c>
      <c r="AD1311" s="123">
        <f t="shared" si="141"/>
        <v>2.1279809730000001</v>
      </c>
    </row>
    <row r="1312" spans="1:30" ht="12.75" hidden="1" customHeight="1">
      <c r="A1312" s="125" t="str">
        <f t="shared" si="136"/>
        <v>LIC34CCIL Expenses</v>
      </c>
      <c r="B1312" s="125">
        <f>+IFERROR(VLOOKUP(L1312,'TB mapping'!A:D,4,0),0)</f>
        <v>0</v>
      </c>
      <c r="C1312" s="125">
        <f>+IFERROR(VLOOKUP(L1312,'TB mapping'!A:C,3,0),0)</f>
        <v>6.3</v>
      </c>
      <c r="D1312" s="125" t="str">
        <f t="shared" si="137"/>
        <v>LIC340</v>
      </c>
      <c r="E1312" s="125" t="str">
        <f t="shared" si="138"/>
        <v>LIC346.3</v>
      </c>
      <c r="F1312" s="158" t="str">
        <f>+VLOOKUP(H1312,'code mapping'!A:C,3,0)</f>
        <v>LIC34</v>
      </c>
      <c r="G1312" s="127" t="s">
        <v>453</v>
      </c>
      <c r="H1312" s="127" t="s">
        <v>623</v>
      </c>
      <c r="I1312" s="127" t="s">
        <v>624</v>
      </c>
      <c r="J1312" s="128">
        <v>550000</v>
      </c>
      <c r="K1312" s="127" t="s">
        <v>550</v>
      </c>
      <c r="L1312" s="151">
        <v>553176</v>
      </c>
      <c r="M1312" s="128">
        <v>0</v>
      </c>
      <c r="N1312" s="127" t="s">
        <v>559</v>
      </c>
      <c r="O1312" s="127" t="s">
        <v>457</v>
      </c>
      <c r="P1312" s="128">
        <v>-295819.74</v>
      </c>
      <c r="Q1312" s="128">
        <v>0</v>
      </c>
      <c r="R1312" s="128">
        <v>0</v>
      </c>
      <c r="S1312" s="128">
        <v>0</v>
      </c>
      <c r="T1312" s="128">
        <v>-295819.74</v>
      </c>
      <c r="U1312" s="128">
        <v>0</v>
      </c>
      <c r="V1312" s="128">
        <v>-295819.74</v>
      </c>
      <c r="W1312" s="128">
        <v>0</v>
      </c>
      <c r="X1312" s="128">
        <v>0</v>
      </c>
      <c r="Y1312" s="128">
        <v>0</v>
      </c>
      <c r="Z1312" s="128">
        <v>-295819.74</v>
      </c>
      <c r="AA1312" s="128">
        <v>0</v>
      </c>
      <c r="AB1312" s="126">
        <f t="shared" si="139"/>
        <v>2.9581974E-2</v>
      </c>
      <c r="AC1312" s="122" t="s">
        <v>1838</v>
      </c>
      <c r="AD1312" s="123">
        <f t="shared" si="141"/>
        <v>2.1279809730000001</v>
      </c>
    </row>
    <row r="1313" spans="1:30" ht="12.75" hidden="1" customHeight="1">
      <c r="A1313" s="125" t="str">
        <f t="shared" si="136"/>
        <v>LIC34Out of Pocket Expenses - R&amp;T</v>
      </c>
      <c r="B1313" s="125">
        <f>+IFERROR(VLOOKUP(L1313,'TB mapping'!A:D,4,0),0)</f>
        <v>0</v>
      </c>
      <c r="C1313" s="125">
        <f>+IFERROR(VLOOKUP(L1313,'TB mapping'!A:C,3,0),0)</f>
        <v>6.3</v>
      </c>
      <c r="D1313" s="125" t="str">
        <f t="shared" si="137"/>
        <v>LIC340</v>
      </c>
      <c r="E1313" s="125" t="str">
        <f t="shared" si="138"/>
        <v>LIC346.3</v>
      </c>
      <c r="F1313" s="158" t="str">
        <f>+VLOOKUP(H1313,'code mapping'!A:C,3,0)</f>
        <v>LIC34</v>
      </c>
      <c r="G1313" s="127" t="s">
        <v>453</v>
      </c>
      <c r="H1313" s="127" t="s">
        <v>623</v>
      </c>
      <c r="I1313" s="127" t="s">
        <v>624</v>
      </c>
      <c r="J1313" s="128">
        <v>550000</v>
      </c>
      <c r="K1313" s="127" t="s">
        <v>550</v>
      </c>
      <c r="L1313" s="151">
        <v>553180</v>
      </c>
      <c r="M1313" s="128">
        <v>0</v>
      </c>
      <c r="N1313" s="127" t="s">
        <v>560</v>
      </c>
      <c r="O1313" s="127" t="s">
        <v>457</v>
      </c>
      <c r="P1313" s="128">
        <v>-4757.8100000000004</v>
      </c>
      <c r="Q1313" s="128">
        <v>0</v>
      </c>
      <c r="R1313" s="128">
        <v>0</v>
      </c>
      <c r="S1313" s="128">
        <v>0</v>
      </c>
      <c r="T1313" s="128">
        <v>-4757.8100000000004</v>
      </c>
      <c r="U1313" s="128">
        <v>0</v>
      </c>
      <c r="V1313" s="128">
        <v>-4757.8100000000004</v>
      </c>
      <c r="W1313" s="128">
        <v>0</v>
      </c>
      <c r="X1313" s="128">
        <v>0</v>
      </c>
      <c r="Y1313" s="128">
        <v>0</v>
      </c>
      <c r="Z1313" s="128">
        <v>-4757.8100000000004</v>
      </c>
      <c r="AA1313" s="128">
        <v>0</v>
      </c>
      <c r="AB1313" s="126">
        <f t="shared" si="139"/>
        <v>4.7578100000000004E-4</v>
      </c>
      <c r="AC1313" s="122" t="s">
        <v>1838</v>
      </c>
      <c r="AD1313" s="123">
        <f t="shared" si="141"/>
        <v>2.1279809730000001</v>
      </c>
    </row>
    <row r="1314" spans="1:30" ht="12.75" hidden="1" customHeight="1">
      <c r="A1314" s="125" t="str">
        <f t="shared" si="136"/>
        <v>LIC34Other Expenses</v>
      </c>
      <c r="B1314" s="125">
        <f>+IFERROR(VLOOKUP(L1314,'TB mapping'!A:D,4,0),0)</f>
        <v>0</v>
      </c>
      <c r="C1314" s="125">
        <f>+IFERROR(VLOOKUP(L1314,'TB mapping'!A:C,3,0),0)</f>
        <v>6.3</v>
      </c>
      <c r="D1314" s="125" t="str">
        <f t="shared" si="137"/>
        <v>LIC340</v>
      </c>
      <c r="E1314" s="125" t="str">
        <f t="shared" si="138"/>
        <v>LIC346.3</v>
      </c>
      <c r="F1314" s="158" t="str">
        <f>+VLOOKUP(H1314,'code mapping'!A:C,3,0)</f>
        <v>LIC34</v>
      </c>
      <c r="G1314" s="127" t="s">
        <v>453</v>
      </c>
      <c r="H1314" s="127" t="s">
        <v>623</v>
      </c>
      <c r="I1314" s="127" t="s">
        <v>624</v>
      </c>
      <c r="J1314" s="128">
        <v>550000</v>
      </c>
      <c r="K1314" s="127" t="s">
        <v>550</v>
      </c>
      <c r="L1314" s="151">
        <v>553190</v>
      </c>
      <c r="M1314" s="128">
        <v>0</v>
      </c>
      <c r="N1314" s="127" t="s">
        <v>561</v>
      </c>
      <c r="O1314" s="127" t="s">
        <v>457</v>
      </c>
      <c r="P1314" s="128">
        <v>0</v>
      </c>
      <c r="Q1314" s="128">
        <v>287803.26</v>
      </c>
      <c r="R1314" s="128">
        <v>0</v>
      </c>
      <c r="S1314" s="128">
        <v>0</v>
      </c>
      <c r="T1314" s="128">
        <v>0</v>
      </c>
      <c r="U1314" s="128">
        <v>287803.26</v>
      </c>
      <c r="V1314" s="128">
        <v>0</v>
      </c>
      <c r="W1314" s="128">
        <v>287803.26</v>
      </c>
      <c r="X1314" s="128">
        <v>0</v>
      </c>
      <c r="Y1314" s="128">
        <v>0</v>
      </c>
      <c r="Z1314" s="128">
        <v>0</v>
      </c>
      <c r="AA1314" s="128">
        <v>287803.26</v>
      </c>
      <c r="AB1314" s="126">
        <f t="shared" si="139"/>
        <v>-2.8780326000000002E-2</v>
      </c>
      <c r="AC1314" s="122" t="s">
        <v>1838</v>
      </c>
      <c r="AD1314" s="123">
        <f t="shared" si="141"/>
        <v>2.1279809730000001</v>
      </c>
    </row>
    <row r="1315" spans="1:30" ht="12.75" hidden="1" customHeight="1">
      <c r="A1315" s="125" t="str">
        <f t="shared" si="136"/>
        <v>LIC34Other Expenses-RG</v>
      </c>
      <c r="B1315" s="125">
        <f>+IFERROR(VLOOKUP(L1315,'TB mapping'!A:D,4,0),0)</f>
        <v>0</v>
      </c>
      <c r="C1315" s="125">
        <f>+IFERROR(VLOOKUP(L1315,'TB mapping'!A:C,3,0),0)</f>
        <v>6.3</v>
      </c>
      <c r="D1315" s="125" t="str">
        <f t="shared" si="137"/>
        <v>LIC340</v>
      </c>
      <c r="E1315" s="125" t="str">
        <f t="shared" si="138"/>
        <v>LIC346.3</v>
      </c>
      <c r="F1315" s="158" t="str">
        <f>+VLOOKUP(H1315,'code mapping'!A:C,3,0)</f>
        <v>LIC34</v>
      </c>
      <c r="G1315" s="127" t="s">
        <v>453</v>
      </c>
      <c r="H1315" s="127" t="s">
        <v>623</v>
      </c>
      <c r="I1315" s="127" t="s">
        <v>624</v>
      </c>
      <c r="J1315" s="128">
        <v>550000</v>
      </c>
      <c r="K1315" s="127" t="s">
        <v>550</v>
      </c>
      <c r="L1315" s="151">
        <v>553191</v>
      </c>
      <c r="M1315" s="128">
        <v>0</v>
      </c>
      <c r="N1315" s="127" t="s">
        <v>562</v>
      </c>
      <c r="O1315" s="127" t="s">
        <v>457</v>
      </c>
      <c r="P1315" s="128">
        <v>-467401.94</v>
      </c>
      <c r="Q1315" s="128">
        <v>0</v>
      </c>
      <c r="R1315" s="128">
        <v>0</v>
      </c>
      <c r="S1315" s="128">
        <v>0</v>
      </c>
      <c r="T1315" s="128">
        <v>-467401.94</v>
      </c>
      <c r="U1315" s="128">
        <v>0</v>
      </c>
      <c r="V1315" s="128">
        <v>-467401.94</v>
      </c>
      <c r="W1315" s="128">
        <v>0</v>
      </c>
      <c r="X1315" s="128">
        <v>0</v>
      </c>
      <c r="Y1315" s="128">
        <v>0</v>
      </c>
      <c r="Z1315" s="128">
        <v>-467401.94</v>
      </c>
      <c r="AA1315" s="128">
        <v>0</v>
      </c>
      <c r="AB1315" s="126">
        <f t="shared" si="139"/>
        <v>4.6740193999999999E-2</v>
      </c>
      <c r="AC1315" s="122" t="s">
        <v>1838</v>
      </c>
      <c r="AD1315" s="123">
        <f t="shared" si="141"/>
        <v>2.1279809730000001</v>
      </c>
    </row>
    <row r="1316" spans="1:30" ht="12.75" hidden="1" customHeight="1">
      <c r="A1316" s="125" t="str">
        <f t="shared" si="136"/>
        <v>LIC34Other Expenses-RD</v>
      </c>
      <c r="B1316" s="125">
        <f>+IFERROR(VLOOKUP(L1316,'TB mapping'!A:D,4,0),0)</f>
        <v>0</v>
      </c>
      <c r="C1316" s="125">
        <f>+IFERROR(VLOOKUP(L1316,'TB mapping'!A:C,3,0),0)</f>
        <v>6.3</v>
      </c>
      <c r="D1316" s="125" t="str">
        <f t="shared" si="137"/>
        <v>LIC340</v>
      </c>
      <c r="E1316" s="125" t="str">
        <f t="shared" si="138"/>
        <v>LIC346.3</v>
      </c>
      <c r="F1316" s="158" t="str">
        <f>+VLOOKUP(H1316,'code mapping'!A:C,3,0)</f>
        <v>LIC34</v>
      </c>
      <c r="G1316" s="127" t="s">
        <v>453</v>
      </c>
      <c r="H1316" s="127" t="s">
        <v>623</v>
      </c>
      <c r="I1316" s="127" t="s">
        <v>624</v>
      </c>
      <c r="J1316" s="128">
        <v>550000</v>
      </c>
      <c r="K1316" s="127" t="s">
        <v>550</v>
      </c>
      <c r="L1316" s="151">
        <v>553192</v>
      </c>
      <c r="M1316" s="128">
        <v>0</v>
      </c>
      <c r="N1316" s="127" t="s">
        <v>563</v>
      </c>
      <c r="O1316" s="127" t="s">
        <v>457</v>
      </c>
      <c r="P1316" s="128">
        <v>-18675.52</v>
      </c>
      <c r="Q1316" s="128">
        <v>0</v>
      </c>
      <c r="R1316" s="128">
        <v>0</v>
      </c>
      <c r="S1316" s="128">
        <v>0</v>
      </c>
      <c r="T1316" s="128">
        <v>-18675.52</v>
      </c>
      <c r="U1316" s="128">
        <v>0</v>
      </c>
      <c r="V1316" s="128">
        <v>-18675.52</v>
      </c>
      <c r="W1316" s="128">
        <v>0</v>
      </c>
      <c r="X1316" s="128">
        <v>0</v>
      </c>
      <c r="Y1316" s="128">
        <v>0</v>
      </c>
      <c r="Z1316" s="128">
        <v>-18675.52</v>
      </c>
      <c r="AA1316" s="128">
        <v>0</v>
      </c>
      <c r="AB1316" s="126">
        <f t="shared" si="139"/>
        <v>1.867552E-3</v>
      </c>
      <c r="AC1316" s="122" t="s">
        <v>1838</v>
      </c>
      <c r="AD1316" s="123">
        <f t="shared" si="141"/>
        <v>2.1279809730000001</v>
      </c>
    </row>
    <row r="1317" spans="1:30" ht="12.75" hidden="1" customHeight="1">
      <c r="A1317" s="125" t="str">
        <f t="shared" si="136"/>
        <v>LIC34Other Exp - Brok - Indirect</v>
      </c>
      <c r="B1317" s="125">
        <f>+IFERROR(VLOOKUP(L1317,'TB mapping'!A:D,4,0),0)</f>
        <v>0</v>
      </c>
      <c r="C1317" s="125">
        <f>+IFERROR(VLOOKUP(L1317,'TB mapping'!A:C,3,0),0)</f>
        <v>6.3</v>
      </c>
      <c r="D1317" s="125" t="str">
        <f t="shared" si="137"/>
        <v>LIC340</v>
      </c>
      <c r="E1317" s="125" t="str">
        <f t="shared" si="138"/>
        <v>LIC346.3</v>
      </c>
      <c r="F1317" s="158" t="str">
        <f>+VLOOKUP(H1317,'code mapping'!A:C,3,0)</f>
        <v>LIC34</v>
      </c>
      <c r="G1317" s="127" t="s">
        <v>453</v>
      </c>
      <c r="H1317" s="127" t="s">
        <v>623</v>
      </c>
      <c r="I1317" s="127" t="s">
        <v>624</v>
      </c>
      <c r="J1317" s="128">
        <v>550000</v>
      </c>
      <c r="K1317" s="127" t="s">
        <v>550</v>
      </c>
      <c r="L1317" s="151">
        <v>553202</v>
      </c>
      <c r="M1317" s="128">
        <v>0</v>
      </c>
      <c r="N1317" s="127" t="s">
        <v>564</v>
      </c>
      <c r="O1317" s="127" t="s">
        <v>457</v>
      </c>
      <c r="P1317" s="128">
        <v>-2238616.09</v>
      </c>
      <c r="Q1317" s="128">
        <v>0</v>
      </c>
      <c r="R1317" s="128">
        <v>0</v>
      </c>
      <c r="S1317" s="128">
        <v>0</v>
      </c>
      <c r="T1317" s="128">
        <v>-2238616.09</v>
      </c>
      <c r="U1317" s="128">
        <v>0</v>
      </c>
      <c r="V1317" s="128">
        <v>-2238616.09</v>
      </c>
      <c r="W1317" s="128">
        <v>0</v>
      </c>
      <c r="X1317" s="128">
        <v>0</v>
      </c>
      <c r="Y1317" s="128">
        <v>0</v>
      </c>
      <c r="Z1317" s="128">
        <v>-2238616.09</v>
      </c>
      <c r="AA1317" s="128">
        <v>0</v>
      </c>
      <c r="AB1317" s="126">
        <f t="shared" si="139"/>
        <v>0.22386160899999999</v>
      </c>
      <c r="AC1317" s="122" t="s">
        <v>1838</v>
      </c>
      <c r="AD1317" s="123">
        <f t="shared" si="141"/>
        <v>2.1279809730000001</v>
      </c>
    </row>
    <row r="1318" spans="1:30" ht="12.75" hidden="1" customHeight="1">
      <c r="A1318" s="125" t="str">
        <f t="shared" si="136"/>
        <v>LIC34Brokerage/Dist Exps</v>
      </c>
      <c r="B1318" s="125">
        <f>+IFERROR(VLOOKUP(L1318,'TB mapping'!A:D,4,0),0)</f>
        <v>0</v>
      </c>
      <c r="C1318" s="125">
        <f>+IFERROR(VLOOKUP(L1318,'TB mapping'!A:C,3,0),0)</f>
        <v>6.3</v>
      </c>
      <c r="D1318" s="125" t="str">
        <f t="shared" si="137"/>
        <v>LIC340</v>
      </c>
      <c r="E1318" s="125" t="str">
        <f t="shared" si="138"/>
        <v>LIC346.3</v>
      </c>
      <c r="F1318" s="158" t="str">
        <f>+VLOOKUP(H1318,'code mapping'!A:C,3,0)</f>
        <v>LIC34</v>
      </c>
      <c r="G1318" s="127" t="s">
        <v>453</v>
      </c>
      <c r="H1318" s="127" t="s">
        <v>623</v>
      </c>
      <c r="I1318" s="127" t="s">
        <v>624</v>
      </c>
      <c r="J1318" s="128">
        <v>550000</v>
      </c>
      <c r="K1318" s="127" t="s">
        <v>550</v>
      </c>
      <c r="L1318" s="151">
        <v>553208</v>
      </c>
      <c r="M1318" s="128">
        <v>0</v>
      </c>
      <c r="N1318" s="127" t="s">
        <v>565</v>
      </c>
      <c r="O1318" s="127" t="s">
        <v>457</v>
      </c>
      <c r="P1318" s="128">
        <v>0</v>
      </c>
      <c r="Q1318" s="128">
        <v>1186458.8700000001</v>
      </c>
      <c r="R1318" s="128">
        <v>0</v>
      </c>
      <c r="S1318" s="128">
        <v>0</v>
      </c>
      <c r="T1318" s="128">
        <v>0</v>
      </c>
      <c r="U1318" s="128">
        <v>1186458.8700000001</v>
      </c>
      <c r="V1318" s="128">
        <v>0</v>
      </c>
      <c r="W1318" s="128">
        <v>1186458.8700000001</v>
      </c>
      <c r="X1318" s="128">
        <v>0</v>
      </c>
      <c r="Y1318" s="128">
        <v>0</v>
      </c>
      <c r="Z1318" s="128">
        <v>0</v>
      </c>
      <c r="AA1318" s="128">
        <v>1186458.8700000001</v>
      </c>
      <c r="AB1318" s="126">
        <f t="shared" si="139"/>
        <v>-0.11864588700000001</v>
      </c>
      <c r="AC1318" s="122" t="s">
        <v>1838</v>
      </c>
      <c r="AD1318" s="123">
        <f t="shared" ref="AD1318:AD1341" si="142">SUMIF(E:E,E1318,AB:AB)</f>
        <v>2.1279809730000001</v>
      </c>
    </row>
    <row r="1319" spans="1:30" ht="12.75" hidden="1" customHeight="1">
      <c r="A1319" s="125" t="str">
        <f t="shared" si="136"/>
        <v>LIC34Internal Audit Fee</v>
      </c>
      <c r="B1319" s="125">
        <f>+IFERROR(VLOOKUP(L1319,'TB mapping'!A:D,4,0),0)</f>
        <v>0</v>
      </c>
      <c r="C1319" s="125">
        <f>+IFERROR(VLOOKUP(L1319,'TB mapping'!A:C,3,0),0)</f>
        <v>6.3</v>
      </c>
      <c r="D1319" s="125" t="str">
        <f t="shared" si="137"/>
        <v>LIC340</v>
      </c>
      <c r="E1319" s="125" t="str">
        <f t="shared" si="138"/>
        <v>LIC346.3</v>
      </c>
      <c r="F1319" s="158" t="str">
        <f>+VLOOKUP(H1319,'code mapping'!A:C,3,0)</f>
        <v>LIC34</v>
      </c>
      <c r="G1319" s="127" t="s">
        <v>453</v>
      </c>
      <c r="H1319" s="127" t="s">
        <v>623</v>
      </c>
      <c r="I1319" s="127" t="s">
        <v>624</v>
      </c>
      <c r="J1319" s="128">
        <v>550000</v>
      </c>
      <c r="K1319" s="127" t="s">
        <v>550</v>
      </c>
      <c r="L1319" s="151">
        <v>553213</v>
      </c>
      <c r="M1319" s="128">
        <v>0</v>
      </c>
      <c r="N1319" s="127" t="s">
        <v>566</v>
      </c>
      <c r="O1319" s="127" t="s">
        <v>457</v>
      </c>
      <c r="P1319" s="128">
        <v>-10809.67</v>
      </c>
      <c r="Q1319" s="128">
        <v>0</v>
      </c>
      <c r="R1319" s="128">
        <v>0</v>
      </c>
      <c r="S1319" s="128">
        <v>0</v>
      </c>
      <c r="T1319" s="128">
        <v>-10809.67</v>
      </c>
      <c r="U1319" s="128">
        <v>0</v>
      </c>
      <c r="V1319" s="128">
        <v>-10809.67</v>
      </c>
      <c r="W1319" s="128">
        <v>0</v>
      </c>
      <c r="X1319" s="128">
        <v>0</v>
      </c>
      <c r="Y1319" s="128">
        <v>0</v>
      </c>
      <c r="Z1319" s="128">
        <v>-10809.67</v>
      </c>
      <c r="AA1319" s="128">
        <v>0</v>
      </c>
      <c r="AB1319" s="126">
        <f t="shared" si="139"/>
        <v>1.080967E-3</v>
      </c>
      <c r="AC1319" s="122" t="s">
        <v>1838</v>
      </c>
      <c r="AD1319" s="123">
        <f t="shared" si="142"/>
        <v>2.1279809730000001</v>
      </c>
    </row>
    <row r="1320" spans="1:30" ht="12.75" hidden="1" customHeight="1">
      <c r="A1320" s="125" t="str">
        <f t="shared" si="136"/>
        <v>LIC34Other Expenses-GDP</v>
      </c>
      <c r="B1320" s="125">
        <f>+IFERROR(VLOOKUP(L1320,'TB mapping'!A:D,4,0),0)</f>
        <v>0</v>
      </c>
      <c r="C1320" s="125">
        <f>+IFERROR(VLOOKUP(L1320,'TB mapping'!A:C,3,0),0)</f>
        <v>6.3</v>
      </c>
      <c r="D1320" s="125" t="str">
        <f t="shared" si="137"/>
        <v>LIC340</v>
      </c>
      <c r="E1320" s="125" t="str">
        <f t="shared" si="138"/>
        <v>LIC346.3</v>
      </c>
      <c r="F1320" s="158" t="str">
        <f>+VLOOKUP(H1320,'code mapping'!A:C,3,0)</f>
        <v>LIC34</v>
      </c>
      <c r="G1320" s="127" t="s">
        <v>453</v>
      </c>
      <c r="H1320" s="127" t="s">
        <v>623</v>
      </c>
      <c r="I1320" s="127" t="s">
        <v>624</v>
      </c>
      <c r="J1320" s="128">
        <v>550000</v>
      </c>
      <c r="K1320" s="127" t="s">
        <v>550</v>
      </c>
      <c r="L1320" s="151">
        <v>553329</v>
      </c>
      <c r="M1320" s="128">
        <v>0</v>
      </c>
      <c r="N1320" s="127" t="s">
        <v>567</v>
      </c>
      <c r="O1320" s="127" t="s">
        <v>457</v>
      </c>
      <c r="P1320" s="128">
        <v>-503731.7</v>
      </c>
      <c r="Q1320" s="128">
        <v>0</v>
      </c>
      <c r="R1320" s="128">
        <v>0</v>
      </c>
      <c r="S1320" s="128">
        <v>0</v>
      </c>
      <c r="T1320" s="128">
        <v>-503731.7</v>
      </c>
      <c r="U1320" s="128">
        <v>0</v>
      </c>
      <c r="V1320" s="128">
        <v>-503731.7</v>
      </c>
      <c r="W1320" s="128">
        <v>0</v>
      </c>
      <c r="X1320" s="128">
        <v>0</v>
      </c>
      <c r="Y1320" s="128">
        <v>0</v>
      </c>
      <c r="Z1320" s="128">
        <v>-503731.7</v>
      </c>
      <c r="AA1320" s="128">
        <v>0</v>
      </c>
      <c r="AB1320" s="126">
        <f t="shared" si="139"/>
        <v>5.0373170000000002E-2</v>
      </c>
      <c r="AC1320" s="122" t="s">
        <v>1838</v>
      </c>
      <c r="AD1320" s="123">
        <f t="shared" si="142"/>
        <v>2.1279809730000001</v>
      </c>
    </row>
    <row r="1321" spans="1:30" ht="12.75" hidden="1" customHeight="1">
      <c r="A1321" s="125" t="str">
        <f t="shared" si="136"/>
        <v>LIC34Other Expenses-DDP</v>
      </c>
      <c r="B1321" s="125">
        <f>+IFERROR(VLOOKUP(L1321,'TB mapping'!A:D,4,0),0)</f>
        <v>0</v>
      </c>
      <c r="C1321" s="125">
        <f>+IFERROR(VLOOKUP(L1321,'TB mapping'!A:C,3,0),0)</f>
        <v>6.3</v>
      </c>
      <c r="D1321" s="125" t="str">
        <f t="shared" si="137"/>
        <v>LIC340</v>
      </c>
      <c r="E1321" s="125" t="str">
        <f t="shared" si="138"/>
        <v>LIC346.3</v>
      </c>
      <c r="F1321" s="158" t="str">
        <f>+VLOOKUP(H1321,'code mapping'!A:C,3,0)</f>
        <v>LIC34</v>
      </c>
      <c r="G1321" s="127" t="s">
        <v>453</v>
      </c>
      <c r="H1321" s="127" t="s">
        <v>623</v>
      </c>
      <c r="I1321" s="127" t="s">
        <v>624</v>
      </c>
      <c r="J1321" s="128">
        <v>550000</v>
      </c>
      <c r="K1321" s="127" t="s">
        <v>550</v>
      </c>
      <c r="L1321" s="151">
        <v>553330</v>
      </c>
      <c r="M1321" s="128">
        <v>0</v>
      </c>
      <c r="N1321" s="127" t="s">
        <v>568</v>
      </c>
      <c r="O1321" s="127" t="s">
        <v>457</v>
      </c>
      <c r="P1321" s="128">
        <v>-7.72</v>
      </c>
      <c r="Q1321" s="128">
        <v>0</v>
      </c>
      <c r="R1321" s="128">
        <v>0</v>
      </c>
      <c r="S1321" s="128">
        <v>0</v>
      </c>
      <c r="T1321" s="128">
        <v>-7.72</v>
      </c>
      <c r="U1321" s="128">
        <v>0</v>
      </c>
      <c r="V1321" s="128">
        <v>-7.72</v>
      </c>
      <c r="W1321" s="128">
        <v>0</v>
      </c>
      <c r="X1321" s="128">
        <v>0</v>
      </c>
      <c r="Y1321" s="128">
        <v>0</v>
      </c>
      <c r="Z1321" s="128">
        <v>-7.72</v>
      </c>
      <c r="AA1321" s="128">
        <v>0</v>
      </c>
      <c r="AB1321" s="126">
        <f t="shared" si="139"/>
        <v>7.7199999999999998E-7</v>
      </c>
      <c r="AC1321" s="122" t="s">
        <v>1838</v>
      </c>
      <c r="AD1321" s="123">
        <f t="shared" si="142"/>
        <v>2.1279809730000001</v>
      </c>
    </row>
    <row r="1322" spans="1:30" ht="12.75" hidden="1" customHeight="1">
      <c r="A1322" s="125" t="str">
        <f t="shared" si="136"/>
        <v>LIC34Other Exp-PF Plan-Dividend</v>
      </c>
      <c r="B1322" s="125">
        <f>+IFERROR(VLOOKUP(L1322,'TB mapping'!A:D,4,0),0)</f>
        <v>0</v>
      </c>
      <c r="C1322" s="125">
        <f>+IFERROR(VLOOKUP(L1322,'TB mapping'!A:C,3,0),0)</f>
        <v>6.3</v>
      </c>
      <c r="D1322" s="125" t="str">
        <f t="shared" si="137"/>
        <v>LIC340</v>
      </c>
      <c r="E1322" s="125" t="str">
        <f t="shared" si="138"/>
        <v>LIC346.3</v>
      </c>
      <c r="F1322" s="158" t="str">
        <f>+VLOOKUP(H1322,'code mapping'!A:C,3,0)</f>
        <v>LIC34</v>
      </c>
      <c r="G1322" s="127" t="s">
        <v>453</v>
      </c>
      <c r="H1322" s="127" t="s">
        <v>623</v>
      </c>
      <c r="I1322" s="127" t="s">
        <v>624</v>
      </c>
      <c r="J1322" s="128">
        <v>550000</v>
      </c>
      <c r="K1322" s="127" t="s">
        <v>550</v>
      </c>
      <c r="L1322" s="151">
        <v>553439</v>
      </c>
      <c r="M1322" s="128">
        <v>0</v>
      </c>
      <c r="N1322" s="127" t="s">
        <v>636</v>
      </c>
      <c r="O1322" s="127" t="s">
        <v>457</v>
      </c>
      <c r="P1322" s="128">
        <v>-17849.03</v>
      </c>
      <c r="Q1322" s="128">
        <v>0</v>
      </c>
      <c r="R1322" s="128">
        <v>0</v>
      </c>
      <c r="S1322" s="128">
        <v>0</v>
      </c>
      <c r="T1322" s="128">
        <v>-17849.03</v>
      </c>
      <c r="U1322" s="128">
        <v>0</v>
      </c>
      <c r="V1322" s="128">
        <v>-17849.03</v>
      </c>
      <c r="W1322" s="128">
        <v>0</v>
      </c>
      <c r="X1322" s="128">
        <v>0</v>
      </c>
      <c r="Y1322" s="128">
        <v>0</v>
      </c>
      <c r="Z1322" s="128">
        <v>-17849.03</v>
      </c>
      <c r="AA1322" s="128">
        <v>0</v>
      </c>
      <c r="AB1322" s="126">
        <f t="shared" si="139"/>
        <v>1.7849029999999998E-3</v>
      </c>
      <c r="AC1322" s="122" t="s">
        <v>1838</v>
      </c>
      <c r="AD1322" s="123">
        <f t="shared" si="142"/>
        <v>2.1279809730000001</v>
      </c>
    </row>
    <row r="1323" spans="1:30" ht="12.75" hidden="1" customHeight="1">
      <c r="A1323" s="125" t="str">
        <f t="shared" si="136"/>
        <v>LIC34Other Exp-PF Plan-Growth</v>
      </c>
      <c r="B1323" s="125">
        <f>+IFERROR(VLOOKUP(L1323,'TB mapping'!A:D,4,0),0)</f>
        <v>0</v>
      </c>
      <c r="C1323" s="125">
        <f>+IFERROR(VLOOKUP(L1323,'TB mapping'!A:C,3,0),0)</f>
        <v>6.3</v>
      </c>
      <c r="D1323" s="125" t="str">
        <f t="shared" si="137"/>
        <v>LIC340</v>
      </c>
      <c r="E1323" s="125" t="str">
        <f t="shared" si="138"/>
        <v>LIC346.3</v>
      </c>
      <c r="F1323" s="158" t="str">
        <f>+VLOOKUP(H1323,'code mapping'!A:C,3,0)</f>
        <v>LIC34</v>
      </c>
      <c r="G1323" s="127" t="s">
        <v>453</v>
      </c>
      <c r="H1323" s="127" t="s">
        <v>623</v>
      </c>
      <c r="I1323" s="127" t="s">
        <v>624</v>
      </c>
      <c r="J1323" s="128">
        <v>550000</v>
      </c>
      <c r="K1323" s="127" t="s">
        <v>550</v>
      </c>
      <c r="L1323" s="151">
        <v>553440</v>
      </c>
      <c r="M1323" s="128">
        <v>0</v>
      </c>
      <c r="N1323" s="127" t="s">
        <v>637</v>
      </c>
      <c r="O1323" s="127" t="s">
        <v>457</v>
      </c>
      <c r="P1323" s="128">
        <v>-38130.15</v>
      </c>
      <c r="Q1323" s="128">
        <v>0</v>
      </c>
      <c r="R1323" s="128">
        <v>0</v>
      </c>
      <c r="S1323" s="128">
        <v>0</v>
      </c>
      <c r="T1323" s="128">
        <v>-38130.15</v>
      </c>
      <c r="U1323" s="128">
        <v>0</v>
      </c>
      <c r="V1323" s="128">
        <v>-38130.15</v>
      </c>
      <c r="W1323" s="128">
        <v>0</v>
      </c>
      <c r="X1323" s="128">
        <v>0</v>
      </c>
      <c r="Y1323" s="128">
        <v>0</v>
      </c>
      <c r="Z1323" s="128">
        <v>-38130.15</v>
      </c>
      <c r="AA1323" s="128">
        <v>0</v>
      </c>
      <c r="AB1323" s="126">
        <f t="shared" si="139"/>
        <v>3.8130150000000003E-3</v>
      </c>
      <c r="AC1323" s="122" t="s">
        <v>1838</v>
      </c>
      <c r="AD1323" s="123">
        <f t="shared" si="142"/>
        <v>2.1279809730000001</v>
      </c>
    </row>
    <row r="1324" spans="1:30" ht="12.75" hidden="1" customHeight="1">
      <c r="A1324" s="125" t="str">
        <f t="shared" si="136"/>
        <v>LIC34Exp-Additional TER</v>
      </c>
      <c r="B1324" s="125">
        <f>+IFERROR(VLOOKUP(L1324,'TB mapping'!A:D,4,0),0)</f>
        <v>0</v>
      </c>
      <c r="C1324" s="125">
        <f>+IFERROR(VLOOKUP(L1324,'TB mapping'!A:C,3,0),0)</f>
        <v>6.3</v>
      </c>
      <c r="D1324" s="125" t="str">
        <f t="shared" si="137"/>
        <v>LIC340</v>
      </c>
      <c r="E1324" s="125" t="str">
        <f t="shared" si="138"/>
        <v>LIC346.3</v>
      </c>
      <c r="F1324" s="158" t="str">
        <f>+VLOOKUP(H1324,'code mapping'!A:C,3,0)</f>
        <v>LIC34</v>
      </c>
      <c r="G1324" s="127" t="s">
        <v>453</v>
      </c>
      <c r="H1324" s="127" t="s">
        <v>623</v>
      </c>
      <c r="I1324" s="127" t="s">
        <v>624</v>
      </c>
      <c r="J1324" s="128">
        <v>550000</v>
      </c>
      <c r="K1324" s="127" t="s">
        <v>550</v>
      </c>
      <c r="L1324" s="151">
        <v>553900</v>
      </c>
      <c r="M1324" s="128">
        <v>0</v>
      </c>
      <c r="N1324" s="127" t="s">
        <v>638</v>
      </c>
      <c r="O1324" s="127" t="s">
        <v>457</v>
      </c>
      <c r="P1324" s="128">
        <v>-25977</v>
      </c>
      <c r="Q1324" s="128">
        <v>0</v>
      </c>
      <c r="R1324" s="128">
        <v>0</v>
      </c>
      <c r="S1324" s="128">
        <v>0</v>
      </c>
      <c r="T1324" s="128">
        <v>-25977</v>
      </c>
      <c r="U1324" s="128">
        <v>0</v>
      </c>
      <c r="V1324" s="128">
        <v>-25977</v>
      </c>
      <c r="W1324" s="128">
        <v>0</v>
      </c>
      <c r="X1324" s="128">
        <v>0</v>
      </c>
      <c r="Y1324" s="128">
        <v>0</v>
      </c>
      <c r="Z1324" s="128">
        <v>-25977</v>
      </c>
      <c r="AA1324" s="128">
        <v>0</v>
      </c>
      <c r="AB1324" s="126">
        <f t="shared" si="139"/>
        <v>2.5977000000000001E-3</v>
      </c>
      <c r="AC1324" s="122" t="s">
        <v>1838</v>
      </c>
      <c r="AD1324" s="123">
        <f t="shared" si="142"/>
        <v>2.1279809730000001</v>
      </c>
    </row>
    <row r="1325" spans="1:30" ht="12.75" hidden="1" customHeight="1">
      <c r="A1325" s="125" t="str">
        <f t="shared" si="136"/>
        <v>LIC34Inv Educ Fund Expense - Amfi</v>
      </c>
      <c r="B1325" s="125">
        <f>+IFERROR(VLOOKUP(L1325,'TB mapping'!A:D,4,0),0)</f>
        <v>0</v>
      </c>
      <c r="C1325" s="125">
        <f>+IFERROR(VLOOKUP(L1325,'TB mapping'!A:C,3,0),0)</f>
        <v>6.3</v>
      </c>
      <c r="D1325" s="125" t="str">
        <f t="shared" si="137"/>
        <v>LIC340</v>
      </c>
      <c r="E1325" s="125" t="str">
        <f t="shared" si="138"/>
        <v>LIC346.3</v>
      </c>
      <c r="F1325" s="158" t="str">
        <f>+VLOOKUP(H1325,'code mapping'!A:C,3,0)</f>
        <v>LIC34</v>
      </c>
      <c r="G1325" s="127" t="s">
        <v>453</v>
      </c>
      <c r="H1325" s="127" t="s">
        <v>623</v>
      </c>
      <c r="I1325" s="127" t="s">
        <v>624</v>
      </c>
      <c r="J1325" s="128">
        <v>550000</v>
      </c>
      <c r="K1325" s="127" t="s">
        <v>550</v>
      </c>
      <c r="L1325" s="151">
        <v>554526</v>
      </c>
      <c r="M1325" s="128">
        <v>0</v>
      </c>
      <c r="N1325" s="127" t="s">
        <v>569</v>
      </c>
      <c r="O1325" s="127" t="s">
        <v>457</v>
      </c>
      <c r="P1325" s="128">
        <v>-93453.08</v>
      </c>
      <c r="Q1325" s="128">
        <v>0</v>
      </c>
      <c r="R1325" s="128">
        <v>0</v>
      </c>
      <c r="S1325" s="128">
        <v>0</v>
      </c>
      <c r="T1325" s="128">
        <v>-93453.08</v>
      </c>
      <c r="U1325" s="128">
        <v>0</v>
      </c>
      <c r="V1325" s="128">
        <v>-93453.08</v>
      </c>
      <c r="W1325" s="128">
        <v>0</v>
      </c>
      <c r="X1325" s="128">
        <v>0</v>
      </c>
      <c r="Y1325" s="128">
        <v>0</v>
      </c>
      <c r="Z1325" s="128">
        <v>-93453.08</v>
      </c>
      <c r="AA1325" s="128">
        <v>0</v>
      </c>
      <c r="AB1325" s="126">
        <f t="shared" si="139"/>
        <v>9.3453080000000001E-3</v>
      </c>
      <c r="AC1325" s="122" t="s">
        <v>1838</v>
      </c>
      <c r="AD1325" s="123">
        <f t="shared" si="142"/>
        <v>2.1279809730000001</v>
      </c>
    </row>
    <row r="1326" spans="1:30" ht="12.75" hidden="1" customHeight="1">
      <c r="A1326" s="125" t="str">
        <f t="shared" si="136"/>
        <v>LIC34Client Servicing Expenes</v>
      </c>
      <c r="B1326" s="125">
        <f>+IFERROR(VLOOKUP(L1326,'TB mapping'!A:D,4,0),0)</f>
        <v>0</v>
      </c>
      <c r="C1326" s="125">
        <f>+IFERROR(VLOOKUP(L1326,'TB mapping'!A:C,3,0),0)</f>
        <v>6.3</v>
      </c>
      <c r="D1326" s="125" t="str">
        <f t="shared" si="137"/>
        <v>LIC340</v>
      </c>
      <c r="E1326" s="125" t="str">
        <f t="shared" si="138"/>
        <v>LIC346.3</v>
      </c>
      <c r="F1326" s="158" t="str">
        <f>+VLOOKUP(H1326,'code mapping'!A:C,3,0)</f>
        <v>LIC34</v>
      </c>
      <c r="G1326" s="127" t="s">
        <v>453</v>
      </c>
      <c r="H1326" s="127" t="s">
        <v>623</v>
      </c>
      <c r="I1326" s="127" t="s">
        <v>624</v>
      </c>
      <c r="J1326" s="128">
        <v>550000</v>
      </c>
      <c r="K1326" s="127" t="s">
        <v>550</v>
      </c>
      <c r="L1326" s="151">
        <v>555157</v>
      </c>
      <c r="M1326" s="128">
        <v>0</v>
      </c>
      <c r="N1326" s="127" t="s">
        <v>571</v>
      </c>
      <c r="O1326" s="127" t="s">
        <v>457</v>
      </c>
      <c r="P1326" s="128">
        <v>-3174708</v>
      </c>
      <c r="Q1326" s="128">
        <v>0</v>
      </c>
      <c r="R1326" s="128">
        <v>0</v>
      </c>
      <c r="S1326" s="128">
        <v>0</v>
      </c>
      <c r="T1326" s="128">
        <v>-3174708</v>
      </c>
      <c r="U1326" s="128">
        <v>0</v>
      </c>
      <c r="V1326" s="128">
        <v>-3174708</v>
      </c>
      <c r="W1326" s="128">
        <v>0</v>
      </c>
      <c r="X1326" s="128">
        <v>0</v>
      </c>
      <c r="Y1326" s="128">
        <v>0</v>
      </c>
      <c r="Z1326" s="128">
        <v>-3174708</v>
      </c>
      <c r="AA1326" s="128">
        <v>0</v>
      </c>
      <c r="AB1326" s="126">
        <f t="shared" si="139"/>
        <v>0.3174708</v>
      </c>
      <c r="AC1326" s="122" t="s">
        <v>1838</v>
      </c>
      <c r="AD1326" s="123">
        <f t="shared" si="142"/>
        <v>2.1279809730000001</v>
      </c>
    </row>
    <row r="1327" spans="1:30" ht="12.75" hidden="1" customHeight="1">
      <c r="A1327" s="125" t="str">
        <f t="shared" si="136"/>
        <v>LIC34Management Fee-Reclassfication</v>
      </c>
      <c r="B1327" s="125">
        <f>+IFERROR(VLOOKUP(L1327,'TB mapping'!A:D,4,0),0)</f>
        <v>6.1</v>
      </c>
      <c r="C1327" s="125">
        <f>+IFERROR(VLOOKUP(L1327,'TB mapping'!A:C,3,0),0)</f>
        <v>6.3</v>
      </c>
      <c r="D1327" s="125" t="str">
        <f t="shared" si="137"/>
        <v>LIC346.1</v>
      </c>
      <c r="E1327" s="125" t="str">
        <f t="shared" si="138"/>
        <v>LIC346.3</v>
      </c>
      <c r="F1327" s="158" t="str">
        <f>+VLOOKUP(H1327,'code mapping'!A:C,3,0)</f>
        <v>LIC34</v>
      </c>
      <c r="G1327" s="127" t="s">
        <v>453</v>
      </c>
      <c r="H1327" s="127" t="s">
        <v>623</v>
      </c>
      <c r="I1327" s="127" t="s">
        <v>624</v>
      </c>
      <c r="J1327" s="128">
        <v>550000</v>
      </c>
      <c r="K1327" s="127" t="s">
        <v>550</v>
      </c>
      <c r="L1327" s="151">
        <v>555274</v>
      </c>
      <c r="M1327" s="128">
        <v>0</v>
      </c>
      <c r="N1327" s="127" t="s">
        <v>583</v>
      </c>
      <c r="O1327" s="127" t="s">
        <v>457</v>
      </c>
      <c r="P1327" s="128">
        <v>-610168.88</v>
      </c>
      <c r="Q1327" s="128">
        <v>0</v>
      </c>
      <c r="R1327" s="128">
        <v>0</v>
      </c>
      <c r="S1327" s="128">
        <v>0</v>
      </c>
      <c r="T1327" s="128">
        <v>-610168.88</v>
      </c>
      <c r="U1327" s="128">
        <v>0</v>
      </c>
      <c r="V1327" s="128">
        <v>-610168.88</v>
      </c>
      <c r="W1327" s="128">
        <v>0</v>
      </c>
      <c r="X1327" s="128">
        <v>0</v>
      </c>
      <c r="Y1327" s="128">
        <v>0</v>
      </c>
      <c r="Z1327" s="128">
        <v>-610168.88</v>
      </c>
      <c r="AA1327" s="128">
        <v>0</v>
      </c>
      <c r="AB1327" s="126">
        <f t="shared" si="139"/>
        <v>6.1016887999999998E-2</v>
      </c>
      <c r="AC1327" s="122" t="s">
        <v>1838</v>
      </c>
      <c r="AD1327" s="123">
        <f t="shared" si="142"/>
        <v>2.1279809730000001</v>
      </c>
    </row>
    <row r="1328" spans="1:30" ht="12.75" hidden="1" customHeight="1">
      <c r="A1328" s="125" t="str">
        <f t="shared" si="136"/>
        <v>LIC34CGST on Reclassify of Exp</v>
      </c>
      <c r="B1328" s="125">
        <f>+IFERROR(VLOOKUP(L1328,'TB mapping'!A:D,4,0),0)</f>
        <v>0</v>
      </c>
      <c r="C1328" s="125">
        <f>+IFERROR(VLOOKUP(L1328,'TB mapping'!A:C,3,0),0)</f>
        <v>6.3</v>
      </c>
      <c r="D1328" s="125" t="str">
        <f t="shared" si="137"/>
        <v>LIC340</v>
      </c>
      <c r="E1328" s="125" t="str">
        <f t="shared" si="138"/>
        <v>LIC346.3</v>
      </c>
      <c r="F1328" s="158" t="str">
        <f>+VLOOKUP(H1328,'code mapping'!A:C,3,0)</f>
        <v>LIC34</v>
      </c>
      <c r="G1328" s="127" t="s">
        <v>453</v>
      </c>
      <c r="H1328" s="127" t="s">
        <v>623</v>
      </c>
      <c r="I1328" s="127" t="s">
        <v>624</v>
      </c>
      <c r="J1328" s="128">
        <v>550000</v>
      </c>
      <c r="K1328" s="127" t="s">
        <v>550</v>
      </c>
      <c r="L1328" s="151">
        <v>555276</v>
      </c>
      <c r="M1328" s="128">
        <v>0</v>
      </c>
      <c r="N1328" s="127" t="s">
        <v>572</v>
      </c>
      <c r="O1328" s="127" t="s">
        <v>457</v>
      </c>
      <c r="P1328" s="128">
        <v>-3813.56</v>
      </c>
      <c r="Q1328" s="128">
        <v>0</v>
      </c>
      <c r="R1328" s="128">
        <v>0</v>
      </c>
      <c r="S1328" s="128">
        <v>0</v>
      </c>
      <c r="T1328" s="128">
        <v>-3813.56</v>
      </c>
      <c r="U1328" s="128">
        <v>0</v>
      </c>
      <c r="V1328" s="128">
        <v>-3813.56</v>
      </c>
      <c r="W1328" s="128">
        <v>0</v>
      </c>
      <c r="X1328" s="128">
        <v>0</v>
      </c>
      <c r="Y1328" s="128">
        <v>0</v>
      </c>
      <c r="Z1328" s="128">
        <v>-3813.56</v>
      </c>
      <c r="AA1328" s="128">
        <v>0</v>
      </c>
      <c r="AB1328" s="126">
        <f t="shared" si="139"/>
        <v>3.8135600000000001E-4</v>
      </c>
      <c r="AC1328" s="122" t="s">
        <v>1838</v>
      </c>
      <c r="AD1328" s="123">
        <f t="shared" si="142"/>
        <v>2.1279809730000001</v>
      </c>
    </row>
    <row r="1329" spans="1:30" ht="12.75" hidden="1" customHeight="1">
      <c r="A1329" s="125" t="str">
        <f t="shared" si="136"/>
        <v>LIC34SGST on Reclassify of Exp</v>
      </c>
      <c r="B1329" s="125">
        <f>+IFERROR(VLOOKUP(L1329,'TB mapping'!A:D,4,0),0)</f>
        <v>0</v>
      </c>
      <c r="C1329" s="125">
        <f>+IFERROR(VLOOKUP(L1329,'TB mapping'!A:C,3,0),0)</f>
        <v>6.3</v>
      </c>
      <c r="D1329" s="125" t="str">
        <f t="shared" si="137"/>
        <v>LIC340</v>
      </c>
      <c r="E1329" s="125" t="str">
        <f t="shared" si="138"/>
        <v>LIC346.3</v>
      </c>
      <c r="F1329" s="158" t="str">
        <f>+VLOOKUP(H1329,'code mapping'!A:C,3,0)</f>
        <v>LIC34</v>
      </c>
      <c r="G1329" s="127" t="s">
        <v>453</v>
      </c>
      <c r="H1329" s="127" t="s">
        <v>623</v>
      </c>
      <c r="I1329" s="127" t="s">
        <v>624</v>
      </c>
      <c r="J1329" s="128">
        <v>550000</v>
      </c>
      <c r="K1329" s="127" t="s">
        <v>550</v>
      </c>
      <c r="L1329" s="151">
        <v>555277</v>
      </c>
      <c r="M1329" s="128">
        <v>0</v>
      </c>
      <c r="N1329" s="127" t="s">
        <v>573</v>
      </c>
      <c r="O1329" s="127" t="s">
        <v>457</v>
      </c>
      <c r="P1329" s="128">
        <v>-3813.56</v>
      </c>
      <c r="Q1329" s="128">
        <v>0</v>
      </c>
      <c r="R1329" s="128">
        <v>0</v>
      </c>
      <c r="S1329" s="128">
        <v>0</v>
      </c>
      <c r="T1329" s="128">
        <v>-3813.56</v>
      </c>
      <c r="U1329" s="128">
        <v>0</v>
      </c>
      <c r="V1329" s="128">
        <v>-3813.56</v>
      </c>
      <c r="W1329" s="128">
        <v>0</v>
      </c>
      <c r="X1329" s="128">
        <v>0</v>
      </c>
      <c r="Y1329" s="128">
        <v>0</v>
      </c>
      <c r="Z1329" s="128">
        <v>-3813.56</v>
      </c>
      <c r="AA1329" s="128">
        <v>0</v>
      </c>
      <c r="AB1329" s="126">
        <f t="shared" si="139"/>
        <v>3.8135600000000001E-4</v>
      </c>
      <c r="AC1329" s="122" t="s">
        <v>1838</v>
      </c>
      <c r="AD1329" s="123">
        <f t="shared" si="142"/>
        <v>2.1279809730000001</v>
      </c>
    </row>
    <row r="1330" spans="1:30" ht="12.75" hidden="1" customHeight="1">
      <c r="A1330" s="125" t="str">
        <f t="shared" si="136"/>
        <v>LIC34CGST on Mfees</v>
      </c>
      <c r="B1330" s="125">
        <f>+IFERROR(VLOOKUP(L1330,'TB mapping'!A:D,4,0),0)</f>
        <v>6.1</v>
      </c>
      <c r="C1330" s="125">
        <f>+IFERROR(VLOOKUP(L1330,'TB mapping'!A:C,3,0),0)</f>
        <v>6.3</v>
      </c>
      <c r="D1330" s="125" t="str">
        <f t="shared" si="137"/>
        <v>LIC346.1</v>
      </c>
      <c r="E1330" s="125" t="str">
        <f t="shared" si="138"/>
        <v>LIC346.3</v>
      </c>
      <c r="F1330" s="158" t="str">
        <f>+VLOOKUP(H1330,'code mapping'!A:C,3,0)</f>
        <v>LIC34</v>
      </c>
      <c r="G1330" s="127" t="s">
        <v>453</v>
      </c>
      <c r="H1330" s="127" t="s">
        <v>623</v>
      </c>
      <c r="I1330" s="127" t="s">
        <v>624</v>
      </c>
      <c r="J1330" s="128">
        <v>550000</v>
      </c>
      <c r="K1330" s="127" t="s">
        <v>550</v>
      </c>
      <c r="L1330" s="151">
        <v>555597</v>
      </c>
      <c r="M1330" s="128">
        <v>0</v>
      </c>
      <c r="N1330" s="127" t="s">
        <v>574</v>
      </c>
      <c r="O1330" s="127" t="s">
        <v>457</v>
      </c>
      <c r="P1330" s="128">
        <v>-927822.69</v>
      </c>
      <c r="Q1330" s="128">
        <v>0</v>
      </c>
      <c r="R1330" s="128">
        <v>0</v>
      </c>
      <c r="S1330" s="128">
        <v>0</v>
      </c>
      <c r="T1330" s="128">
        <v>-927822.69</v>
      </c>
      <c r="U1330" s="128">
        <v>0</v>
      </c>
      <c r="V1330" s="128">
        <v>-927822.69</v>
      </c>
      <c r="W1330" s="128">
        <v>0</v>
      </c>
      <c r="X1330" s="128">
        <v>0</v>
      </c>
      <c r="Y1330" s="128">
        <v>0</v>
      </c>
      <c r="Z1330" s="128">
        <v>-927822.69</v>
      </c>
      <c r="AA1330" s="128">
        <v>0</v>
      </c>
      <c r="AB1330" s="126">
        <f t="shared" si="139"/>
        <v>9.2782269000000001E-2</v>
      </c>
      <c r="AC1330" s="122" t="s">
        <v>1838</v>
      </c>
      <c r="AD1330" s="123">
        <f t="shared" si="142"/>
        <v>2.1279809730000001</v>
      </c>
    </row>
    <row r="1331" spans="1:30" ht="12.75" hidden="1" customHeight="1">
      <c r="A1331" s="125" t="str">
        <f t="shared" si="136"/>
        <v>LIC34SGST on Mfees</v>
      </c>
      <c r="B1331" s="125">
        <f>+IFERROR(VLOOKUP(L1331,'TB mapping'!A:D,4,0),0)</f>
        <v>6.1</v>
      </c>
      <c r="C1331" s="125">
        <f>+IFERROR(VLOOKUP(L1331,'TB mapping'!A:C,3,0),0)</f>
        <v>6.3</v>
      </c>
      <c r="D1331" s="125" t="str">
        <f t="shared" si="137"/>
        <v>LIC346.1</v>
      </c>
      <c r="E1331" s="125" t="str">
        <f t="shared" si="138"/>
        <v>LIC346.3</v>
      </c>
      <c r="F1331" s="158" t="str">
        <f>+VLOOKUP(H1331,'code mapping'!A:C,3,0)</f>
        <v>LIC34</v>
      </c>
      <c r="G1331" s="127" t="s">
        <v>453</v>
      </c>
      <c r="H1331" s="127" t="s">
        <v>623</v>
      </c>
      <c r="I1331" s="127" t="s">
        <v>624</v>
      </c>
      <c r="J1331" s="128">
        <v>550000</v>
      </c>
      <c r="K1331" s="127" t="s">
        <v>550</v>
      </c>
      <c r="L1331" s="151">
        <v>555598</v>
      </c>
      <c r="M1331" s="128">
        <v>0</v>
      </c>
      <c r="N1331" s="127" t="s">
        <v>575</v>
      </c>
      <c r="O1331" s="127" t="s">
        <v>457</v>
      </c>
      <c r="P1331" s="128">
        <v>-927822.57</v>
      </c>
      <c r="Q1331" s="128">
        <v>0</v>
      </c>
      <c r="R1331" s="128">
        <v>0</v>
      </c>
      <c r="S1331" s="128">
        <v>0</v>
      </c>
      <c r="T1331" s="128">
        <v>-927822.57</v>
      </c>
      <c r="U1331" s="128">
        <v>0</v>
      </c>
      <c r="V1331" s="128">
        <v>-927822.57</v>
      </c>
      <c r="W1331" s="128">
        <v>0</v>
      </c>
      <c r="X1331" s="128">
        <v>0</v>
      </c>
      <c r="Y1331" s="128">
        <v>0</v>
      </c>
      <c r="Z1331" s="128">
        <v>-927822.57</v>
      </c>
      <c r="AA1331" s="128">
        <v>0</v>
      </c>
      <c r="AB1331" s="126">
        <f t="shared" si="139"/>
        <v>9.2782256999999993E-2</v>
      </c>
      <c r="AC1331" s="122" t="s">
        <v>1838</v>
      </c>
      <c r="AD1331" s="123">
        <f t="shared" si="142"/>
        <v>2.1279809730000001</v>
      </c>
    </row>
    <row r="1332" spans="1:30" ht="12.75" hidden="1" customHeight="1">
      <c r="A1332" s="125" t="str">
        <f t="shared" si="136"/>
        <v>LIC34CGST on Mfees -GDP</v>
      </c>
      <c r="B1332" s="125">
        <f>+IFERROR(VLOOKUP(L1332,'TB mapping'!A:D,4,0),0)</f>
        <v>6.1</v>
      </c>
      <c r="C1332" s="125">
        <f>+IFERROR(VLOOKUP(L1332,'TB mapping'!A:C,3,0),0)</f>
        <v>6.3</v>
      </c>
      <c r="D1332" s="125" t="str">
        <f t="shared" si="137"/>
        <v>LIC346.1</v>
      </c>
      <c r="E1332" s="125" t="str">
        <f t="shared" si="138"/>
        <v>LIC346.3</v>
      </c>
      <c r="F1332" s="158" t="str">
        <f>+VLOOKUP(H1332,'code mapping'!A:C,3,0)</f>
        <v>LIC34</v>
      </c>
      <c r="G1332" s="127" t="s">
        <v>453</v>
      </c>
      <c r="H1332" s="127" t="s">
        <v>623</v>
      </c>
      <c r="I1332" s="127" t="s">
        <v>624</v>
      </c>
      <c r="J1332" s="128">
        <v>550000</v>
      </c>
      <c r="K1332" s="127" t="s">
        <v>550</v>
      </c>
      <c r="L1332" s="151">
        <v>555599</v>
      </c>
      <c r="M1332" s="128">
        <v>0</v>
      </c>
      <c r="N1332" s="127" t="s">
        <v>576</v>
      </c>
      <c r="O1332" s="127" t="s">
        <v>457</v>
      </c>
      <c r="P1332" s="128">
        <v>0</v>
      </c>
      <c r="Q1332" s="128">
        <v>2568.8200000000002</v>
      </c>
      <c r="R1332" s="128">
        <v>0</v>
      </c>
      <c r="S1332" s="128">
        <v>0</v>
      </c>
      <c r="T1332" s="128">
        <v>0</v>
      </c>
      <c r="U1332" s="128">
        <v>2568.8200000000002</v>
      </c>
      <c r="V1332" s="128">
        <v>0</v>
      </c>
      <c r="W1332" s="128">
        <v>2568.8200000000002</v>
      </c>
      <c r="X1332" s="128">
        <v>0</v>
      </c>
      <c r="Y1332" s="128">
        <v>0</v>
      </c>
      <c r="Z1332" s="128">
        <v>0</v>
      </c>
      <c r="AA1332" s="128">
        <v>2568.8200000000002</v>
      </c>
      <c r="AB1332" s="126">
        <f t="shared" si="139"/>
        <v>-2.56882E-4</v>
      </c>
      <c r="AC1332" s="122" t="s">
        <v>1838</v>
      </c>
      <c r="AD1332" s="123">
        <f t="shared" si="142"/>
        <v>2.1279809730000001</v>
      </c>
    </row>
    <row r="1333" spans="1:30" ht="12.75" hidden="1" customHeight="1">
      <c r="A1333" s="125" t="str">
        <f t="shared" si="136"/>
        <v>LIC34SGST on Mfees -GDP</v>
      </c>
      <c r="B1333" s="125">
        <f>+IFERROR(VLOOKUP(L1333,'TB mapping'!A:D,4,0),0)</f>
        <v>6.1</v>
      </c>
      <c r="C1333" s="125">
        <f>+IFERROR(VLOOKUP(L1333,'TB mapping'!A:C,3,0),0)</f>
        <v>6.3</v>
      </c>
      <c r="D1333" s="125" t="str">
        <f t="shared" si="137"/>
        <v>LIC346.1</v>
      </c>
      <c r="E1333" s="125" t="str">
        <f t="shared" si="138"/>
        <v>LIC346.3</v>
      </c>
      <c r="F1333" s="158" t="str">
        <f>+VLOOKUP(H1333,'code mapping'!A:C,3,0)</f>
        <v>LIC34</v>
      </c>
      <c r="G1333" s="127" t="s">
        <v>453</v>
      </c>
      <c r="H1333" s="127" t="s">
        <v>623</v>
      </c>
      <c r="I1333" s="127" t="s">
        <v>624</v>
      </c>
      <c r="J1333" s="128">
        <v>550000</v>
      </c>
      <c r="K1333" s="127" t="s">
        <v>550</v>
      </c>
      <c r="L1333" s="151">
        <v>555600</v>
      </c>
      <c r="M1333" s="128">
        <v>0</v>
      </c>
      <c r="N1333" s="127" t="s">
        <v>577</v>
      </c>
      <c r="O1333" s="127" t="s">
        <v>457</v>
      </c>
      <c r="P1333" s="128">
        <v>0</v>
      </c>
      <c r="Q1333" s="128">
        <v>2568.7000000000003</v>
      </c>
      <c r="R1333" s="128">
        <v>0</v>
      </c>
      <c r="S1333" s="128">
        <v>0</v>
      </c>
      <c r="T1333" s="128">
        <v>0</v>
      </c>
      <c r="U1333" s="128">
        <v>2568.7000000000003</v>
      </c>
      <c r="V1333" s="128">
        <v>0</v>
      </c>
      <c r="W1333" s="128">
        <v>2568.7000000000003</v>
      </c>
      <c r="X1333" s="128">
        <v>0</v>
      </c>
      <c r="Y1333" s="128">
        <v>0</v>
      </c>
      <c r="Z1333" s="128">
        <v>0</v>
      </c>
      <c r="AA1333" s="128">
        <v>2568.7000000000003</v>
      </c>
      <c r="AB1333" s="126">
        <f t="shared" si="139"/>
        <v>-2.5687000000000003E-4</v>
      </c>
      <c r="AC1333" s="122" t="s">
        <v>1838</v>
      </c>
      <c r="AD1333" s="123">
        <f t="shared" si="142"/>
        <v>2.1279809730000001</v>
      </c>
    </row>
    <row r="1334" spans="1:30" ht="12.75" hidden="1" customHeight="1">
      <c r="A1334" s="125" t="str">
        <f t="shared" si="136"/>
        <v>LIC34Operating Expenses</v>
      </c>
      <c r="B1334" s="125">
        <f>+IFERROR(VLOOKUP(L1334,'TB mapping'!A:D,4,0),0)</f>
        <v>0</v>
      </c>
      <c r="C1334" s="125">
        <f>+IFERROR(VLOOKUP(L1334,'TB mapping'!A:C,3,0),0)</f>
        <v>6.3</v>
      </c>
      <c r="D1334" s="125" t="str">
        <f t="shared" si="137"/>
        <v>LIC340</v>
      </c>
      <c r="E1334" s="125" t="str">
        <f t="shared" si="138"/>
        <v>LIC346.3</v>
      </c>
      <c r="F1334" s="158" t="str">
        <f>+VLOOKUP(H1334,'code mapping'!A:C,3,0)</f>
        <v>LIC34</v>
      </c>
      <c r="G1334" s="127" t="s">
        <v>453</v>
      </c>
      <c r="H1334" s="127" t="s">
        <v>623</v>
      </c>
      <c r="I1334" s="127" t="s">
        <v>624</v>
      </c>
      <c r="J1334" s="128">
        <v>550000</v>
      </c>
      <c r="K1334" s="127" t="s">
        <v>550</v>
      </c>
      <c r="L1334" s="151">
        <v>556421</v>
      </c>
      <c r="M1334" s="128">
        <v>0</v>
      </c>
      <c r="N1334" s="127" t="s">
        <v>578</v>
      </c>
      <c r="O1334" s="127" t="s">
        <v>457</v>
      </c>
      <c r="P1334" s="128">
        <v>-2045.46</v>
      </c>
      <c r="Q1334" s="128">
        <v>0</v>
      </c>
      <c r="R1334" s="128">
        <v>0</v>
      </c>
      <c r="S1334" s="128">
        <v>0</v>
      </c>
      <c r="T1334" s="128">
        <v>-2045.46</v>
      </c>
      <c r="U1334" s="128">
        <v>0</v>
      </c>
      <c r="V1334" s="128">
        <v>-2045.46</v>
      </c>
      <c r="W1334" s="128">
        <v>0</v>
      </c>
      <c r="X1334" s="128">
        <v>0</v>
      </c>
      <c r="Y1334" s="128">
        <v>0</v>
      </c>
      <c r="Z1334" s="128">
        <v>-2045.46</v>
      </c>
      <c r="AA1334" s="128">
        <v>0</v>
      </c>
      <c r="AB1334" s="126">
        <f t="shared" si="139"/>
        <v>2.04546E-4</v>
      </c>
      <c r="AC1334" s="122" t="s">
        <v>1838</v>
      </c>
      <c r="AD1334" s="123">
        <f t="shared" si="142"/>
        <v>2.1279809730000001</v>
      </c>
    </row>
    <row r="1335" spans="1:30" ht="12.75" hidden="1" customHeight="1">
      <c r="A1335" s="125" t="str">
        <f t="shared" si="136"/>
        <v>LIC34Management Fee</v>
      </c>
      <c r="B1335" s="125">
        <f>+IFERROR(VLOOKUP(L1335,'TB mapping'!A:D,4,0),0)</f>
        <v>6.1</v>
      </c>
      <c r="C1335" s="125">
        <f>+IFERROR(VLOOKUP(L1335,'TB mapping'!A:C,3,0),0)</f>
        <v>6.3</v>
      </c>
      <c r="D1335" s="125" t="str">
        <f t="shared" si="137"/>
        <v>LIC346.1</v>
      </c>
      <c r="E1335" s="125" t="str">
        <f t="shared" si="138"/>
        <v>LIC346.3</v>
      </c>
      <c r="F1335" s="158" t="str">
        <f>+VLOOKUP(H1335,'code mapping'!A:C,3,0)</f>
        <v>LIC34</v>
      </c>
      <c r="G1335" s="127" t="s">
        <v>453</v>
      </c>
      <c r="H1335" s="127" t="s">
        <v>623</v>
      </c>
      <c r="I1335" s="127" t="s">
        <v>624</v>
      </c>
      <c r="J1335" s="128">
        <v>555100</v>
      </c>
      <c r="K1335" s="127" t="s">
        <v>579</v>
      </c>
      <c r="L1335" s="151">
        <v>555100</v>
      </c>
      <c r="M1335" s="128">
        <v>0</v>
      </c>
      <c r="N1335" s="127" t="s">
        <v>580</v>
      </c>
      <c r="O1335" s="127" t="s">
        <v>457</v>
      </c>
      <c r="P1335" s="128">
        <v>-4454237.6100000003</v>
      </c>
      <c r="Q1335" s="128">
        <v>0</v>
      </c>
      <c r="R1335" s="128">
        <v>0</v>
      </c>
      <c r="S1335" s="128">
        <v>0</v>
      </c>
      <c r="T1335" s="128">
        <v>-4454237.6100000003</v>
      </c>
      <c r="U1335" s="128">
        <v>0</v>
      </c>
      <c r="V1335" s="128">
        <v>-4454237.6100000003</v>
      </c>
      <c r="W1335" s="128">
        <v>0</v>
      </c>
      <c r="X1335" s="128">
        <v>0</v>
      </c>
      <c r="Y1335" s="128">
        <v>0</v>
      </c>
      <c r="Z1335" s="128">
        <v>-4454237.6100000003</v>
      </c>
      <c r="AA1335" s="128">
        <v>0</v>
      </c>
      <c r="AB1335" s="126">
        <f t="shared" si="139"/>
        <v>0.44542376100000003</v>
      </c>
      <c r="AC1335" s="122" t="s">
        <v>1838</v>
      </c>
      <c r="AD1335" s="123">
        <f t="shared" si="142"/>
        <v>2.1279809730000001</v>
      </c>
    </row>
    <row r="1336" spans="1:30" ht="12.75" hidden="1" customHeight="1">
      <c r="A1336" s="125" t="str">
        <f t="shared" si="136"/>
        <v>LIC34Management Fees-RG</v>
      </c>
      <c r="B1336" s="125">
        <f>+IFERROR(VLOOKUP(L1336,'TB mapping'!A:D,4,0),0)</f>
        <v>6.1</v>
      </c>
      <c r="C1336" s="125">
        <f>+IFERROR(VLOOKUP(L1336,'TB mapping'!A:C,3,0),0)</f>
        <v>6.3</v>
      </c>
      <c r="D1336" s="125" t="str">
        <f t="shared" si="137"/>
        <v>LIC346.1</v>
      </c>
      <c r="E1336" s="125" t="str">
        <f t="shared" si="138"/>
        <v>LIC346.3</v>
      </c>
      <c r="F1336" s="158" t="str">
        <f>+VLOOKUP(H1336,'code mapping'!A:C,3,0)</f>
        <v>LIC34</v>
      </c>
      <c r="G1336" s="127" t="s">
        <v>453</v>
      </c>
      <c r="H1336" s="127" t="s">
        <v>623</v>
      </c>
      <c r="I1336" s="127" t="s">
        <v>624</v>
      </c>
      <c r="J1336" s="128">
        <v>555100</v>
      </c>
      <c r="K1336" s="127" t="s">
        <v>579</v>
      </c>
      <c r="L1336" s="151">
        <v>555191</v>
      </c>
      <c r="M1336" s="128">
        <v>0</v>
      </c>
      <c r="N1336" s="127" t="s">
        <v>581</v>
      </c>
      <c r="O1336" s="127" t="s">
        <v>457</v>
      </c>
      <c r="P1336" s="128">
        <v>-4210393.32</v>
      </c>
      <c r="Q1336" s="128">
        <v>0</v>
      </c>
      <c r="R1336" s="128">
        <v>0</v>
      </c>
      <c r="S1336" s="128">
        <v>0</v>
      </c>
      <c r="T1336" s="128">
        <v>-4210393.32</v>
      </c>
      <c r="U1336" s="128">
        <v>0</v>
      </c>
      <c r="V1336" s="128">
        <v>-4210393.32</v>
      </c>
      <c r="W1336" s="128">
        <v>0</v>
      </c>
      <c r="X1336" s="128">
        <v>0</v>
      </c>
      <c r="Y1336" s="128">
        <v>0</v>
      </c>
      <c r="Z1336" s="128">
        <v>-4210393.32</v>
      </c>
      <c r="AA1336" s="128">
        <v>0</v>
      </c>
      <c r="AB1336" s="126">
        <f t="shared" si="139"/>
        <v>0.42103933200000004</v>
      </c>
      <c r="AC1336" s="122" t="s">
        <v>1838</v>
      </c>
      <c r="AD1336" s="123">
        <f t="shared" si="142"/>
        <v>2.1279809730000001</v>
      </c>
    </row>
    <row r="1337" spans="1:30" ht="12.75" hidden="1" customHeight="1">
      <c r="A1337" s="125" t="str">
        <f t="shared" ref="A1337:A1400" si="143">+F1337&amp;N1337</f>
        <v>LIC34Management Fees-RD</v>
      </c>
      <c r="B1337" s="125">
        <f>+IFERROR(VLOOKUP(L1337,'TB mapping'!A:D,4,0),0)</f>
        <v>6.1</v>
      </c>
      <c r="C1337" s="125">
        <f>+IFERROR(VLOOKUP(L1337,'TB mapping'!A:C,3,0),0)</f>
        <v>6.3</v>
      </c>
      <c r="D1337" s="125" t="str">
        <f t="shared" ref="D1337:D1400" si="144">+F1337&amp;B1337</f>
        <v>LIC346.1</v>
      </c>
      <c r="E1337" s="125" t="str">
        <f t="shared" ref="E1337:E1400" si="145">+F1337&amp;C1337</f>
        <v>LIC346.3</v>
      </c>
      <c r="F1337" s="158" t="str">
        <f>+VLOOKUP(H1337,'code mapping'!A:C,3,0)</f>
        <v>LIC34</v>
      </c>
      <c r="G1337" s="127" t="s">
        <v>453</v>
      </c>
      <c r="H1337" s="127" t="s">
        <v>623</v>
      </c>
      <c r="I1337" s="127" t="s">
        <v>624</v>
      </c>
      <c r="J1337" s="128">
        <v>555100</v>
      </c>
      <c r="K1337" s="127" t="s">
        <v>579</v>
      </c>
      <c r="L1337" s="151">
        <v>555192</v>
      </c>
      <c r="M1337" s="128">
        <v>0</v>
      </c>
      <c r="N1337" s="127" t="s">
        <v>582</v>
      </c>
      <c r="O1337" s="127" t="s">
        <v>457</v>
      </c>
      <c r="P1337" s="128">
        <v>-163203.23000000001</v>
      </c>
      <c r="Q1337" s="128">
        <v>0</v>
      </c>
      <c r="R1337" s="128">
        <v>0</v>
      </c>
      <c r="S1337" s="128">
        <v>0</v>
      </c>
      <c r="T1337" s="128">
        <v>-163203.23000000001</v>
      </c>
      <c r="U1337" s="128">
        <v>0</v>
      </c>
      <c r="V1337" s="128">
        <v>-163203.23000000001</v>
      </c>
      <c r="W1337" s="128">
        <v>0</v>
      </c>
      <c r="X1337" s="128">
        <v>0</v>
      </c>
      <c r="Y1337" s="128">
        <v>0</v>
      </c>
      <c r="Z1337" s="128">
        <v>-163203.23000000001</v>
      </c>
      <c r="AA1337" s="128">
        <v>0</v>
      </c>
      <c r="AB1337" s="126">
        <f t="shared" ref="AB1337:AB1400" si="146">SUM(-Z1337-AA1337)/10^7</f>
        <v>1.6320323000000001E-2</v>
      </c>
      <c r="AC1337" s="122" t="s">
        <v>1838</v>
      </c>
      <c r="AD1337" s="123">
        <f t="shared" si="142"/>
        <v>2.1279809730000001</v>
      </c>
    </row>
    <row r="1338" spans="1:30" ht="12.75" hidden="1" customHeight="1">
      <c r="A1338" s="125" t="str">
        <f t="shared" si="143"/>
        <v>LIC34Management Fees-GDP</v>
      </c>
      <c r="B1338" s="125">
        <f>+IFERROR(VLOOKUP(L1338,'TB mapping'!A:D,4,0),0)</f>
        <v>6.1</v>
      </c>
      <c r="C1338" s="125">
        <f>+IFERROR(VLOOKUP(L1338,'TB mapping'!A:C,3,0),0)</f>
        <v>6.3</v>
      </c>
      <c r="D1338" s="125" t="str">
        <f t="shared" si="144"/>
        <v>LIC346.1</v>
      </c>
      <c r="E1338" s="125" t="str">
        <f t="shared" si="145"/>
        <v>LIC346.3</v>
      </c>
      <c r="F1338" s="158" t="str">
        <f>+VLOOKUP(H1338,'code mapping'!A:C,3,0)</f>
        <v>LIC34</v>
      </c>
      <c r="G1338" s="127" t="s">
        <v>453</v>
      </c>
      <c r="H1338" s="127" t="s">
        <v>623</v>
      </c>
      <c r="I1338" s="127" t="s">
        <v>624</v>
      </c>
      <c r="J1338" s="128">
        <v>555100</v>
      </c>
      <c r="K1338" s="127" t="s">
        <v>579</v>
      </c>
      <c r="L1338" s="151">
        <v>555329</v>
      </c>
      <c r="M1338" s="128">
        <v>0</v>
      </c>
      <c r="N1338" s="127" t="s">
        <v>584</v>
      </c>
      <c r="O1338" s="127" t="s">
        <v>457</v>
      </c>
      <c r="P1338" s="128">
        <v>-3906934.84</v>
      </c>
      <c r="Q1338" s="128">
        <v>0</v>
      </c>
      <c r="R1338" s="128">
        <v>0</v>
      </c>
      <c r="S1338" s="128">
        <v>0</v>
      </c>
      <c r="T1338" s="128">
        <v>-3906934.84</v>
      </c>
      <c r="U1338" s="128">
        <v>0</v>
      </c>
      <c r="V1338" s="128">
        <v>-3906934.84</v>
      </c>
      <c r="W1338" s="128">
        <v>0</v>
      </c>
      <c r="X1338" s="128">
        <v>0</v>
      </c>
      <c r="Y1338" s="128">
        <v>0</v>
      </c>
      <c r="Z1338" s="128">
        <v>-3906934.84</v>
      </c>
      <c r="AA1338" s="128">
        <v>0</v>
      </c>
      <c r="AB1338" s="126">
        <f t="shared" si="146"/>
        <v>0.39069348399999998</v>
      </c>
      <c r="AC1338" s="122" t="s">
        <v>1838</v>
      </c>
      <c r="AD1338" s="123">
        <f t="shared" si="142"/>
        <v>2.1279809730000001</v>
      </c>
    </row>
    <row r="1339" spans="1:30" ht="12.75" hidden="1" customHeight="1">
      <c r="A1339" s="125" t="str">
        <f t="shared" si="143"/>
        <v>LIC34Management Fees-DDP</v>
      </c>
      <c r="B1339" s="125">
        <f>+IFERROR(VLOOKUP(L1339,'TB mapping'!A:D,4,0),0)</f>
        <v>6.1</v>
      </c>
      <c r="C1339" s="125">
        <f>+IFERROR(VLOOKUP(L1339,'TB mapping'!A:C,3,0),0)</f>
        <v>6.3</v>
      </c>
      <c r="D1339" s="125" t="str">
        <f t="shared" si="144"/>
        <v>LIC346.1</v>
      </c>
      <c r="E1339" s="125" t="str">
        <f t="shared" si="145"/>
        <v>LIC346.3</v>
      </c>
      <c r="F1339" s="158" t="str">
        <f>+VLOOKUP(H1339,'code mapping'!A:C,3,0)</f>
        <v>LIC34</v>
      </c>
      <c r="G1339" s="127" t="s">
        <v>453</v>
      </c>
      <c r="H1339" s="127" t="s">
        <v>623</v>
      </c>
      <c r="I1339" s="127" t="s">
        <v>624</v>
      </c>
      <c r="J1339" s="128">
        <v>555100</v>
      </c>
      <c r="K1339" s="127" t="s">
        <v>579</v>
      </c>
      <c r="L1339" s="151">
        <v>555330</v>
      </c>
      <c r="M1339" s="128">
        <v>0</v>
      </c>
      <c r="N1339" s="127" t="s">
        <v>585</v>
      </c>
      <c r="O1339" s="127" t="s">
        <v>457</v>
      </c>
      <c r="P1339" s="128">
        <v>-89.01</v>
      </c>
      <c r="Q1339" s="128">
        <v>0</v>
      </c>
      <c r="R1339" s="128">
        <v>0</v>
      </c>
      <c r="S1339" s="128">
        <v>0</v>
      </c>
      <c r="T1339" s="128">
        <v>-89.01</v>
      </c>
      <c r="U1339" s="128">
        <v>0</v>
      </c>
      <c r="V1339" s="128">
        <v>-89.01</v>
      </c>
      <c r="W1339" s="128">
        <v>0</v>
      </c>
      <c r="X1339" s="128">
        <v>0</v>
      </c>
      <c r="Y1339" s="128">
        <v>0</v>
      </c>
      <c r="Z1339" s="128">
        <v>-89.01</v>
      </c>
      <c r="AA1339" s="128">
        <v>0</v>
      </c>
      <c r="AB1339" s="126">
        <f t="shared" si="146"/>
        <v>8.901E-6</v>
      </c>
      <c r="AC1339" s="122" t="s">
        <v>1838</v>
      </c>
      <c r="AD1339" s="123">
        <f t="shared" si="142"/>
        <v>2.1279809730000001</v>
      </c>
    </row>
    <row r="1340" spans="1:30" ht="12.75" hidden="1" customHeight="1">
      <c r="A1340" s="125" t="str">
        <f t="shared" si="143"/>
        <v>LIC34Mgt Fees-PF Plan-Dividend</v>
      </c>
      <c r="B1340" s="125">
        <f>+IFERROR(VLOOKUP(L1340,'TB mapping'!A:D,4,0),0)</f>
        <v>6.1</v>
      </c>
      <c r="C1340" s="125">
        <f>+IFERROR(VLOOKUP(L1340,'TB mapping'!A:C,3,0),0)</f>
        <v>6.3</v>
      </c>
      <c r="D1340" s="125" t="str">
        <f t="shared" si="144"/>
        <v>LIC346.1</v>
      </c>
      <c r="E1340" s="125" t="str">
        <f t="shared" si="145"/>
        <v>LIC346.3</v>
      </c>
      <c r="F1340" s="158" t="str">
        <f>+VLOOKUP(H1340,'code mapping'!A:C,3,0)</f>
        <v>LIC34</v>
      </c>
      <c r="G1340" s="127" t="s">
        <v>453</v>
      </c>
      <c r="H1340" s="127" t="s">
        <v>623</v>
      </c>
      <c r="I1340" s="127" t="s">
        <v>624</v>
      </c>
      <c r="J1340" s="128">
        <v>555100</v>
      </c>
      <c r="K1340" s="127" t="s">
        <v>579</v>
      </c>
      <c r="L1340" s="151">
        <v>555836</v>
      </c>
      <c r="M1340" s="128">
        <v>0</v>
      </c>
      <c r="N1340" s="127" t="s">
        <v>639</v>
      </c>
      <c r="O1340" s="127" t="s">
        <v>457</v>
      </c>
      <c r="P1340" s="128">
        <v>-159621.30000000002</v>
      </c>
      <c r="Q1340" s="128">
        <v>0</v>
      </c>
      <c r="R1340" s="128">
        <v>0</v>
      </c>
      <c r="S1340" s="128">
        <v>0</v>
      </c>
      <c r="T1340" s="128">
        <v>-159621.30000000002</v>
      </c>
      <c r="U1340" s="128">
        <v>0</v>
      </c>
      <c r="V1340" s="128">
        <v>-159621.30000000002</v>
      </c>
      <c r="W1340" s="128">
        <v>0</v>
      </c>
      <c r="X1340" s="128">
        <v>0</v>
      </c>
      <c r="Y1340" s="128">
        <v>0</v>
      </c>
      <c r="Z1340" s="128">
        <v>-159621.30000000002</v>
      </c>
      <c r="AA1340" s="128">
        <v>0</v>
      </c>
      <c r="AB1340" s="126">
        <f t="shared" si="146"/>
        <v>1.5962130000000001E-2</v>
      </c>
      <c r="AC1340" s="122" t="s">
        <v>1838</v>
      </c>
      <c r="AD1340" s="123">
        <f t="shared" si="142"/>
        <v>2.1279809730000001</v>
      </c>
    </row>
    <row r="1341" spans="1:30" ht="12.75" hidden="1" customHeight="1">
      <c r="A1341" s="125" t="str">
        <f t="shared" si="143"/>
        <v>LIC34Mgt Fees-PF Plan-Growth</v>
      </c>
      <c r="B1341" s="125">
        <f>+IFERROR(VLOOKUP(L1341,'TB mapping'!A:D,4,0),0)</f>
        <v>6.1</v>
      </c>
      <c r="C1341" s="125">
        <f>+IFERROR(VLOOKUP(L1341,'TB mapping'!A:C,3,0),0)</f>
        <v>6.3</v>
      </c>
      <c r="D1341" s="125" t="str">
        <f t="shared" si="144"/>
        <v>LIC346.1</v>
      </c>
      <c r="E1341" s="125" t="str">
        <f t="shared" si="145"/>
        <v>LIC346.3</v>
      </c>
      <c r="F1341" s="158" t="str">
        <f>+VLOOKUP(H1341,'code mapping'!A:C,3,0)</f>
        <v>LIC34</v>
      </c>
      <c r="G1341" s="127" t="s">
        <v>453</v>
      </c>
      <c r="H1341" s="127" t="s">
        <v>623</v>
      </c>
      <c r="I1341" s="127" t="s">
        <v>624</v>
      </c>
      <c r="J1341" s="128">
        <v>555100</v>
      </c>
      <c r="K1341" s="127" t="s">
        <v>579</v>
      </c>
      <c r="L1341" s="151">
        <v>555837</v>
      </c>
      <c r="M1341" s="128">
        <v>0</v>
      </c>
      <c r="N1341" s="127" t="s">
        <v>640</v>
      </c>
      <c r="O1341" s="127" t="s">
        <v>457</v>
      </c>
      <c r="P1341" s="128">
        <v>-340990.59</v>
      </c>
      <c r="Q1341" s="128">
        <v>0</v>
      </c>
      <c r="R1341" s="128">
        <v>0</v>
      </c>
      <c r="S1341" s="128">
        <v>0</v>
      </c>
      <c r="T1341" s="128">
        <v>-340990.59</v>
      </c>
      <c r="U1341" s="128">
        <v>0</v>
      </c>
      <c r="V1341" s="128">
        <v>-340990.59</v>
      </c>
      <c r="W1341" s="128">
        <v>0</v>
      </c>
      <c r="X1341" s="128">
        <v>0</v>
      </c>
      <c r="Y1341" s="128">
        <v>0</v>
      </c>
      <c r="Z1341" s="128">
        <v>-340990.59</v>
      </c>
      <c r="AA1341" s="128">
        <v>0</v>
      </c>
      <c r="AB1341" s="126">
        <f t="shared" si="146"/>
        <v>3.4099059000000001E-2</v>
      </c>
      <c r="AC1341" s="122" t="s">
        <v>1838</v>
      </c>
      <c r="AD1341" s="123">
        <f t="shared" si="142"/>
        <v>2.1279809730000001</v>
      </c>
    </row>
    <row r="1342" spans="1:30" ht="12.75" hidden="1" customHeight="1">
      <c r="A1342" s="125" t="str">
        <f t="shared" si="143"/>
        <v>LIC34Dividend Distribution - RD</v>
      </c>
      <c r="B1342" s="125">
        <f>+IFERROR(VLOOKUP(L1342,'TB mapping'!A:D,4,0),0)</f>
        <v>0</v>
      </c>
      <c r="C1342" s="125" t="str">
        <f>+IFERROR(VLOOKUP(L1342,'TB mapping'!A:C,3,0),0)</f>
        <v>ignore</v>
      </c>
      <c r="D1342" s="125" t="str">
        <f t="shared" si="144"/>
        <v>LIC340</v>
      </c>
      <c r="E1342" s="125" t="str">
        <f t="shared" si="145"/>
        <v>LIC34ignore</v>
      </c>
      <c r="F1342" s="158" t="str">
        <f>+VLOOKUP(H1342,'code mapping'!A:C,3,0)</f>
        <v>LIC34</v>
      </c>
      <c r="G1342" s="127" t="s">
        <v>453</v>
      </c>
      <c r="H1342" s="127" t="s">
        <v>623</v>
      </c>
      <c r="I1342" s="127" t="s">
        <v>624</v>
      </c>
      <c r="J1342" s="128">
        <v>555300</v>
      </c>
      <c r="K1342" s="127" t="s">
        <v>586</v>
      </c>
      <c r="L1342" s="151">
        <v>553143</v>
      </c>
      <c r="M1342" s="128">
        <v>0</v>
      </c>
      <c r="N1342" s="127" t="s">
        <v>587</v>
      </c>
      <c r="O1342" s="127" t="s">
        <v>457</v>
      </c>
      <c r="P1342" s="128">
        <v>-511823.39</v>
      </c>
      <c r="Q1342" s="128">
        <v>0</v>
      </c>
      <c r="R1342" s="128">
        <v>0</v>
      </c>
      <c r="S1342" s="128">
        <v>0</v>
      </c>
      <c r="T1342" s="128">
        <v>-511823.39</v>
      </c>
      <c r="U1342" s="128">
        <v>0</v>
      </c>
      <c r="V1342" s="128">
        <v>-511823.39</v>
      </c>
      <c r="W1342" s="128">
        <v>0</v>
      </c>
      <c r="X1342" s="128">
        <v>0</v>
      </c>
      <c r="Y1342" s="128">
        <v>0</v>
      </c>
      <c r="Z1342" s="128">
        <v>-511823.39</v>
      </c>
      <c r="AA1342" s="128">
        <v>0</v>
      </c>
      <c r="AB1342" s="126">
        <f t="shared" si="146"/>
        <v>5.1182339E-2</v>
      </c>
      <c r="AC1342" s="122" t="s">
        <v>1838</v>
      </c>
      <c r="AD1342" s="123">
        <f t="shared" ref="AD1342:AD1373" si="147">SUMIF(C:C,C1342,AB:AB)</f>
        <v>-291.7660984179999</v>
      </c>
    </row>
    <row r="1343" spans="1:30" ht="12.75" hidden="1" customHeight="1">
      <c r="A1343" s="125" t="str">
        <f t="shared" si="143"/>
        <v>LIC34Dividend Distribution-DDP</v>
      </c>
      <c r="B1343" s="125">
        <f>+IFERROR(VLOOKUP(L1343,'TB mapping'!A:D,4,0),0)</f>
        <v>0</v>
      </c>
      <c r="C1343" s="125" t="str">
        <f>+IFERROR(VLOOKUP(L1343,'TB mapping'!A:C,3,0),0)</f>
        <v>ignore</v>
      </c>
      <c r="D1343" s="125" t="str">
        <f t="shared" si="144"/>
        <v>LIC340</v>
      </c>
      <c r="E1343" s="125" t="str">
        <f t="shared" si="145"/>
        <v>LIC34ignore</v>
      </c>
      <c r="F1343" s="158" t="str">
        <f>+VLOOKUP(H1343,'code mapping'!A:C,3,0)</f>
        <v>LIC34</v>
      </c>
      <c r="G1343" s="127" t="s">
        <v>453</v>
      </c>
      <c r="H1343" s="127" t="s">
        <v>623</v>
      </c>
      <c r="I1343" s="127" t="s">
        <v>624</v>
      </c>
      <c r="J1343" s="128">
        <v>555300</v>
      </c>
      <c r="K1343" s="127" t="s">
        <v>586</v>
      </c>
      <c r="L1343" s="151">
        <v>554346</v>
      </c>
      <c r="M1343" s="128">
        <v>0</v>
      </c>
      <c r="N1343" s="127" t="s">
        <v>605</v>
      </c>
      <c r="O1343" s="127" t="s">
        <v>457</v>
      </c>
      <c r="P1343" s="128">
        <v>-433.48</v>
      </c>
      <c r="Q1343" s="128">
        <v>0</v>
      </c>
      <c r="R1343" s="128">
        <v>0</v>
      </c>
      <c r="S1343" s="128">
        <v>0</v>
      </c>
      <c r="T1343" s="128">
        <v>-433.48</v>
      </c>
      <c r="U1343" s="128">
        <v>0</v>
      </c>
      <c r="V1343" s="128">
        <v>-433.48</v>
      </c>
      <c r="W1343" s="128">
        <v>0</v>
      </c>
      <c r="X1343" s="128">
        <v>0</v>
      </c>
      <c r="Y1343" s="128">
        <v>0</v>
      </c>
      <c r="Z1343" s="128">
        <v>-433.48</v>
      </c>
      <c r="AA1343" s="128">
        <v>0</v>
      </c>
      <c r="AB1343" s="126">
        <f t="shared" si="146"/>
        <v>4.3347999999999999E-5</v>
      </c>
      <c r="AC1343" s="122" t="s">
        <v>1838</v>
      </c>
      <c r="AD1343" s="123">
        <f t="shared" si="147"/>
        <v>-291.7660984179999</v>
      </c>
    </row>
    <row r="1344" spans="1:30" ht="12.75" hidden="1" customHeight="1">
      <c r="A1344" s="125" t="str">
        <f t="shared" si="143"/>
        <v>LIC34DDT Expense-RD</v>
      </c>
      <c r="B1344" s="125">
        <f>+IFERROR(VLOOKUP(L1344,'TB mapping'!A:D,4,0),0)</f>
        <v>0</v>
      </c>
      <c r="C1344" s="125" t="str">
        <f>+IFERROR(VLOOKUP(L1344,'TB mapping'!A:C,3,0),0)</f>
        <v>ignore</v>
      </c>
      <c r="D1344" s="125" t="str">
        <f t="shared" si="144"/>
        <v>LIC340</v>
      </c>
      <c r="E1344" s="125" t="str">
        <f t="shared" si="145"/>
        <v>LIC34ignore</v>
      </c>
      <c r="F1344" s="158" t="str">
        <f>+VLOOKUP(H1344,'code mapping'!A:C,3,0)</f>
        <v>LIC34</v>
      </c>
      <c r="G1344" s="127" t="s">
        <v>453</v>
      </c>
      <c r="H1344" s="127" t="s">
        <v>623</v>
      </c>
      <c r="I1344" s="127" t="s">
        <v>624</v>
      </c>
      <c r="J1344" s="128">
        <v>555300</v>
      </c>
      <c r="K1344" s="127" t="s">
        <v>586</v>
      </c>
      <c r="L1344" s="151">
        <v>556143</v>
      </c>
      <c r="M1344" s="128">
        <v>0</v>
      </c>
      <c r="N1344" s="127" t="s">
        <v>588</v>
      </c>
      <c r="O1344" s="127" t="s">
        <v>457</v>
      </c>
      <c r="P1344" s="128">
        <v>-229577</v>
      </c>
      <c r="Q1344" s="128">
        <v>0</v>
      </c>
      <c r="R1344" s="128">
        <v>0</v>
      </c>
      <c r="S1344" s="128">
        <v>0</v>
      </c>
      <c r="T1344" s="128">
        <v>-229577</v>
      </c>
      <c r="U1344" s="128">
        <v>0</v>
      </c>
      <c r="V1344" s="128">
        <v>-229577</v>
      </c>
      <c r="W1344" s="128">
        <v>0</v>
      </c>
      <c r="X1344" s="128">
        <v>0</v>
      </c>
      <c r="Y1344" s="128">
        <v>0</v>
      </c>
      <c r="Z1344" s="128">
        <v>-229577</v>
      </c>
      <c r="AA1344" s="128">
        <v>0</v>
      </c>
      <c r="AB1344" s="126">
        <f t="shared" si="146"/>
        <v>2.2957700000000001E-2</v>
      </c>
      <c r="AC1344" s="122" t="s">
        <v>1838</v>
      </c>
      <c r="AD1344" s="123">
        <f t="shared" si="147"/>
        <v>-291.7660984179999</v>
      </c>
    </row>
    <row r="1345" spans="1:30" ht="12.75" hidden="1" customHeight="1">
      <c r="A1345" s="125" t="str">
        <f t="shared" si="143"/>
        <v>LIC34DDT Expense-DDP</v>
      </c>
      <c r="B1345" s="125">
        <f>+IFERROR(VLOOKUP(L1345,'TB mapping'!A:D,4,0),0)</f>
        <v>0</v>
      </c>
      <c r="C1345" s="125" t="str">
        <f>+IFERROR(VLOOKUP(L1345,'TB mapping'!A:C,3,0),0)</f>
        <v>ignore</v>
      </c>
      <c r="D1345" s="125" t="str">
        <f t="shared" si="144"/>
        <v>LIC340</v>
      </c>
      <c r="E1345" s="125" t="str">
        <f t="shared" si="145"/>
        <v>LIC34ignore</v>
      </c>
      <c r="F1345" s="158" t="str">
        <f>+VLOOKUP(H1345,'code mapping'!A:C,3,0)</f>
        <v>LIC34</v>
      </c>
      <c r="G1345" s="127" t="s">
        <v>453</v>
      </c>
      <c r="H1345" s="127" t="s">
        <v>623</v>
      </c>
      <c r="I1345" s="127" t="s">
        <v>624</v>
      </c>
      <c r="J1345" s="128">
        <v>555300</v>
      </c>
      <c r="K1345" s="127" t="s">
        <v>586</v>
      </c>
      <c r="L1345" s="151">
        <v>556346</v>
      </c>
      <c r="M1345" s="128">
        <v>0</v>
      </c>
      <c r="N1345" s="127" t="s">
        <v>606</v>
      </c>
      <c r="O1345" s="127" t="s">
        <v>457</v>
      </c>
      <c r="P1345" s="128">
        <v>-166</v>
      </c>
      <c r="Q1345" s="128">
        <v>0</v>
      </c>
      <c r="R1345" s="128">
        <v>0</v>
      </c>
      <c r="S1345" s="128">
        <v>0</v>
      </c>
      <c r="T1345" s="128">
        <v>-166</v>
      </c>
      <c r="U1345" s="128">
        <v>0</v>
      </c>
      <c r="V1345" s="128">
        <v>-166</v>
      </c>
      <c r="W1345" s="128">
        <v>0</v>
      </c>
      <c r="X1345" s="128">
        <v>0</v>
      </c>
      <c r="Y1345" s="128">
        <v>0</v>
      </c>
      <c r="Z1345" s="128">
        <v>-166</v>
      </c>
      <c r="AA1345" s="128">
        <v>0</v>
      </c>
      <c r="AB1345" s="126">
        <f t="shared" si="146"/>
        <v>1.66E-5</v>
      </c>
      <c r="AC1345" s="122" t="s">
        <v>1838</v>
      </c>
      <c r="AD1345" s="123">
        <f t="shared" si="147"/>
        <v>-291.7660984179999</v>
      </c>
    </row>
    <row r="1346" spans="1:30" ht="12.75" hidden="1" customHeight="1">
      <c r="A1346" s="125" t="str">
        <f t="shared" si="143"/>
        <v>LIC72Investment - Treasury Bills</v>
      </c>
      <c r="B1346" s="125">
        <f>+IFERROR(VLOOKUP(L1346,'TB mapping'!A:D,4,0),0)</f>
        <v>0</v>
      </c>
      <c r="C1346" s="125">
        <f>+IFERROR(VLOOKUP(L1346,'TB mapping'!A:C,3,0),0)</f>
        <v>0</v>
      </c>
      <c r="D1346" s="125" t="str">
        <f t="shared" si="144"/>
        <v>LIC720</v>
      </c>
      <c r="E1346" s="125" t="str">
        <f t="shared" si="145"/>
        <v>LIC720</v>
      </c>
      <c r="F1346" s="158" t="str">
        <f>+VLOOKUP(H1346,'code mapping'!A:C,3,0)</f>
        <v>LIC72</v>
      </c>
      <c r="G1346" s="127" t="s">
        <v>453</v>
      </c>
      <c r="H1346" s="127" t="s">
        <v>641</v>
      </c>
      <c r="I1346" s="127" t="s">
        <v>642</v>
      </c>
      <c r="J1346" s="128">
        <v>102000</v>
      </c>
      <c r="K1346" s="127" t="s">
        <v>455</v>
      </c>
      <c r="L1346" s="151">
        <v>102110</v>
      </c>
      <c r="M1346" s="128">
        <v>0</v>
      </c>
      <c r="N1346" s="127" t="s">
        <v>643</v>
      </c>
      <c r="O1346" s="127" t="s">
        <v>457</v>
      </c>
      <c r="P1346" s="128">
        <v>-1127979500</v>
      </c>
      <c r="Q1346" s="128">
        <v>0</v>
      </c>
      <c r="R1346" s="128">
        <v>0</v>
      </c>
      <c r="S1346" s="128">
        <v>0</v>
      </c>
      <c r="T1346" s="128">
        <v>-1127979500</v>
      </c>
      <c r="U1346" s="128">
        <v>0</v>
      </c>
      <c r="V1346" s="128">
        <v>-1127979500</v>
      </c>
      <c r="W1346" s="128">
        <v>0</v>
      </c>
      <c r="X1346" s="128">
        <v>0</v>
      </c>
      <c r="Y1346" s="128">
        <v>0</v>
      </c>
      <c r="Z1346" s="128">
        <v>-1127979500</v>
      </c>
      <c r="AA1346" s="128">
        <v>0</v>
      </c>
      <c r="AB1346" s="126">
        <f t="shared" si="146"/>
        <v>112.79795</v>
      </c>
      <c r="AC1346" s="122" t="s">
        <v>1838</v>
      </c>
      <c r="AD1346" s="123">
        <f t="shared" si="147"/>
        <v>1983.9723217250009</v>
      </c>
    </row>
    <row r="1347" spans="1:30" ht="12.75" hidden="1" customHeight="1">
      <c r="A1347" s="125" t="str">
        <f t="shared" si="143"/>
        <v>LIC72Investment - Corp Bond/Debent.</v>
      </c>
      <c r="B1347" s="125">
        <f>+IFERROR(VLOOKUP(L1347,'TB mapping'!A:D,4,0),0)</f>
        <v>0</v>
      </c>
      <c r="C1347" s="125">
        <f>+IFERROR(VLOOKUP(L1347,'TB mapping'!A:C,3,0),0)</f>
        <v>0</v>
      </c>
      <c r="D1347" s="125" t="str">
        <f t="shared" si="144"/>
        <v>LIC720</v>
      </c>
      <c r="E1347" s="125" t="str">
        <f t="shared" si="145"/>
        <v>LIC720</v>
      </c>
      <c r="F1347" s="158" t="str">
        <f>+VLOOKUP(H1347,'code mapping'!A:C,3,0)</f>
        <v>LIC72</v>
      </c>
      <c r="G1347" s="127" t="s">
        <v>453</v>
      </c>
      <c r="H1347" s="127" t="s">
        <v>641</v>
      </c>
      <c r="I1347" s="127" t="s">
        <v>642</v>
      </c>
      <c r="J1347" s="128">
        <v>102000</v>
      </c>
      <c r="K1347" s="127" t="s">
        <v>455</v>
      </c>
      <c r="L1347" s="151">
        <v>102120</v>
      </c>
      <c r="M1347" s="128">
        <v>0</v>
      </c>
      <c r="N1347" s="127" t="s">
        <v>456</v>
      </c>
      <c r="O1347" s="127" t="s">
        <v>457</v>
      </c>
      <c r="P1347" s="128">
        <v>-600014100</v>
      </c>
      <c r="Q1347" s="128">
        <v>0</v>
      </c>
      <c r="R1347" s="128">
        <v>0</v>
      </c>
      <c r="S1347" s="128">
        <v>0</v>
      </c>
      <c r="T1347" s="128">
        <v>-600014100</v>
      </c>
      <c r="U1347" s="128">
        <v>0</v>
      </c>
      <c r="V1347" s="128">
        <v>-600014100</v>
      </c>
      <c r="W1347" s="128">
        <v>0</v>
      </c>
      <c r="X1347" s="128">
        <v>0</v>
      </c>
      <c r="Y1347" s="128">
        <v>0</v>
      </c>
      <c r="Z1347" s="128">
        <v>-600014100</v>
      </c>
      <c r="AA1347" s="128">
        <v>0</v>
      </c>
      <c r="AB1347" s="126">
        <f t="shared" si="146"/>
        <v>60.00141</v>
      </c>
      <c r="AC1347" s="122" t="s">
        <v>1838</v>
      </c>
      <c r="AD1347" s="123">
        <f t="shared" si="147"/>
        <v>1983.9723217250009</v>
      </c>
    </row>
    <row r="1348" spans="1:30" ht="12.75" hidden="1" customHeight="1">
      <c r="A1348" s="125" t="str">
        <f t="shared" si="143"/>
        <v>LIC72Investment - Government Bonds</v>
      </c>
      <c r="B1348" s="125">
        <f>+IFERROR(VLOOKUP(L1348,'TB mapping'!A:D,4,0),0)</f>
        <v>0</v>
      </c>
      <c r="C1348" s="125">
        <f>+IFERROR(VLOOKUP(L1348,'TB mapping'!A:C,3,0),0)</f>
        <v>0</v>
      </c>
      <c r="D1348" s="125" t="str">
        <f t="shared" si="144"/>
        <v>LIC720</v>
      </c>
      <c r="E1348" s="125" t="str">
        <f t="shared" si="145"/>
        <v>LIC720</v>
      </c>
      <c r="F1348" s="158" t="str">
        <f>+VLOOKUP(H1348,'code mapping'!A:C,3,0)</f>
        <v>LIC72</v>
      </c>
      <c r="G1348" s="127" t="s">
        <v>453</v>
      </c>
      <c r="H1348" s="127" t="s">
        <v>641</v>
      </c>
      <c r="I1348" s="127" t="s">
        <v>642</v>
      </c>
      <c r="J1348" s="128">
        <v>102000</v>
      </c>
      <c r="K1348" s="127" t="s">
        <v>455</v>
      </c>
      <c r="L1348" s="151">
        <v>102130</v>
      </c>
      <c r="M1348" s="128">
        <v>0</v>
      </c>
      <c r="N1348" s="127" t="s">
        <v>458</v>
      </c>
      <c r="O1348" s="127" t="s">
        <v>457</v>
      </c>
      <c r="P1348" s="128">
        <v>-148240000</v>
      </c>
      <c r="Q1348" s="128">
        <v>0</v>
      </c>
      <c r="R1348" s="128">
        <v>0</v>
      </c>
      <c r="S1348" s="128">
        <v>0</v>
      </c>
      <c r="T1348" s="128">
        <v>-148240000</v>
      </c>
      <c r="U1348" s="128">
        <v>0</v>
      </c>
      <c r="V1348" s="128">
        <v>-148240000</v>
      </c>
      <c r="W1348" s="128">
        <v>0</v>
      </c>
      <c r="X1348" s="128">
        <v>0</v>
      </c>
      <c r="Y1348" s="128">
        <v>0</v>
      </c>
      <c r="Z1348" s="128">
        <v>-148240000</v>
      </c>
      <c r="AA1348" s="128">
        <v>0</v>
      </c>
      <c r="AB1348" s="126">
        <f t="shared" si="146"/>
        <v>14.824</v>
      </c>
      <c r="AC1348" s="122" t="s">
        <v>1838</v>
      </c>
      <c r="AD1348" s="123">
        <f t="shared" si="147"/>
        <v>1983.9723217250009</v>
      </c>
    </row>
    <row r="1349" spans="1:30" ht="12.75" hidden="1" customHeight="1">
      <c r="A1349" s="125" t="str">
        <f t="shared" si="143"/>
        <v>LIC72Investment Mutual Fund</v>
      </c>
      <c r="B1349" s="125">
        <f>+IFERROR(VLOOKUP(L1349,'TB mapping'!A:D,4,0),0)</f>
        <v>0</v>
      </c>
      <c r="C1349" s="125">
        <f>+IFERROR(VLOOKUP(L1349,'TB mapping'!A:C,3,0),0)</f>
        <v>0</v>
      </c>
      <c r="D1349" s="125" t="str">
        <f t="shared" si="144"/>
        <v>LIC720</v>
      </c>
      <c r="E1349" s="125" t="str">
        <f t="shared" si="145"/>
        <v>LIC720</v>
      </c>
      <c r="F1349" s="158" t="str">
        <f>+VLOOKUP(H1349,'code mapping'!A:C,3,0)</f>
        <v>LIC72</v>
      </c>
      <c r="G1349" s="127" t="s">
        <v>453</v>
      </c>
      <c r="H1349" s="127" t="s">
        <v>641</v>
      </c>
      <c r="I1349" s="127" t="s">
        <v>642</v>
      </c>
      <c r="J1349" s="128">
        <v>105000</v>
      </c>
      <c r="K1349" s="127" t="s">
        <v>460</v>
      </c>
      <c r="L1349" s="151">
        <v>105100</v>
      </c>
      <c r="M1349" s="128">
        <v>0</v>
      </c>
      <c r="N1349" s="127" t="s">
        <v>461</v>
      </c>
      <c r="O1349" s="127" t="s">
        <v>457</v>
      </c>
      <c r="P1349" s="128">
        <v>-0.13</v>
      </c>
      <c r="Q1349" s="128">
        <v>0</v>
      </c>
      <c r="R1349" s="128">
        <v>0</v>
      </c>
      <c r="S1349" s="128">
        <v>0</v>
      </c>
      <c r="T1349" s="128">
        <v>-0.13</v>
      </c>
      <c r="U1349" s="128">
        <v>0</v>
      </c>
      <c r="V1349" s="128">
        <v>-0.13</v>
      </c>
      <c r="W1349" s="128">
        <v>0</v>
      </c>
      <c r="X1349" s="128">
        <v>0</v>
      </c>
      <c r="Y1349" s="128">
        <v>0</v>
      </c>
      <c r="Z1349" s="128">
        <v>-0.13</v>
      </c>
      <c r="AA1349" s="128">
        <v>0</v>
      </c>
      <c r="AB1349" s="126">
        <f t="shared" si="146"/>
        <v>1.3000000000000001E-8</v>
      </c>
      <c r="AC1349" s="122" t="s">
        <v>1838</v>
      </c>
      <c r="AD1349" s="123">
        <f t="shared" si="147"/>
        <v>1983.9723217250009</v>
      </c>
    </row>
    <row r="1350" spans="1:30" ht="12.75" hidden="1" customHeight="1">
      <c r="A1350" s="125" t="str">
        <f t="shared" si="143"/>
        <v>LIC72Investment - CBLO</v>
      </c>
      <c r="B1350" s="125">
        <f>+IFERROR(VLOOKUP(L1350,'TB mapping'!A:D,4,0),0)</f>
        <v>0</v>
      </c>
      <c r="C1350" s="125">
        <f>+IFERROR(VLOOKUP(L1350,'TB mapping'!A:C,3,0),0)</f>
        <v>0</v>
      </c>
      <c r="D1350" s="125" t="str">
        <f t="shared" si="144"/>
        <v>LIC720</v>
      </c>
      <c r="E1350" s="125" t="str">
        <f t="shared" si="145"/>
        <v>LIC720</v>
      </c>
      <c r="F1350" s="158" t="str">
        <f>+VLOOKUP(H1350,'code mapping'!A:C,3,0)</f>
        <v>LIC72</v>
      </c>
      <c r="G1350" s="127" t="s">
        <v>453</v>
      </c>
      <c r="H1350" s="127" t="s">
        <v>641</v>
      </c>
      <c r="I1350" s="127" t="s">
        <v>642</v>
      </c>
      <c r="J1350" s="128">
        <v>110000</v>
      </c>
      <c r="K1350" s="127" t="s">
        <v>462</v>
      </c>
      <c r="L1350" s="151">
        <v>110100</v>
      </c>
      <c r="M1350" s="128">
        <v>0</v>
      </c>
      <c r="N1350" s="127" t="s">
        <v>463</v>
      </c>
      <c r="O1350" s="127" t="s">
        <v>457</v>
      </c>
      <c r="P1350" s="128">
        <v>-247476558.56999999</v>
      </c>
      <c r="Q1350" s="128">
        <v>0</v>
      </c>
      <c r="R1350" s="128">
        <v>0</v>
      </c>
      <c r="S1350" s="128">
        <v>0</v>
      </c>
      <c r="T1350" s="128">
        <v>-247476558.56999999</v>
      </c>
      <c r="U1350" s="128">
        <v>0</v>
      </c>
      <c r="V1350" s="128">
        <v>-247476558.56999999</v>
      </c>
      <c r="W1350" s="128">
        <v>0</v>
      </c>
      <c r="X1350" s="128">
        <v>0</v>
      </c>
      <c r="Y1350" s="128">
        <v>0</v>
      </c>
      <c r="Z1350" s="128">
        <v>-247476558.56999999</v>
      </c>
      <c r="AA1350" s="128">
        <v>0</v>
      </c>
      <c r="AB1350" s="126">
        <f t="shared" si="146"/>
        <v>24.747655856999998</v>
      </c>
      <c r="AC1350" s="122" t="s">
        <v>1838</v>
      </c>
      <c r="AD1350" s="123">
        <f t="shared" si="147"/>
        <v>1983.9723217250009</v>
      </c>
    </row>
    <row r="1351" spans="1:30" ht="12.75" hidden="1" customHeight="1">
      <c r="A1351" s="125" t="str">
        <f t="shared" si="143"/>
        <v>LIC72Margin Money Deposits</v>
      </c>
      <c r="B1351" s="125">
        <f>+IFERROR(VLOOKUP(L1351,'TB mapping'!A:D,4,0),0)</f>
        <v>0</v>
      </c>
      <c r="C1351" s="125">
        <f>+IFERROR(VLOOKUP(L1351,'TB mapping'!A:C,3,0),0)</f>
        <v>0</v>
      </c>
      <c r="D1351" s="125" t="str">
        <f t="shared" si="144"/>
        <v>LIC720</v>
      </c>
      <c r="E1351" s="125" t="str">
        <f t="shared" si="145"/>
        <v>LIC720</v>
      </c>
      <c r="F1351" s="158" t="str">
        <f>+VLOOKUP(H1351,'code mapping'!A:C,3,0)</f>
        <v>LIC72</v>
      </c>
      <c r="G1351" s="127" t="s">
        <v>453</v>
      </c>
      <c r="H1351" s="127" t="s">
        <v>641</v>
      </c>
      <c r="I1351" s="127" t="s">
        <v>642</v>
      </c>
      <c r="J1351" s="128">
        <v>110000</v>
      </c>
      <c r="K1351" s="127" t="s">
        <v>462</v>
      </c>
      <c r="L1351" s="151">
        <v>110110</v>
      </c>
      <c r="M1351" s="128">
        <v>0</v>
      </c>
      <c r="N1351" s="127" t="s">
        <v>464</v>
      </c>
      <c r="O1351" s="127" t="s">
        <v>457</v>
      </c>
      <c r="P1351" s="128">
        <v>-674355.49</v>
      </c>
      <c r="Q1351" s="128">
        <v>0</v>
      </c>
      <c r="R1351" s="128">
        <v>0</v>
      </c>
      <c r="S1351" s="128">
        <v>0</v>
      </c>
      <c r="T1351" s="128">
        <v>-674355.49</v>
      </c>
      <c r="U1351" s="128">
        <v>0</v>
      </c>
      <c r="V1351" s="128">
        <v>-674355.49</v>
      </c>
      <c r="W1351" s="128">
        <v>0</v>
      </c>
      <c r="X1351" s="128">
        <v>0</v>
      </c>
      <c r="Y1351" s="128">
        <v>0</v>
      </c>
      <c r="Z1351" s="128">
        <v>-674355.49</v>
      </c>
      <c r="AA1351" s="128">
        <v>0</v>
      </c>
      <c r="AB1351" s="126">
        <f t="shared" si="146"/>
        <v>6.7435548999999997E-2</v>
      </c>
      <c r="AC1351" s="122" t="s">
        <v>1838</v>
      </c>
      <c r="AD1351" s="123">
        <f t="shared" si="147"/>
        <v>1983.9723217250009</v>
      </c>
    </row>
    <row r="1352" spans="1:30" ht="12.75" hidden="1" customHeight="1">
      <c r="A1352" s="125" t="str">
        <f t="shared" si="143"/>
        <v>LIC72Margin Deposit For CCIL</v>
      </c>
      <c r="B1352" s="125">
        <f>+IFERROR(VLOOKUP(L1352,'TB mapping'!A:D,4,0),0)</f>
        <v>0</v>
      </c>
      <c r="C1352" s="125">
        <f>+IFERROR(VLOOKUP(L1352,'TB mapping'!A:C,3,0),0)</f>
        <v>0</v>
      </c>
      <c r="D1352" s="125" t="str">
        <f t="shared" si="144"/>
        <v>LIC720</v>
      </c>
      <c r="E1352" s="125" t="str">
        <f t="shared" si="145"/>
        <v>LIC720</v>
      </c>
      <c r="F1352" s="158" t="str">
        <f>+VLOOKUP(H1352,'code mapping'!A:C,3,0)</f>
        <v>LIC72</v>
      </c>
      <c r="G1352" s="127" t="s">
        <v>453</v>
      </c>
      <c r="H1352" s="127" t="s">
        <v>641</v>
      </c>
      <c r="I1352" s="127" t="s">
        <v>642</v>
      </c>
      <c r="J1352" s="128">
        <v>110000</v>
      </c>
      <c r="K1352" s="127" t="s">
        <v>462</v>
      </c>
      <c r="L1352" s="151">
        <v>110116</v>
      </c>
      <c r="M1352" s="128">
        <v>0</v>
      </c>
      <c r="N1352" s="127" t="s">
        <v>465</v>
      </c>
      <c r="O1352" s="127" t="s">
        <v>457</v>
      </c>
      <c r="P1352" s="128">
        <v>-120394.38</v>
      </c>
      <c r="Q1352" s="128">
        <v>0</v>
      </c>
      <c r="R1352" s="128">
        <v>0</v>
      </c>
      <c r="S1352" s="128">
        <v>0</v>
      </c>
      <c r="T1352" s="128">
        <v>-120394.38</v>
      </c>
      <c r="U1352" s="128">
        <v>0</v>
      </c>
      <c r="V1352" s="128">
        <v>-120394.38</v>
      </c>
      <c r="W1352" s="128">
        <v>0</v>
      </c>
      <c r="X1352" s="128">
        <v>0</v>
      </c>
      <c r="Y1352" s="128">
        <v>0</v>
      </c>
      <c r="Z1352" s="128">
        <v>-120394.38</v>
      </c>
      <c r="AA1352" s="128">
        <v>0</v>
      </c>
      <c r="AB1352" s="126">
        <f t="shared" si="146"/>
        <v>1.2039438000000001E-2</v>
      </c>
      <c r="AC1352" s="122" t="s">
        <v>1838</v>
      </c>
      <c r="AD1352" s="123">
        <f t="shared" si="147"/>
        <v>1983.9723217250009</v>
      </c>
    </row>
    <row r="1353" spans="1:30" ht="12.75" hidden="1" customHeight="1">
      <c r="A1353" s="125" t="str">
        <f t="shared" si="143"/>
        <v>LIC72Sub. Rec. Control Account</v>
      </c>
      <c r="B1353" s="125">
        <f>+IFERROR(VLOOKUP(L1353,'TB mapping'!A:D,4,0),0)</f>
        <v>0</v>
      </c>
      <c r="C1353" s="125">
        <f>+IFERROR(VLOOKUP(L1353,'TB mapping'!A:C,3,0),0)</f>
        <v>0</v>
      </c>
      <c r="D1353" s="125" t="str">
        <f t="shared" si="144"/>
        <v>LIC720</v>
      </c>
      <c r="E1353" s="125" t="str">
        <f t="shared" si="145"/>
        <v>LIC720</v>
      </c>
      <c r="F1353" s="158" t="str">
        <f>+VLOOKUP(H1353,'code mapping'!A:C,3,0)</f>
        <v>LIC72</v>
      </c>
      <c r="G1353" s="127" t="s">
        <v>453</v>
      </c>
      <c r="H1353" s="127" t="s">
        <v>641</v>
      </c>
      <c r="I1353" s="127" t="s">
        <v>642</v>
      </c>
      <c r="J1353" s="128">
        <v>132000</v>
      </c>
      <c r="K1353" s="127" t="s">
        <v>466</v>
      </c>
      <c r="L1353" s="151">
        <v>132121</v>
      </c>
      <c r="M1353" s="128">
        <v>0</v>
      </c>
      <c r="N1353" s="127" t="s">
        <v>467</v>
      </c>
      <c r="O1353" s="127" t="s">
        <v>457</v>
      </c>
      <c r="P1353" s="128">
        <v>-5075684.2300000004</v>
      </c>
      <c r="Q1353" s="128">
        <v>0</v>
      </c>
      <c r="R1353" s="128">
        <v>0</v>
      </c>
      <c r="S1353" s="128">
        <v>0</v>
      </c>
      <c r="T1353" s="128">
        <v>-5075684.2300000004</v>
      </c>
      <c r="U1353" s="128">
        <v>0</v>
      </c>
      <c r="V1353" s="128">
        <v>-5075684.2300000004</v>
      </c>
      <c r="W1353" s="128">
        <v>0</v>
      </c>
      <c r="X1353" s="128">
        <v>0</v>
      </c>
      <c r="Y1353" s="128">
        <v>0</v>
      </c>
      <c r="Z1353" s="128">
        <v>-5075684.2300000004</v>
      </c>
      <c r="AA1353" s="128">
        <v>0</v>
      </c>
      <c r="AB1353" s="126">
        <f t="shared" si="146"/>
        <v>0.50756842300000005</v>
      </c>
      <c r="AC1353" s="122" t="s">
        <v>1838</v>
      </c>
      <c r="AD1353" s="123">
        <f t="shared" si="147"/>
        <v>1983.9723217250009</v>
      </c>
    </row>
    <row r="1354" spans="1:30" ht="12.75" hidden="1" customHeight="1">
      <c r="A1354" s="125" t="str">
        <f t="shared" si="143"/>
        <v>LIC72Switch in Receivable Ct</v>
      </c>
      <c r="B1354" s="125">
        <f>+IFERROR(VLOOKUP(L1354,'TB mapping'!A:D,4,0),0)</f>
        <v>0</v>
      </c>
      <c r="C1354" s="125">
        <f>+IFERROR(VLOOKUP(L1354,'TB mapping'!A:C,3,0),0)</f>
        <v>0</v>
      </c>
      <c r="D1354" s="125" t="str">
        <f t="shared" si="144"/>
        <v>LIC720</v>
      </c>
      <c r="E1354" s="125" t="str">
        <f t="shared" si="145"/>
        <v>LIC720</v>
      </c>
      <c r="F1354" s="158" t="str">
        <f>+VLOOKUP(H1354,'code mapping'!A:C,3,0)</f>
        <v>LIC72</v>
      </c>
      <c r="G1354" s="127" t="s">
        <v>453</v>
      </c>
      <c r="H1354" s="127" t="s">
        <v>641</v>
      </c>
      <c r="I1354" s="127" t="s">
        <v>642</v>
      </c>
      <c r="J1354" s="128">
        <v>132000</v>
      </c>
      <c r="K1354" s="127" t="s">
        <v>466</v>
      </c>
      <c r="L1354" s="151">
        <v>132124</v>
      </c>
      <c r="M1354" s="128">
        <v>0</v>
      </c>
      <c r="N1354" s="127" t="s">
        <v>468</v>
      </c>
      <c r="O1354" s="127" t="s">
        <v>457</v>
      </c>
      <c r="P1354" s="128">
        <v>-134633.37</v>
      </c>
      <c r="Q1354" s="128">
        <v>0</v>
      </c>
      <c r="R1354" s="128">
        <v>0</v>
      </c>
      <c r="S1354" s="128">
        <v>0</v>
      </c>
      <c r="T1354" s="128">
        <v>-134633.37</v>
      </c>
      <c r="U1354" s="128">
        <v>0</v>
      </c>
      <c r="V1354" s="128">
        <v>-134633.37</v>
      </c>
      <c r="W1354" s="128">
        <v>0</v>
      </c>
      <c r="X1354" s="128">
        <v>0</v>
      </c>
      <c r="Y1354" s="128">
        <v>0</v>
      </c>
      <c r="Z1354" s="128">
        <v>-134633.37</v>
      </c>
      <c r="AA1354" s="128">
        <v>0</v>
      </c>
      <c r="AB1354" s="126">
        <f t="shared" si="146"/>
        <v>1.3463336999999999E-2</v>
      </c>
      <c r="AC1354" s="122" t="s">
        <v>1838</v>
      </c>
      <c r="AD1354" s="123">
        <f t="shared" si="147"/>
        <v>1983.9723217250009</v>
      </c>
    </row>
    <row r="1355" spans="1:30" ht="12.75" hidden="1" customHeight="1">
      <c r="A1355" s="125" t="str">
        <f t="shared" si="143"/>
        <v>LIC72Due from Counterparty</v>
      </c>
      <c r="B1355" s="125">
        <f>+IFERROR(VLOOKUP(L1355,'TB mapping'!A:D,4,0),0)</f>
        <v>0</v>
      </c>
      <c r="C1355" s="125">
        <f>+IFERROR(VLOOKUP(L1355,'TB mapping'!A:C,3,0),0)</f>
        <v>0</v>
      </c>
      <c r="D1355" s="125" t="str">
        <f t="shared" si="144"/>
        <v>LIC720</v>
      </c>
      <c r="E1355" s="125" t="str">
        <f t="shared" si="145"/>
        <v>LIC720</v>
      </c>
      <c r="F1355" s="158" t="str">
        <f>+VLOOKUP(H1355,'code mapping'!A:C,3,0)</f>
        <v>LIC72</v>
      </c>
      <c r="G1355" s="127" t="s">
        <v>453</v>
      </c>
      <c r="H1355" s="127" t="s">
        <v>641</v>
      </c>
      <c r="I1355" s="127" t="s">
        <v>642</v>
      </c>
      <c r="J1355" s="128">
        <v>132000</v>
      </c>
      <c r="K1355" s="127" t="s">
        <v>466</v>
      </c>
      <c r="L1355" s="151">
        <v>132250</v>
      </c>
      <c r="M1355" s="128">
        <v>0</v>
      </c>
      <c r="N1355" s="127" t="s">
        <v>645</v>
      </c>
      <c r="O1355" s="127" t="s">
        <v>457</v>
      </c>
      <c r="P1355" s="128">
        <v>-16438.38</v>
      </c>
      <c r="Q1355" s="128">
        <v>0</v>
      </c>
      <c r="R1355" s="128">
        <v>0</v>
      </c>
      <c r="S1355" s="128">
        <v>0</v>
      </c>
      <c r="T1355" s="128">
        <v>-16438.38</v>
      </c>
      <c r="U1355" s="128">
        <v>0</v>
      </c>
      <c r="V1355" s="128">
        <v>-16438.38</v>
      </c>
      <c r="W1355" s="128">
        <v>0</v>
      </c>
      <c r="X1355" s="128">
        <v>0</v>
      </c>
      <c r="Y1355" s="128">
        <v>0</v>
      </c>
      <c r="Z1355" s="128">
        <v>-16438.38</v>
      </c>
      <c r="AA1355" s="128">
        <v>0</v>
      </c>
      <c r="AB1355" s="126">
        <f t="shared" si="146"/>
        <v>1.6438380000000001E-3</v>
      </c>
      <c r="AC1355" s="122" t="s">
        <v>1838</v>
      </c>
      <c r="AD1355" s="123">
        <f t="shared" si="147"/>
        <v>1983.9723217250009</v>
      </c>
    </row>
    <row r="1356" spans="1:30" ht="12.75" hidden="1" customHeight="1">
      <c r="A1356" s="125" t="str">
        <f t="shared" si="143"/>
        <v>LIC72CCIL Settlement A/C</v>
      </c>
      <c r="B1356" s="125">
        <f>+IFERROR(VLOOKUP(L1356,'TB mapping'!A:D,4,0),0)</f>
        <v>0</v>
      </c>
      <c r="C1356" s="125">
        <f>+IFERROR(VLOOKUP(L1356,'TB mapping'!A:C,3,0),0)</f>
        <v>0</v>
      </c>
      <c r="D1356" s="125" t="str">
        <f t="shared" si="144"/>
        <v>LIC720</v>
      </c>
      <c r="E1356" s="125" t="str">
        <f t="shared" si="145"/>
        <v>LIC720</v>
      </c>
      <c r="F1356" s="158" t="str">
        <f>+VLOOKUP(H1356,'code mapping'!A:C,3,0)</f>
        <v>LIC72</v>
      </c>
      <c r="G1356" s="127" t="s">
        <v>453</v>
      </c>
      <c r="H1356" s="127" t="s">
        <v>641</v>
      </c>
      <c r="I1356" s="127" t="s">
        <v>642</v>
      </c>
      <c r="J1356" s="128">
        <v>140000</v>
      </c>
      <c r="K1356" s="127" t="s">
        <v>472</v>
      </c>
      <c r="L1356" s="151">
        <v>132237</v>
      </c>
      <c r="M1356" s="128">
        <v>0</v>
      </c>
      <c r="N1356" s="127" t="s">
        <v>473</v>
      </c>
      <c r="O1356" s="127" t="s">
        <v>457</v>
      </c>
      <c r="P1356" s="128">
        <v>0</v>
      </c>
      <c r="Q1356" s="128">
        <v>0.43</v>
      </c>
      <c r="R1356" s="128">
        <v>0</v>
      </c>
      <c r="S1356" s="128">
        <v>0</v>
      </c>
      <c r="T1356" s="128">
        <v>0</v>
      </c>
      <c r="U1356" s="128">
        <v>0.43</v>
      </c>
      <c r="V1356" s="128">
        <v>0</v>
      </c>
      <c r="W1356" s="128">
        <v>0.43</v>
      </c>
      <c r="X1356" s="128">
        <v>0</v>
      </c>
      <c r="Y1356" s="128">
        <v>0</v>
      </c>
      <c r="Z1356" s="128">
        <v>0</v>
      </c>
      <c r="AA1356" s="128">
        <v>0.43</v>
      </c>
      <c r="AB1356" s="126">
        <f t="shared" si="146"/>
        <v>-4.3000000000000001E-8</v>
      </c>
      <c r="AC1356" s="122" t="s">
        <v>1838</v>
      </c>
      <c r="AD1356" s="123">
        <f t="shared" si="147"/>
        <v>1983.9723217250009</v>
      </c>
    </row>
    <row r="1357" spans="1:30" ht="12.75" hidden="1" customHeight="1">
      <c r="A1357" s="125" t="str">
        <f t="shared" si="143"/>
        <v>LIC72HDFC Current Account</v>
      </c>
      <c r="B1357" s="125">
        <f>+IFERROR(VLOOKUP(L1357,'TB mapping'!A:D,4,0),0)</f>
        <v>0</v>
      </c>
      <c r="C1357" s="125">
        <f>+IFERROR(VLOOKUP(L1357,'TB mapping'!A:C,3,0),0)</f>
        <v>0</v>
      </c>
      <c r="D1357" s="125" t="str">
        <f t="shared" si="144"/>
        <v>LIC720</v>
      </c>
      <c r="E1357" s="125" t="str">
        <f t="shared" si="145"/>
        <v>LIC720</v>
      </c>
      <c r="F1357" s="158" t="str">
        <f>+VLOOKUP(H1357,'code mapping'!A:C,3,0)</f>
        <v>LIC72</v>
      </c>
      <c r="G1357" s="127" t="s">
        <v>453</v>
      </c>
      <c r="H1357" s="127" t="s">
        <v>641</v>
      </c>
      <c r="I1357" s="127" t="s">
        <v>642</v>
      </c>
      <c r="J1357" s="128">
        <v>140000</v>
      </c>
      <c r="K1357" s="127" t="s">
        <v>472</v>
      </c>
      <c r="L1357" s="151">
        <v>140330</v>
      </c>
      <c r="M1357" s="128">
        <v>0</v>
      </c>
      <c r="N1357" s="127" t="s">
        <v>475</v>
      </c>
      <c r="O1357" s="127" t="s">
        <v>457</v>
      </c>
      <c r="P1357" s="128">
        <v>-0.44</v>
      </c>
      <c r="Q1357" s="128">
        <v>0</v>
      </c>
      <c r="R1357" s="128">
        <v>0</v>
      </c>
      <c r="S1357" s="128">
        <v>0</v>
      </c>
      <c r="T1357" s="128">
        <v>-0.44</v>
      </c>
      <c r="U1357" s="128">
        <v>0</v>
      </c>
      <c r="V1357" s="128">
        <v>-0.44</v>
      </c>
      <c r="W1357" s="128">
        <v>0</v>
      </c>
      <c r="X1357" s="128">
        <v>0</v>
      </c>
      <c r="Y1357" s="128">
        <v>0</v>
      </c>
      <c r="Z1357" s="128">
        <v>-0.44</v>
      </c>
      <c r="AA1357" s="128">
        <v>0</v>
      </c>
      <c r="AB1357" s="126">
        <f t="shared" si="146"/>
        <v>4.3999999999999997E-8</v>
      </c>
      <c r="AC1357" s="122" t="s">
        <v>1838</v>
      </c>
      <c r="AD1357" s="123">
        <f t="shared" si="147"/>
        <v>1983.9723217250009</v>
      </c>
    </row>
    <row r="1358" spans="1:30" ht="12.75" hidden="1" customHeight="1">
      <c r="A1358" s="125" t="str">
        <f t="shared" si="143"/>
        <v>LIC72HDFC Bank Ltd</v>
      </c>
      <c r="B1358" s="125">
        <f>+IFERROR(VLOOKUP(L1358,'TB mapping'!A:D,4,0),0)</f>
        <v>0</v>
      </c>
      <c r="C1358" s="125">
        <f>+IFERROR(VLOOKUP(L1358,'TB mapping'!A:C,3,0),0)</f>
        <v>0</v>
      </c>
      <c r="D1358" s="125" t="str">
        <f t="shared" si="144"/>
        <v>LIC720</v>
      </c>
      <c r="E1358" s="125" t="str">
        <f t="shared" si="145"/>
        <v>LIC720</v>
      </c>
      <c r="F1358" s="158" t="str">
        <f>+VLOOKUP(H1358,'code mapping'!A:C,3,0)</f>
        <v>LIC72</v>
      </c>
      <c r="G1358" s="127" t="s">
        <v>453</v>
      </c>
      <c r="H1358" s="127" t="s">
        <v>641</v>
      </c>
      <c r="I1358" s="127" t="s">
        <v>642</v>
      </c>
      <c r="J1358" s="128">
        <v>140000</v>
      </c>
      <c r="K1358" s="127" t="s">
        <v>472</v>
      </c>
      <c r="L1358" s="151">
        <v>140372</v>
      </c>
      <c r="M1358" s="128">
        <v>0</v>
      </c>
      <c r="N1358" s="127" t="s">
        <v>476</v>
      </c>
      <c r="O1358" s="127" t="s">
        <v>457</v>
      </c>
      <c r="P1358" s="128">
        <v>0</v>
      </c>
      <c r="Q1358" s="128">
        <v>0.62</v>
      </c>
      <c r="R1358" s="128">
        <v>0</v>
      </c>
      <c r="S1358" s="128">
        <v>0</v>
      </c>
      <c r="T1358" s="128">
        <v>0</v>
      </c>
      <c r="U1358" s="128">
        <v>0.62</v>
      </c>
      <c r="V1358" s="128">
        <v>0</v>
      </c>
      <c r="W1358" s="128">
        <v>0.62</v>
      </c>
      <c r="X1358" s="128">
        <v>0</v>
      </c>
      <c r="Y1358" s="128">
        <v>0</v>
      </c>
      <c r="Z1358" s="128">
        <v>0</v>
      </c>
      <c r="AA1358" s="128">
        <v>0.62</v>
      </c>
      <c r="AB1358" s="126">
        <f t="shared" si="146"/>
        <v>-6.1999999999999999E-8</v>
      </c>
      <c r="AC1358" s="122" t="s">
        <v>1838</v>
      </c>
      <c r="AD1358" s="123">
        <f t="shared" si="147"/>
        <v>1983.9723217250009</v>
      </c>
    </row>
    <row r="1359" spans="1:30" ht="12.75" hidden="1" customHeight="1">
      <c r="A1359" s="125" t="str">
        <f t="shared" si="143"/>
        <v>LIC72Standard Chartered Bank- India</v>
      </c>
      <c r="B1359" s="125">
        <f>+IFERROR(VLOOKUP(L1359,'TB mapping'!A:D,4,0),0)</f>
        <v>0</v>
      </c>
      <c r="C1359" s="125">
        <f>+IFERROR(VLOOKUP(L1359,'TB mapping'!A:C,3,0),0)</f>
        <v>0</v>
      </c>
      <c r="D1359" s="125" t="str">
        <f t="shared" si="144"/>
        <v>LIC720</v>
      </c>
      <c r="E1359" s="125" t="str">
        <f t="shared" si="145"/>
        <v>LIC720</v>
      </c>
      <c r="F1359" s="158" t="str">
        <f>+VLOOKUP(H1359,'code mapping'!A:C,3,0)</f>
        <v>LIC72</v>
      </c>
      <c r="G1359" s="127" t="s">
        <v>453</v>
      </c>
      <c r="H1359" s="127" t="s">
        <v>641</v>
      </c>
      <c r="I1359" s="127" t="s">
        <v>642</v>
      </c>
      <c r="J1359" s="128">
        <v>140000</v>
      </c>
      <c r="K1359" s="127" t="s">
        <v>472</v>
      </c>
      <c r="L1359" s="151">
        <v>140500</v>
      </c>
      <c r="M1359" s="128">
        <v>0</v>
      </c>
      <c r="N1359" s="127" t="s">
        <v>477</v>
      </c>
      <c r="O1359" s="127" t="s">
        <v>457</v>
      </c>
      <c r="P1359" s="128">
        <v>-166049.9</v>
      </c>
      <c r="Q1359" s="128">
        <v>0</v>
      </c>
      <c r="R1359" s="128">
        <v>0</v>
      </c>
      <c r="S1359" s="128">
        <v>0</v>
      </c>
      <c r="T1359" s="128">
        <v>-166049.9</v>
      </c>
      <c r="U1359" s="128">
        <v>0</v>
      </c>
      <c r="V1359" s="128">
        <v>-166049.9</v>
      </c>
      <c r="W1359" s="128">
        <v>0</v>
      </c>
      <c r="X1359" s="128">
        <v>0</v>
      </c>
      <c r="Y1359" s="128">
        <v>0</v>
      </c>
      <c r="Z1359" s="128">
        <v>-166049.9</v>
      </c>
      <c r="AA1359" s="128">
        <v>0</v>
      </c>
      <c r="AB1359" s="126">
        <f t="shared" si="146"/>
        <v>1.660499E-2</v>
      </c>
      <c r="AC1359" s="122" t="s">
        <v>1838</v>
      </c>
      <c r="AD1359" s="123">
        <f t="shared" si="147"/>
        <v>1983.9723217250009</v>
      </c>
    </row>
    <row r="1360" spans="1:30" ht="12.75" hidden="1" customHeight="1">
      <c r="A1360" s="125" t="str">
        <f t="shared" si="143"/>
        <v>LIC72Int Accrual - Corporate Bonds</v>
      </c>
      <c r="B1360" s="125">
        <f>+IFERROR(VLOOKUP(L1360,'TB mapping'!A:D,4,0),0)</f>
        <v>0</v>
      </c>
      <c r="C1360" s="125">
        <f>+IFERROR(VLOOKUP(L1360,'TB mapping'!A:C,3,0),0)</f>
        <v>0</v>
      </c>
      <c r="D1360" s="125" t="str">
        <f t="shared" si="144"/>
        <v>LIC720</v>
      </c>
      <c r="E1360" s="125" t="str">
        <f t="shared" si="145"/>
        <v>LIC720</v>
      </c>
      <c r="F1360" s="158" t="str">
        <f>+VLOOKUP(H1360,'code mapping'!A:C,3,0)</f>
        <v>LIC72</v>
      </c>
      <c r="G1360" s="127" t="s">
        <v>453</v>
      </c>
      <c r="H1360" s="127" t="s">
        <v>641</v>
      </c>
      <c r="I1360" s="127" t="s">
        <v>642</v>
      </c>
      <c r="J1360" s="128">
        <v>152000</v>
      </c>
      <c r="K1360" s="127" t="s">
        <v>478</v>
      </c>
      <c r="L1360" s="151">
        <v>152120</v>
      </c>
      <c r="M1360" s="128">
        <v>0</v>
      </c>
      <c r="N1360" s="127" t="s">
        <v>479</v>
      </c>
      <c r="O1360" s="127" t="s">
        <v>457</v>
      </c>
      <c r="P1360" s="128">
        <v>-35867838.619999997</v>
      </c>
      <c r="Q1360" s="128">
        <v>0</v>
      </c>
      <c r="R1360" s="128">
        <v>0</v>
      </c>
      <c r="S1360" s="128">
        <v>0</v>
      </c>
      <c r="T1360" s="128">
        <v>-35867838.619999997</v>
      </c>
      <c r="U1360" s="128">
        <v>0</v>
      </c>
      <c r="V1360" s="128">
        <v>-35867838.619999997</v>
      </c>
      <c r="W1360" s="128">
        <v>0</v>
      </c>
      <c r="X1360" s="128">
        <v>0</v>
      </c>
      <c r="Y1360" s="128">
        <v>0</v>
      </c>
      <c r="Z1360" s="128">
        <v>-35867838.619999997</v>
      </c>
      <c r="AA1360" s="128">
        <v>0</v>
      </c>
      <c r="AB1360" s="126">
        <f t="shared" si="146"/>
        <v>3.5867838619999999</v>
      </c>
      <c r="AC1360" s="122" t="s">
        <v>1838</v>
      </c>
      <c r="AD1360" s="123">
        <f t="shared" si="147"/>
        <v>1983.9723217250009</v>
      </c>
    </row>
    <row r="1361" spans="1:30" ht="12.75" hidden="1" customHeight="1">
      <c r="A1361" s="125" t="str">
        <f t="shared" si="143"/>
        <v>LIC72Int Accrual - Government Bonds</v>
      </c>
      <c r="B1361" s="125">
        <f>+IFERROR(VLOOKUP(L1361,'TB mapping'!A:D,4,0),0)</f>
        <v>0</v>
      </c>
      <c r="C1361" s="125">
        <f>+IFERROR(VLOOKUP(L1361,'TB mapping'!A:C,3,0),0)</f>
        <v>0</v>
      </c>
      <c r="D1361" s="125" t="str">
        <f t="shared" si="144"/>
        <v>LIC720</v>
      </c>
      <c r="E1361" s="125" t="str">
        <f t="shared" si="145"/>
        <v>LIC720</v>
      </c>
      <c r="F1361" s="158" t="str">
        <f>+VLOOKUP(H1361,'code mapping'!A:C,3,0)</f>
        <v>LIC72</v>
      </c>
      <c r="G1361" s="127" t="s">
        <v>453</v>
      </c>
      <c r="H1361" s="127" t="s">
        <v>641</v>
      </c>
      <c r="I1361" s="127" t="s">
        <v>642</v>
      </c>
      <c r="J1361" s="128">
        <v>152000</v>
      </c>
      <c r="K1361" s="127" t="s">
        <v>478</v>
      </c>
      <c r="L1361" s="151">
        <v>152130</v>
      </c>
      <c r="M1361" s="128">
        <v>0</v>
      </c>
      <c r="N1361" s="127" t="s">
        <v>480</v>
      </c>
      <c r="O1361" s="127" t="s">
        <v>457</v>
      </c>
      <c r="P1361" s="128">
        <v>-2539374.9900000002</v>
      </c>
      <c r="Q1361" s="128">
        <v>0</v>
      </c>
      <c r="R1361" s="128">
        <v>0</v>
      </c>
      <c r="S1361" s="128">
        <v>0</v>
      </c>
      <c r="T1361" s="128">
        <v>-2539374.9900000002</v>
      </c>
      <c r="U1361" s="128">
        <v>0</v>
      </c>
      <c r="V1361" s="128">
        <v>-2539374.9900000002</v>
      </c>
      <c r="W1361" s="128">
        <v>0</v>
      </c>
      <c r="X1361" s="128">
        <v>0</v>
      </c>
      <c r="Y1361" s="128">
        <v>0</v>
      </c>
      <c r="Z1361" s="128">
        <v>-2539374.9900000002</v>
      </c>
      <c r="AA1361" s="128">
        <v>0</v>
      </c>
      <c r="AB1361" s="126">
        <f t="shared" si="146"/>
        <v>0.25393749900000001</v>
      </c>
      <c r="AC1361" s="122" t="s">
        <v>1838</v>
      </c>
      <c r="AD1361" s="123">
        <f t="shared" si="147"/>
        <v>1983.9723217250009</v>
      </c>
    </row>
    <row r="1362" spans="1:30" ht="12.75" hidden="1" customHeight="1">
      <c r="A1362" s="125" t="str">
        <f t="shared" si="143"/>
        <v>LIC72Amort Receivable - CBLO</v>
      </c>
      <c r="B1362" s="125">
        <f>+IFERROR(VLOOKUP(L1362,'TB mapping'!A:D,4,0),0)</f>
        <v>0</v>
      </c>
      <c r="C1362" s="125">
        <f>+IFERROR(VLOOKUP(L1362,'TB mapping'!A:C,3,0),0)</f>
        <v>0</v>
      </c>
      <c r="D1362" s="125" t="str">
        <f t="shared" si="144"/>
        <v>LIC720</v>
      </c>
      <c r="E1362" s="125" t="str">
        <f t="shared" si="145"/>
        <v>LIC720</v>
      </c>
      <c r="F1362" s="158" t="str">
        <f>+VLOOKUP(H1362,'code mapping'!A:C,3,0)</f>
        <v>LIC72</v>
      </c>
      <c r="G1362" s="127" t="s">
        <v>453</v>
      </c>
      <c r="H1362" s="127" t="s">
        <v>641</v>
      </c>
      <c r="I1362" s="127" t="s">
        <v>642</v>
      </c>
      <c r="J1362" s="128">
        <v>152000</v>
      </c>
      <c r="K1362" s="127" t="s">
        <v>478</v>
      </c>
      <c r="L1362" s="151">
        <v>152232</v>
      </c>
      <c r="M1362" s="128">
        <v>0</v>
      </c>
      <c r="N1362" s="127" t="s">
        <v>482</v>
      </c>
      <c r="O1362" s="127" t="s">
        <v>457</v>
      </c>
      <c r="P1362" s="128">
        <v>-110712.83</v>
      </c>
      <c r="Q1362" s="128">
        <v>0</v>
      </c>
      <c r="R1362" s="128">
        <v>0</v>
      </c>
      <c r="S1362" s="128">
        <v>0</v>
      </c>
      <c r="T1362" s="128">
        <v>-110712.83</v>
      </c>
      <c r="U1362" s="128">
        <v>0</v>
      </c>
      <c r="V1362" s="128">
        <v>-110712.83</v>
      </c>
      <c r="W1362" s="128">
        <v>0</v>
      </c>
      <c r="X1362" s="128">
        <v>0</v>
      </c>
      <c r="Y1362" s="128">
        <v>0</v>
      </c>
      <c r="Z1362" s="128">
        <v>-110712.83</v>
      </c>
      <c r="AA1362" s="128">
        <v>0</v>
      </c>
      <c r="AB1362" s="126">
        <f t="shared" si="146"/>
        <v>1.1071282999999999E-2</v>
      </c>
      <c r="AC1362" s="122" t="s">
        <v>1838</v>
      </c>
      <c r="AD1362" s="123">
        <f t="shared" si="147"/>
        <v>1983.9723217250009</v>
      </c>
    </row>
    <row r="1363" spans="1:30" ht="12.75" hidden="1" customHeight="1">
      <c r="A1363" s="125" t="str">
        <f t="shared" si="143"/>
        <v>LIC72Amortisation/Accretion-Bills</v>
      </c>
      <c r="B1363" s="125">
        <f>+IFERROR(VLOOKUP(L1363,'TB mapping'!A:D,4,0),0)</f>
        <v>0</v>
      </c>
      <c r="C1363" s="125">
        <f>+IFERROR(VLOOKUP(L1363,'TB mapping'!A:C,3,0),0)</f>
        <v>0</v>
      </c>
      <c r="D1363" s="125" t="str">
        <f t="shared" si="144"/>
        <v>LIC720</v>
      </c>
      <c r="E1363" s="125" t="str">
        <f t="shared" si="145"/>
        <v>LIC720</v>
      </c>
      <c r="F1363" s="158" t="str">
        <f>+VLOOKUP(H1363,'code mapping'!A:C,3,0)</f>
        <v>LIC72</v>
      </c>
      <c r="G1363" s="127" t="s">
        <v>453</v>
      </c>
      <c r="H1363" s="127" t="s">
        <v>641</v>
      </c>
      <c r="I1363" s="127" t="s">
        <v>642</v>
      </c>
      <c r="J1363" s="128">
        <v>152000</v>
      </c>
      <c r="K1363" s="127" t="s">
        <v>478</v>
      </c>
      <c r="L1363" s="151">
        <v>153001</v>
      </c>
      <c r="M1363" s="128">
        <v>0</v>
      </c>
      <c r="N1363" s="127" t="s">
        <v>647</v>
      </c>
      <c r="O1363" s="127" t="s">
        <v>457</v>
      </c>
      <c r="P1363" s="128">
        <v>-2997180</v>
      </c>
      <c r="Q1363" s="128">
        <v>0</v>
      </c>
      <c r="R1363" s="128">
        <v>0</v>
      </c>
      <c r="S1363" s="128">
        <v>0</v>
      </c>
      <c r="T1363" s="128">
        <v>-2997180</v>
      </c>
      <c r="U1363" s="128">
        <v>0</v>
      </c>
      <c r="V1363" s="128">
        <v>-2997180</v>
      </c>
      <c r="W1363" s="128">
        <v>0</v>
      </c>
      <c r="X1363" s="128">
        <v>0</v>
      </c>
      <c r="Y1363" s="128">
        <v>0</v>
      </c>
      <c r="Z1363" s="128">
        <v>-2997180</v>
      </c>
      <c r="AA1363" s="128">
        <v>0</v>
      </c>
      <c r="AB1363" s="126">
        <f t="shared" si="146"/>
        <v>0.29971799999999998</v>
      </c>
      <c r="AC1363" s="122" t="s">
        <v>1838</v>
      </c>
      <c r="AD1363" s="123">
        <f t="shared" si="147"/>
        <v>1983.9723217250009</v>
      </c>
    </row>
    <row r="1364" spans="1:30" ht="12.75" hidden="1" customHeight="1">
      <c r="A1364" s="125" t="str">
        <f t="shared" si="143"/>
        <v>LIC72Prov Unr P/L - Treasury Bills</v>
      </c>
      <c r="B1364" s="125">
        <f>+IFERROR(VLOOKUP(L1364,'TB mapping'!A:D,4,0),0)</f>
        <v>0</v>
      </c>
      <c r="C1364" s="125">
        <f>+IFERROR(VLOOKUP(L1364,'TB mapping'!A:C,3,0),0)</f>
        <v>0</v>
      </c>
      <c r="D1364" s="125" t="str">
        <f t="shared" si="144"/>
        <v>LIC720</v>
      </c>
      <c r="E1364" s="125" t="str">
        <f t="shared" si="145"/>
        <v>LIC720</v>
      </c>
      <c r="F1364" s="158" t="str">
        <f>+VLOOKUP(H1364,'code mapping'!A:C,3,0)</f>
        <v>LIC72</v>
      </c>
      <c r="G1364" s="127" t="s">
        <v>453</v>
      </c>
      <c r="H1364" s="127" t="s">
        <v>641</v>
      </c>
      <c r="I1364" s="127" t="s">
        <v>642</v>
      </c>
      <c r="J1364" s="128">
        <v>160000</v>
      </c>
      <c r="K1364" s="127" t="s">
        <v>483</v>
      </c>
      <c r="L1364" s="151">
        <v>162110</v>
      </c>
      <c r="M1364" s="128">
        <v>0</v>
      </c>
      <c r="N1364" s="127" t="s">
        <v>648</v>
      </c>
      <c r="O1364" s="127" t="s">
        <v>457</v>
      </c>
      <c r="P1364" s="128">
        <v>-214170</v>
      </c>
      <c r="Q1364" s="128">
        <v>0</v>
      </c>
      <c r="R1364" s="128">
        <v>0</v>
      </c>
      <c r="S1364" s="128">
        <v>0</v>
      </c>
      <c r="T1364" s="128">
        <v>-214170</v>
      </c>
      <c r="U1364" s="128">
        <v>0</v>
      </c>
      <c r="V1364" s="128">
        <v>-214170</v>
      </c>
      <c r="W1364" s="128">
        <v>0</v>
      </c>
      <c r="X1364" s="128">
        <v>0</v>
      </c>
      <c r="Y1364" s="128">
        <v>0</v>
      </c>
      <c r="Z1364" s="128">
        <v>-214170</v>
      </c>
      <c r="AA1364" s="128">
        <v>0</v>
      </c>
      <c r="AB1364" s="126">
        <f t="shared" si="146"/>
        <v>2.1416999999999999E-2</v>
      </c>
      <c r="AC1364" s="122" t="s">
        <v>1838</v>
      </c>
      <c r="AD1364" s="123">
        <f t="shared" si="147"/>
        <v>1983.9723217250009</v>
      </c>
    </row>
    <row r="1365" spans="1:30" ht="12.75" hidden="1" customHeight="1">
      <c r="A1365" s="125" t="str">
        <f t="shared" si="143"/>
        <v>LIC72Prov Unr P/L - CorpBond/Debent</v>
      </c>
      <c r="B1365" s="125">
        <f>+IFERROR(VLOOKUP(L1365,'TB mapping'!A:D,4,0),0)</f>
        <v>0</v>
      </c>
      <c r="C1365" s="125">
        <f>+IFERROR(VLOOKUP(L1365,'TB mapping'!A:C,3,0),0)</f>
        <v>0</v>
      </c>
      <c r="D1365" s="125" t="str">
        <f t="shared" si="144"/>
        <v>LIC720</v>
      </c>
      <c r="E1365" s="125" t="str">
        <f t="shared" si="145"/>
        <v>LIC720</v>
      </c>
      <c r="F1365" s="158" t="str">
        <f>+VLOOKUP(H1365,'code mapping'!A:C,3,0)</f>
        <v>LIC72</v>
      </c>
      <c r="G1365" s="127" t="s">
        <v>453</v>
      </c>
      <c r="H1365" s="127" t="s">
        <v>641</v>
      </c>
      <c r="I1365" s="127" t="s">
        <v>642</v>
      </c>
      <c r="J1365" s="128">
        <v>160000</v>
      </c>
      <c r="K1365" s="127" t="s">
        <v>483</v>
      </c>
      <c r="L1365" s="151">
        <v>162120</v>
      </c>
      <c r="M1365" s="128">
        <v>0</v>
      </c>
      <c r="N1365" s="127" t="s">
        <v>484</v>
      </c>
      <c r="O1365" s="127" t="s">
        <v>457</v>
      </c>
      <c r="P1365" s="128">
        <v>-6207924</v>
      </c>
      <c r="Q1365" s="128">
        <v>0</v>
      </c>
      <c r="R1365" s="128">
        <v>0</v>
      </c>
      <c r="S1365" s="128">
        <v>0</v>
      </c>
      <c r="T1365" s="128">
        <v>-6207924</v>
      </c>
      <c r="U1365" s="128">
        <v>0</v>
      </c>
      <c r="V1365" s="128">
        <v>-6207924</v>
      </c>
      <c r="W1365" s="128">
        <v>0</v>
      </c>
      <c r="X1365" s="128">
        <v>0</v>
      </c>
      <c r="Y1365" s="128">
        <v>0</v>
      </c>
      <c r="Z1365" s="128">
        <v>-6207924</v>
      </c>
      <c r="AA1365" s="128">
        <v>0</v>
      </c>
      <c r="AB1365" s="126">
        <f t="shared" si="146"/>
        <v>0.62079240000000002</v>
      </c>
      <c r="AC1365" s="122" t="s">
        <v>1838</v>
      </c>
      <c r="AD1365" s="123">
        <f t="shared" si="147"/>
        <v>1983.9723217250009</v>
      </c>
    </row>
    <row r="1366" spans="1:30" ht="12.75" hidden="1" customHeight="1">
      <c r="A1366" s="125" t="str">
        <f t="shared" si="143"/>
        <v>LIC72Prov Unr P/L - Government Bond</v>
      </c>
      <c r="B1366" s="125">
        <f>+IFERROR(VLOOKUP(L1366,'TB mapping'!A:D,4,0),0)</f>
        <v>0</v>
      </c>
      <c r="C1366" s="125">
        <f>+IFERROR(VLOOKUP(L1366,'TB mapping'!A:C,3,0),0)</f>
        <v>0</v>
      </c>
      <c r="D1366" s="125" t="str">
        <f t="shared" si="144"/>
        <v>LIC720</v>
      </c>
      <c r="E1366" s="125" t="str">
        <f t="shared" si="145"/>
        <v>LIC720</v>
      </c>
      <c r="F1366" s="158" t="str">
        <f>+VLOOKUP(H1366,'code mapping'!A:C,3,0)</f>
        <v>LIC72</v>
      </c>
      <c r="G1366" s="127" t="s">
        <v>453</v>
      </c>
      <c r="H1366" s="127" t="s">
        <v>641</v>
      </c>
      <c r="I1366" s="127" t="s">
        <v>642</v>
      </c>
      <c r="J1366" s="128">
        <v>160000</v>
      </c>
      <c r="K1366" s="127" t="s">
        <v>483</v>
      </c>
      <c r="L1366" s="151">
        <v>162130</v>
      </c>
      <c r="M1366" s="128">
        <v>0</v>
      </c>
      <c r="N1366" s="127" t="s">
        <v>485</v>
      </c>
      <c r="O1366" s="127" t="s">
        <v>457</v>
      </c>
      <c r="P1366" s="128">
        <v>0</v>
      </c>
      <c r="Q1366" s="128">
        <v>610750</v>
      </c>
      <c r="R1366" s="128">
        <v>0</v>
      </c>
      <c r="S1366" s="128">
        <v>0</v>
      </c>
      <c r="T1366" s="128">
        <v>0</v>
      </c>
      <c r="U1366" s="128">
        <v>610750</v>
      </c>
      <c r="V1366" s="128">
        <v>0</v>
      </c>
      <c r="W1366" s="128">
        <v>610750</v>
      </c>
      <c r="X1366" s="128">
        <v>0</v>
      </c>
      <c r="Y1366" s="128">
        <v>0</v>
      </c>
      <c r="Z1366" s="128">
        <v>0</v>
      </c>
      <c r="AA1366" s="128">
        <v>610750</v>
      </c>
      <c r="AB1366" s="126">
        <f t="shared" si="146"/>
        <v>-6.1074999999999997E-2</v>
      </c>
      <c r="AC1366" s="122" t="s">
        <v>1838</v>
      </c>
      <c r="AD1366" s="123">
        <f t="shared" si="147"/>
        <v>1983.9723217250009</v>
      </c>
    </row>
    <row r="1367" spans="1:30" ht="12.75" hidden="1" customHeight="1">
      <c r="A1367" s="125" t="str">
        <f t="shared" si="143"/>
        <v>LIC72Payable - Withhold Brokerage</v>
      </c>
      <c r="B1367" s="125">
        <f>+IFERROR(VLOOKUP(L1367,'TB mapping'!A:D,4,0),0)</f>
        <v>0</v>
      </c>
      <c r="C1367" s="125">
        <f>+IFERROR(VLOOKUP(L1367,'TB mapping'!A:C,3,0),0)</f>
        <v>0</v>
      </c>
      <c r="D1367" s="125" t="str">
        <f t="shared" si="144"/>
        <v>LIC720</v>
      </c>
      <c r="E1367" s="125" t="str">
        <f t="shared" si="145"/>
        <v>LIC720</v>
      </c>
      <c r="F1367" s="158" t="str">
        <f>+VLOOKUP(H1367,'code mapping'!A:C,3,0)</f>
        <v>LIC72</v>
      </c>
      <c r="G1367" s="127" t="s">
        <v>453</v>
      </c>
      <c r="H1367" s="127" t="s">
        <v>641</v>
      </c>
      <c r="I1367" s="127" t="s">
        <v>642</v>
      </c>
      <c r="J1367" s="128">
        <v>212000</v>
      </c>
      <c r="K1367" s="127" t="s">
        <v>487</v>
      </c>
      <c r="L1367" s="151">
        <v>210164</v>
      </c>
      <c r="M1367" s="128">
        <v>0</v>
      </c>
      <c r="N1367" s="127" t="s">
        <v>488</v>
      </c>
      <c r="O1367" s="127" t="s">
        <v>457</v>
      </c>
      <c r="P1367" s="128">
        <v>0</v>
      </c>
      <c r="Q1367" s="128">
        <v>290864.24</v>
      </c>
      <c r="R1367" s="128">
        <v>0</v>
      </c>
      <c r="S1367" s="128">
        <v>0</v>
      </c>
      <c r="T1367" s="128">
        <v>0</v>
      </c>
      <c r="U1367" s="128">
        <v>290864.24</v>
      </c>
      <c r="V1367" s="128">
        <v>0</v>
      </c>
      <c r="W1367" s="128">
        <v>290864.24</v>
      </c>
      <c r="X1367" s="128">
        <v>0</v>
      </c>
      <c r="Y1367" s="128">
        <v>0</v>
      </c>
      <c r="Z1367" s="128">
        <v>0</v>
      </c>
      <c r="AA1367" s="128">
        <v>290864.24</v>
      </c>
      <c r="AB1367" s="126">
        <f t="shared" si="146"/>
        <v>-2.9086424E-2</v>
      </c>
      <c r="AC1367" s="122" t="s">
        <v>1838</v>
      </c>
      <c r="AD1367" s="123">
        <f t="shared" si="147"/>
        <v>1983.9723217250009</v>
      </c>
    </row>
    <row r="1368" spans="1:30" ht="12.75" hidden="1" customHeight="1">
      <c r="A1368" s="125" t="str">
        <f t="shared" si="143"/>
        <v>LIC72Dividend Payable</v>
      </c>
      <c r="B1368" s="125">
        <f>+IFERROR(VLOOKUP(L1368,'TB mapping'!A:D,4,0),0)</f>
        <v>0</v>
      </c>
      <c r="C1368" s="125">
        <f>+IFERROR(VLOOKUP(L1368,'TB mapping'!A:C,3,0),0)</f>
        <v>0</v>
      </c>
      <c r="D1368" s="125" t="str">
        <f t="shared" si="144"/>
        <v>LIC720</v>
      </c>
      <c r="E1368" s="125" t="str">
        <f t="shared" si="145"/>
        <v>LIC720</v>
      </c>
      <c r="F1368" s="158" t="str">
        <f>+VLOOKUP(H1368,'code mapping'!A:C,3,0)</f>
        <v>LIC72</v>
      </c>
      <c r="G1368" s="127" t="s">
        <v>453</v>
      </c>
      <c r="H1368" s="127" t="s">
        <v>641</v>
      </c>
      <c r="I1368" s="127" t="s">
        <v>642</v>
      </c>
      <c r="J1368" s="128">
        <v>212000</v>
      </c>
      <c r="K1368" s="127" t="s">
        <v>487</v>
      </c>
      <c r="L1368" s="151">
        <v>212100</v>
      </c>
      <c r="M1368" s="128">
        <v>0</v>
      </c>
      <c r="N1368" s="127" t="s">
        <v>489</v>
      </c>
      <c r="O1368" s="127" t="s">
        <v>457</v>
      </c>
      <c r="P1368" s="128">
        <v>0</v>
      </c>
      <c r="Q1368" s="128">
        <v>10.18</v>
      </c>
      <c r="R1368" s="128">
        <v>0</v>
      </c>
      <c r="S1368" s="128">
        <v>0</v>
      </c>
      <c r="T1368" s="128">
        <v>0</v>
      </c>
      <c r="U1368" s="128">
        <v>10.18</v>
      </c>
      <c r="V1368" s="128">
        <v>0</v>
      </c>
      <c r="W1368" s="128">
        <v>10.18</v>
      </c>
      <c r="X1368" s="128">
        <v>0</v>
      </c>
      <c r="Y1368" s="128">
        <v>0</v>
      </c>
      <c r="Z1368" s="128">
        <v>0</v>
      </c>
      <c r="AA1368" s="128">
        <v>10.18</v>
      </c>
      <c r="AB1368" s="126">
        <f t="shared" si="146"/>
        <v>-1.018E-6</v>
      </c>
      <c r="AC1368" s="122" t="s">
        <v>1838</v>
      </c>
      <c r="AD1368" s="123">
        <f t="shared" si="147"/>
        <v>1983.9723217250009</v>
      </c>
    </row>
    <row r="1369" spans="1:30" ht="12.75" hidden="1" customHeight="1">
      <c r="A1369" s="125" t="str">
        <f t="shared" si="143"/>
        <v>LIC72CGST Payable</v>
      </c>
      <c r="B1369" s="125">
        <f>+IFERROR(VLOOKUP(L1369,'TB mapping'!A:D,4,0),0)</f>
        <v>0</v>
      </c>
      <c r="C1369" s="125">
        <f>+IFERROR(VLOOKUP(L1369,'TB mapping'!A:C,3,0),0)</f>
        <v>0</v>
      </c>
      <c r="D1369" s="125" t="str">
        <f t="shared" si="144"/>
        <v>LIC720</v>
      </c>
      <c r="E1369" s="125" t="str">
        <f t="shared" si="145"/>
        <v>LIC720</v>
      </c>
      <c r="F1369" s="158" t="str">
        <f>+VLOOKUP(H1369,'code mapping'!A:C,3,0)</f>
        <v>LIC72</v>
      </c>
      <c r="G1369" s="127" t="s">
        <v>453</v>
      </c>
      <c r="H1369" s="127" t="s">
        <v>641</v>
      </c>
      <c r="I1369" s="127" t="s">
        <v>642</v>
      </c>
      <c r="J1369" s="128">
        <v>212000</v>
      </c>
      <c r="K1369" s="127" t="s">
        <v>487</v>
      </c>
      <c r="L1369" s="151">
        <v>212112</v>
      </c>
      <c r="M1369" s="128">
        <v>0</v>
      </c>
      <c r="N1369" s="127" t="s">
        <v>490</v>
      </c>
      <c r="O1369" s="127" t="s">
        <v>457</v>
      </c>
      <c r="P1369" s="128">
        <v>0</v>
      </c>
      <c r="Q1369" s="128">
        <v>85.62</v>
      </c>
      <c r="R1369" s="128">
        <v>0</v>
      </c>
      <c r="S1369" s="128">
        <v>0</v>
      </c>
      <c r="T1369" s="128">
        <v>0</v>
      </c>
      <c r="U1369" s="128">
        <v>85.62</v>
      </c>
      <c r="V1369" s="128">
        <v>0</v>
      </c>
      <c r="W1369" s="128">
        <v>85.62</v>
      </c>
      <c r="X1369" s="128">
        <v>0</v>
      </c>
      <c r="Y1369" s="128">
        <v>0</v>
      </c>
      <c r="Z1369" s="128">
        <v>0</v>
      </c>
      <c r="AA1369" s="128">
        <v>85.62</v>
      </c>
      <c r="AB1369" s="126">
        <f t="shared" si="146"/>
        <v>-8.5620000000000004E-6</v>
      </c>
      <c r="AC1369" s="122" t="s">
        <v>1838</v>
      </c>
      <c r="AD1369" s="123">
        <f t="shared" si="147"/>
        <v>1983.9723217250009</v>
      </c>
    </row>
    <row r="1370" spans="1:30" ht="12.75" hidden="1" customHeight="1">
      <c r="A1370" s="125" t="str">
        <f t="shared" si="143"/>
        <v>LIC72SGST Payable</v>
      </c>
      <c r="B1370" s="125">
        <f>+IFERROR(VLOOKUP(L1370,'TB mapping'!A:D,4,0),0)</f>
        <v>0</v>
      </c>
      <c r="C1370" s="125">
        <f>+IFERROR(VLOOKUP(L1370,'TB mapping'!A:C,3,0),0)</f>
        <v>0</v>
      </c>
      <c r="D1370" s="125" t="str">
        <f t="shared" si="144"/>
        <v>LIC720</v>
      </c>
      <c r="E1370" s="125" t="str">
        <f t="shared" si="145"/>
        <v>LIC720</v>
      </c>
      <c r="F1370" s="158" t="str">
        <f>+VLOOKUP(H1370,'code mapping'!A:C,3,0)</f>
        <v>LIC72</v>
      </c>
      <c r="G1370" s="127" t="s">
        <v>453</v>
      </c>
      <c r="H1370" s="127" t="s">
        <v>641</v>
      </c>
      <c r="I1370" s="127" t="s">
        <v>642</v>
      </c>
      <c r="J1370" s="128">
        <v>212000</v>
      </c>
      <c r="K1370" s="127" t="s">
        <v>487</v>
      </c>
      <c r="L1370" s="151">
        <v>212113</v>
      </c>
      <c r="M1370" s="128">
        <v>0</v>
      </c>
      <c r="N1370" s="127" t="s">
        <v>491</v>
      </c>
      <c r="O1370" s="127" t="s">
        <v>457</v>
      </c>
      <c r="P1370" s="128">
        <v>0</v>
      </c>
      <c r="Q1370" s="128">
        <v>85.62</v>
      </c>
      <c r="R1370" s="128">
        <v>0</v>
      </c>
      <c r="S1370" s="128">
        <v>0</v>
      </c>
      <c r="T1370" s="128">
        <v>0</v>
      </c>
      <c r="U1370" s="128">
        <v>85.62</v>
      </c>
      <c r="V1370" s="128">
        <v>0</v>
      </c>
      <c r="W1370" s="128">
        <v>85.62</v>
      </c>
      <c r="X1370" s="128">
        <v>0</v>
      </c>
      <c r="Y1370" s="128">
        <v>0</v>
      </c>
      <c r="Z1370" s="128">
        <v>0</v>
      </c>
      <c r="AA1370" s="128">
        <v>85.62</v>
      </c>
      <c r="AB1370" s="126">
        <f t="shared" si="146"/>
        <v>-8.5620000000000004E-6</v>
      </c>
      <c r="AC1370" s="122" t="s">
        <v>1838</v>
      </c>
      <c r="AD1370" s="123">
        <f t="shared" si="147"/>
        <v>1983.9723217250009</v>
      </c>
    </row>
    <row r="1371" spans="1:30" ht="12.75" hidden="1" customHeight="1">
      <c r="A1371" s="125" t="str">
        <f t="shared" si="143"/>
        <v>LIC72IGST Payable</v>
      </c>
      <c r="B1371" s="125">
        <f>+IFERROR(VLOOKUP(L1371,'TB mapping'!A:D,4,0),0)</f>
        <v>0</v>
      </c>
      <c r="C1371" s="125">
        <f>+IFERROR(VLOOKUP(L1371,'TB mapping'!A:C,3,0),0)</f>
        <v>0</v>
      </c>
      <c r="D1371" s="125" t="str">
        <f t="shared" si="144"/>
        <v>LIC720</v>
      </c>
      <c r="E1371" s="125" t="str">
        <f t="shared" si="145"/>
        <v>LIC720</v>
      </c>
      <c r="F1371" s="158" t="str">
        <f>+VLOOKUP(H1371,'code mapping'!A:C,3,0)</f>
        <v>LIC72</v>
      </c>
      <c r="G1371" s="127" t="s">
        <v>453</v>
      </c>
      <c r="H1371" s="127" t="s">
        <v>641</v>
      </c>
      <c r="I1371" s="127" t="s">
        <v>642</v>
      </c>
      <c r="J1371" s="128">
        <v>212000</v>
      </c>
      <c r="K1371" s="127" t="s">
        <v>487</v>
      </c>
      <c r="L1371" s="151">
        <v>212114</v>
      </c>
      <c r="M1371" s="128">
        <v>0</v>
      </c>
      <c r="N1371" s="127" t="s">
        <v>492</v>
      </c>
      <c r="O1371" s="127" t="s">
        <v>457</v>
      </c>
      <c r="P1371" s="128">
        <v>0</v>
      </c>
      <c r="Q1371" s="128">
        <v>487.64</v>
      </c>
      <c r="R1371" s="128">
        <v>0</v>
      </c>
      <c r="S1371" s="128">
        <v>0</v>
      </c>
      <c r="T1371" s="128">
        <v>0</v>
      </c>
      <c r="U1371" s="128">
        <v>487.64</v>
      </c>
      <c r="V1371" s="128">
        <v>0</v>
      </c>
      <c r="W1371" s="128">
        <v>487.64</v>
      </c>
      <c r="X1371" s="128">
        <v>0</v>
      </c>
      <c r="Y1371" s="128">
        <v>0</v>
      </c>
      <c r="Z1371" s="128">
        <v>0</v>
      </c>
      <c r="AA1371" s="128">
        <v>487.64</v>
      </c>
      <c r="AB1371" s="126">
        <f t="shared" si="146"/>
        <v>-4.8763999999999996E-5</v>
      </c>
      <c r="AC1371" s="122" t="s">
        <v>1838</v>
      </c>
      <c r="AD1371" s="123">
        <f t="shared" si="147"/>
        <v>1983.9723217250009</v>
      </c>
    </row>
    <row r="1372" spans="1:30" ht="12.75" hidden="1" customHeight="1">
      <c r="A1372" s="125" t="str">
        <f t="shared" si="143"/>
        <v>LIC72Redemption Payable Ct</v>
      </c>
      <c r="B1372" s="125">
        <f>+IFERROR(VLOOKUP(L1372,'TB mapping'!A:D,4,0),0)</f>
        <v>0</v>
      </c>
      <c r="C1372" s="125">
        <f>+IFERROR(VLOOKUP(L1372,'TB mapping'!A:C,3,0),0)</f>
        <v>0</v>
      </c>
      <c r="D1372" s="125" t="str">
        <f t="shared" si="144"/>
        <v>LIC720</v>
      </c>
      <c r="E1372" s="125" t="str">
        <f t="shared" si="145"/>
        <v>LIC720</v>
      </c>
      <c r="F1372" s="158" t="str">
        <f>+VLOOKUP(H1372,'code mapping'!A:C,3,0)</f>
        <v>LIC72</v>
      </c>
      <c r="G1372" s="127" t="s">
        <v>453</v>
      </c>
      <c r="H1372" s="127" t="s">
        <v>641</v>
      </c>
      <c r="I1372" s="127" t="s">
        <v>642</v>
      </c>
      <c r="J1372" s="128">
        <v>212000</v>
      </c>
      <c r="K1372" s="127" t="s">
        <v>487</v>
      </c>
      <c r="L1372" s="151">
        <v>212121</v>
      </c>
      <c r="M1372" s="128">
        <v>0</v>
      </c>
      <c r="N1372" s="127" t="s">
        <v>493</v>
      </c>
      <c r="O1372" s="127" t="s">
        <v>457</v>
      </c>
      <c r="P1372" s="128">
        <v>0</v>
      </c>
      <c r="Q1372" s="128">
        <v>372867.08</v>
      </c>
      <c r="R1372" s="128">
        <v>0</v>
      </c>
      <c r="S1372" s="128">
        <v>0</v>
      </c>
      <c r="T1372" s="128">
        <v>0</v>
      </c>
      <c r="U1372" s="128">
        <v>372867.08</v>
      </c>
      <c r="V1372" s="128">
        <v>0</v>
      </c>
      <c r="W1372" s="128">
        <v>372867.08</v>
      </c>
      <c r="X1372" s="128">
        <v>0</v>
      </c>
      <c r="Y1372" s="128">
        <v>0</v>
      </c>
      <c r="Z1372" s="128">
        <v>0</v>
      </c>
      <c r="AA1372" s="128">
        <v>372867.08</v>
      </c>
      <c r="AB1372" s="126">
        <f t="shared" si="146"/>
        <v>-3.7286708000000002E-2</v>
      </c>
      <c r="AC1372" s="122" t="s">
        <v>1838</v>
      </c>
      <c r="AD1372" s="123">
        <f t="shared" si="147"/>
        <v>1983.9723217250009</v>
      </c>
    </row>
    <row r="1373" spans="1:30" ht="12.75" hidden="1" customHeight="1">
      <c r="A1373" s="125" t="str">
        <f t="shared" si="143"/>
        <v>LIC72Switch Out Payable Ct</v>
      </c>
      <c r="B1373" s="125">
        <f>+IFERROR(VLOOKUP(L1373,'TB mapping'!A:D,4,0),0)</f>
        <v>0</v>
      </c>
      <c r="C1373" s="125">
        <f>+IFERROR(VLOOKUP(L1373,'TB mapping'!A:C,3,0),0)</f>
        <v>0</v>
      </c>
      <c r="D1373" s="125" t="str">
        <f t="shared" si="144"/>
        <v>LIC720</v>
      </c>
      <c r="E1373" s="125" t="str">
        <f t="shared" si="145"/>
        <v>LIC720</v>
      </c>
      <c r="F1373" s="158" t="str">
        <f>+VLOOKUP(H1373,'code mapping'!A:C,3,0)</f>
        <v>LIC72</v>
      </c>
      <c r="G1373" s="127" t="s">
        <v>453</v>
      </c>
      <c r="H1373" s="127" t="s">
        <v>641</v>
      </c>
      <c r="I1373" s="127" t="s">
        <v>642</v>
      </c>
      <c r="J1373" s="128">
        <v>212000</v>
      </c>
      <c r="K1373" s="127" t="s">
        <v>487</v>
      </c>
      <c r="L1373" s="151">
        <v>212124</v>
      </c>
      <c r="M1373" s="128">
        <v>0</v>
      </c>
      <c r="N1373" s="127" t="s">
        <v>494</v>
      </c>
      <c r="O1373" s="127" t="s">
        <v>457</v>
      </c>
      <c r="P1373" s="128">
        <v>0</v>
      </c>
      <c r="Q1373" s="128">
        <v>6402023.3600000003</v>
      </c>
      <c r="R1373" s="128">
        <v>0</v>
      </c>
      <c r="S1373" s="128">
        <v>0</v>
      </c>
      <c r="T1373" s="128">
        <v>0</v>
      </c>
      <c r="U1373" s="128">
        <v>6402023.3600000003</v>
      </c>
      <c r="V1373" s="128">
        <v>0</v>
      </c>
      <c r="W1373" s="128">
        <v>6402023.3600000003</v>
      </c>
      <c r="X1373" s="128">
        <v>0</v>
      </c>
      <c r="Y1373" s="128">
        <v>0</v>
      </c>
      <c r="Z1373" s="128">
        <v>0</v>
      </c>
      <c r="AA1373" s="128">
        <v>6402023.3600000003</v>
      </c>
      <c r="AB1373" s="126">
        <f t="shared" si="146"/>
        <v>-0.64020233599999998</v>
      </c>
      <c r="AC1373" s="122" t="s">
        <v>1838</v>
      </c>
      <c r="AD1373" s="123">
        <f t="shared" si="147"/>
        <v>1983.9723217250009</v>
      </c>
    </row>
    <row r="1374" spans="1:30" ht="12.75" hidden="1" customHeight="1">
      <c r="A1374" s="125" t="str">
        <f t="shared" si="143"/>
        <v>LIC72Due to Broker - Bonds</v>
      </c>
      <c r="B1374" s="125">
        <f>+IFERROR(VLOOKUP(L1374,'TB mapping'!A:D,4,0),0)</f>
        <v>0</v>
      </c>
      <c r="C1374" s="125">
        <f>+IFERROR(VLOOKUP(L1374,'TB mapping'!A:C,3,0),0)</f>
        <v>0</v>
      </c>
      <c r="D1374" s="125" t="str">
        <f t="shared" si="144"/>
        <v>LIC720</v>
      </c>
      <c r="E1374" s="125" t="str">
        <f t="shared" si="145"/>
        <v>LIC720</v>
      </c>
      <c r="F1374" s="158" t="str">
        <f>+VLOOKUP(H1374,'code mapping'!A:C,3,0)</f>
        <v>LIC72</v>
      </c>
      <c r="G1374" s="127" t="s">
        <v>453</v>
      </c>
      <c r="H1374" s="127" t="s">
        <v>641</v>
      </c>
      <c r="I1374" s="127" t="s">
        <v>642</v>
      </c>
      <c r="J1374" s="128">
        <v>212000</v>
      </c>
      <c r="K1374" s="127" t="s">
        <v>487</v>
      </c>
      <c r="L1374" s="151">
        <v>212160</v>
      </c>
      <c r="M1374" s="128">
        <v>0</v>
      </c>
      <c r="N1374" s="127" t="s">
        <v>495</v>
      </c>
      <c r="O1374" s="127" t="s">
        <v>457</v>
      </c>
      <c r="P1374" s="128">
        <v>0</v>
      </c>
      <c r="Q1374" s="128">
        <v>150779374.99000001</v>
      </c>
      <c r="R1374" s="128">
        <v>0</v>
      </c>
      <c r="S1374" s="128">
        <v>0</v>
      </c>
      <c r="T1374" s="128">
        <v>0</v>
      </c>
      <c r="U1374" s="128">
        <v>150779374.99000001</v>
      </c>
      <c r="V1374" s="128">
        <v>0</v>
      </c>
      <c r="W1374" s="128">
        <v>150779374.99000001</v>
      </c>
      <c r="X1374" s="128">
        <v>0</v>
      </c>
      <c r="Y1374" s="128">
        <v>0</v>
      </c>
      <c r="Z1374" s="128">
        <v>0</v>
      </c>
      <c r="AA1374" s="128">
        <v>150779374.99000001</v>
      </c>
      <c r="AB1374" s="126">
        <f t="shared" si="146"/>
        <v>-15.077937499000001</v>
      </c>
      <c r="AC1374" s="122" t="s">
        <v>1838</v>
      </c>
      <c r="AD1374" s="123">
        <f t="shared" ref="AD1374:AD1401" si="148">SUMIF(C:C,C1374,AB:AB)</f>
        <v>1983.9723217250009</v>
      </c>
    </row>
    <row r="1375" spans="1:30" ht="12.75" hidden="1" customHeight="1">
      <c r="A1375" s="125" t="str">
        <f t="shared" si="143"/>
        <v>LIC72Audit Fee-Payable</v>
      </c>
      <c r="B1375" s="125">
        <f>+IFERROR(VLOOKUP(L1375,'TB mapping'!A:D,4,0),0)</f>
        <v>0</v>
      </c>
      <c r="C1375" s="125">
        <f>+IFERROR(VLOOKUP(L1375,'TB mapping'!A:C,3,0),0)</f>
        <v>0</v>
      </c>
      <c r="D1375" s="125" t="str">
        <f t="shared" si="144"/>
        <v>LIC720</v>
      </c>
      <c r="E1375" s="125" t="str">
        <f t="shared" si="145"/>
        <v>LIC720</v>
      </c>
      <c r="F1375" s="158" t="str">
        <f>+VLOOKUP(H1375,'code mapping'!A:C,3,0)</f>
        <v>LIC72</v>
      </c>
      <c r="G1375" s="127" t="s">
        <v>453</v>
      </c>
      <c r="H1375" s="127" t="s">
        <v>641</v>
      </c>
      <c r="I1375" s="127" t="s">
        <v>642</v>
      </c>
      <c r="J1375" s="128">
        <v>212000</v>
      </c>
      <c r="K1375" s="127" t="s">
        <v>487</v>
      </c>
      <c r="L1375" s="151">
        <v>212194</v>
      </c>
      <c r="M1375" s="128">
        <v>0</v>
      </c>
      <c r="N1375" s="127" t="s">
        <v>496</v>
      </c>
      <c r="O1375" s="127" t="s">
        <v>457</v>
      </c>
      <c r="P1375" s="128">
        <v>-573.06000000000006</v>
      </c>
      <c r="Q1375" s="128">
        <v>0</v>
      </c>
      <c r="R1375" s="128">
        <v>0</v>
      </c>
      <c r="S1375" s="128">
        <v>0</v>
      </c>
      <c r="T1375" s="128">
        <v>-573.06000000000006</v>
      </c>
      <c r="U1375" s="128">
        <v>0</v>
      </c>
      <c r="V1375" s="128">
        <v>-573.06000000000006</v>
      </c>
      <c r="W1375" s="128">
        <v>0</v>
      </c>
      <c r="X1375" s="128">
        <v>0</v>
      </c>
      <c r="Y1375" s="128">
        <v>0</v>
      </c>
      <c r="Z1375" s="128">
        <v>-573.06000000000006</v>
      </c>
      <c r="AA1375" s="128">
        <v>0</v>
      </c>
      <c r="AB1375" s="126">
        <f t="shared" si="146"/>
        <v>5.7306000000000003E-5</v>
      </c>
      <c r="AC1375" s="122" t="s">
        <v>1838</v>
      </c>
      <c r="AD1375" s="123">
        <f t="shared" si="148"/>
        <v>1983.9723217250009</v>
      </c>
    </row>
    <row r="1376" spans="1:30" ht="12.75" hidden="1" customHeight="1">
      <c r="A1376" s="125" t="str">
        <f t="shared" si="143"/>
        <v>LIC72Other Exp- Payable</v>
      </c>
      <c r="B1376" s="125">
        <f>+IFERROR(VLOOKUP(L1376,'TB mapping'!A:D,4,0),0)</f>
        <v>0</v>
      </c>
      <c r="C1376" s="125">
        <f>+IFERROR(VLOOKUP(L1376,'TB mapping'!A:C,3,0),0)</f>
        <v>0</v>
      </c>
      <c r="D1376" s="125" t="str">
        <f t="shared" si="144"/>
        <v>LIC720</v>
      </c>
      <c r="E1376" s="125" t="str">
        <f t="shared" si="145"/>
        <v>LIC720</v>
      </c>
      <c r="F1376" s="158" t="str">
        <f>+VLOOKUP(H1376,'code mapping'!A:C,3,0)</f>
        <v>LIC72</v>
      </c>
      <c r="G1376" s="127" t="s">
        <v>453</v>
      </c>
      <c r="H1376" s="127" t="s">
        <v>641</v>
      </c>
      <c r="I1376" s="127" t="s">
        <v>642</v>
      </c>
      <c r="J1376" s="128">
        <v>212000</v>
      </c>
      <c r="K1376" s="127" t="s">
        <v>487</v>
      </c>
      <c r="L1376" s="151">
        <v>212220</v>
      </c>
      <c r="M1376" s="128">
        <v>0</v>
      </c>
      <c r="N1376" s="127" t="s">
        <v>497</v>
      </c>
      <c r="O1376" s="127" t="s">
        <v>457</v>
      </c>
      <c r="P1376" s="128">
        <v>0</v>
      </c>
      <c r="Q1376" s="128">
        <v>2292728.09</v>
      </c>
      <c r="R1376" s="128">
        <v>0</v>
      </c>
      <c r="S1376" s="128">
        <v>0</v>
      </c>
      <c r="T1376" s="128">
        <v>0</v>
      </c>
      <c r="U1376" s="128">
        <v>2292728.09</v>
      </c>
      <c r="V1376" s="128">
        <v>0</v>
      </c>
      <c r="W1376" s="128">
        <v>2292728.09</v>
      </c>
      <c r="X1376" s="128">
        <v>0</v>
      </c>
      <c r="Y1376" s="128">
        <v>0</v>
      </c>
      <c r="Z1376" s="128">
        <v>0</v>
      </c>
      <c r="AA1376" s="128">
        <v>2292728.09</v>
      </c>
      <c r="AB1376" s="126">
        <f t="shared" si="146"/>
        <v>-0.22927280899999999</v>
      </c>
      <c r="AC1376" s="122" t="s">
        <v>1838</v>
      </c>
      <c r="AD1376" s="123">
        <f t="shared" si="148"/>
        <v>1983.9723217250009</v>
      </c>
    </row>
    <row r="1377" spans="1:30" ht="12.75" hidden="1" customHeight="1">
      <c r="A1377" s="125" t="str">
        <f t="shared" si="143"/>
        <v>LIC72Expense Allocation-Liab'ity Ac</v>
      </c>
      <c r="B1377" s="125">
        <f>+IFERROR(VLOOKUP(L1377,'TB mapping'!A:D,4,0),0)</f>
        <v>0</v>
      </c>
      <c r="C1377" s="125">
        <f>+IFERROR(VLOOKUP(L1377,'TB mapping'!A:C,3,0),0)</f>
        <v>0</v>
      </c>
      <c r="D1377" s="125" t="str">
        <f t="shared" si="144"/>
        <v>LIC720</v>
      </c>
      <c r="E1377" s="125" t="str">
        <f t="shared" si="145"/>
        <v>LIC720</v>
      </c>
      <c r="F1377" s="158" t="str">
        <f>+VLOOKUP(H1377,'code mapping'!A:C,3,0)</f>
        <v>LIC72</v>
      </c>
      <c r="G1377" s="127" t="s">
        <v>453</v>
      </c>
      <c r="H1377" s="127" t="s">
        <v>641</v>
      </c>
      <c r="I1377" s="127" t="s">
        <v>642</v>
      </c>
      <c r="J1377" s="128">
        <v>212000</v>
      </c>
      <c r="K1377" s="127" t="s">
        <v>487</v>
      </c>
      <c r="L1377" s="151">
        <v>212223</v>
      </c>
      <c r="M1377" s="128">
        <v>0</v>
      </c>
      <c r="N1377" s="127" t="s">
        <v>498</v>
      </c>
      <c r="O1377" s="127" t="s">
        <v>457</v>
      </c>
      <c r="P1377" s="128">
        <v>-1499193.03</v>
      </c>
      <c r="Q1377" s="128">
        <v>0</v>
      </c>
      <c r="R1377" s="128">
        <v>0</v>
      </c>
      <c r="S1377" s="128">
        <v>0</v>
      </c>
      <c r="T1377" s="128">
        <v>-1499193.03</v>
      </c>
      <c r="U1377" s="128">
        <v>0</v>
      </c>
      <c r="V1377" s="128">
        <v>-1499193.03</v>
      </c>
      <c r="W1377" s="128">
        <v>0</v>
      </c>
      <c r="X1377" s="128">
        <v>0</v>
      </c>
      <c r="Y1377" s="128">
        <v>0</v>
      </c>
      <c r="Z1377" s="128">
        <v>-1499193.03</v>
      </c>
      <c r="AA1377" s="128">
        <v>0</v>
      </c>
      <c r="AB1377" s="126">
        <f t="shared" si="146"/>
        <v>0.149919303</v>
      </c>
      <c r="AC1377" s="122" t="s">
        <v>1838</v>
      </c>
      <c r="AD1377" s="123">
        <f t="shared" si="148"/>
        <v>1983.9723217250009</v>
      </c>
    </row>
    <row r="1378" spans="1:30" ht="12.75" hidden="1" customHeight="1">
      <c r="A1378" s="125" t="str">
        <f t="shared" si="143"/>
        <v>LIC72Exp- Additional TER Payable</v>
      </c>
      <c r="B1378" s="125">
        <f>+IFERROR(VLOOKUP(L1378,'TB mapping'!A:D,4,0),0)</f>
        <v>0</v>
      </c>
      <c r="C1378" s="125">
        <f>+IFERROR(VLOOKUP(L1378,'TB mapping'!A:C,3,0),0)</f>
        <v>0</v>
      </c>
      <c r="D1378" s="125" t="str">
        <f t="shared" si="144"/>
        <v>LIC720</v>
      </c>
      <c r="E1378" s="125" t="str">
        <f t="shared" si="145"/>
        <v>LIC720</v>
      </c>
      <c r="F1378" s="158" t="str">
        <f>+VLOOKUP(H1378,'code mapping'!A:C,3,0)</f>
        <v>LIC72</v>
      </c>
      <c r="G1378" s="127" t="s">
        <v>453</v>
      </c>
      <c r="H1378" s="127" t="s">
        <v>641</v>
      </c>
      <c r="I1378" s="127" t="s">
        <v>642</v>
      </c>
      <c r="J1378" s="128">
        <v>212000</v>
      </c>
      <c r="K1378" s="127" t="s">
        <v>487</v>
      </c>
      <c r="L1378" s="151">
        <v>212227</v>
      </c>
      <c r="M1378" s="128">
        <v>0</v>
      </c>
      <c r="N1378" s="127" t="s">
        <v>627</v>
      </c>
      <c r="O1378" s="127" t="s">
        <v>457</v>
      </c>
      <c r="P1378" s="128">
        <v>-0.02</v>
      </c>
      <c r="Q1378" s="128">
        <v>0</v>
      </c>
      <c r="R1378" s="128">
        <v>0</v>
      </c>
      <c r="S1378" s="128">
        <v>0</v>
      </c>
      <c r="T1378" s="128">
        <v>-0.02</v>
      </c>
      <c r="U1378" s="128">
        <v>0</v>
      </c>
      <c r="V1378" s="128">
        <v>-0.02</v>
      </c>
      <c r="W1378" s="128">
        <v>0</v>
      </c>
      <c r="X1378" s="128">
        <v>0</v>
      </c>
      <c r="Y1378" s="128">
        <v>0</v>
      </c>
      <c r="Z1378" s="128">
        <v>-0.02</v>
      </c>
      <c r="AA1378" s="128">
        <v>0</v>
      </c>
      <c r="AB1378" s="126">
        <f t="shared" si="146"/>
        <v>2.0000000000000001E-9</v>
      </c>
      <c r="AC1378" s="122" t="s">
        <v>1838</v>
      </c>
      <c r="AD1378" s="123">
        <f t="shared" si="148"/>
        <v>1983.9723217250009</v>
      </c>
    </row>
    <row r="1379" spans="1:30" ht="12.75" hidden="1" customHeight="1">
      <c r="A1379" s="125" t="str">
        <f t="shared" si="143"/>
        <v>LIC72NRI TDS Payable</v>
      </c>
      <c r="B1379" s="125">
        <f>+IFERROR(VLOOKUP(L1379,'TB mapping'!A:D,4,0),0)</f>
        <v>0</v>
      </c>
      <c r="C1379" s="125">
        <f>+IFERROR(VLOOKUP(L1379,'TB mapping'!A:C,3,0),0)</f>
        <v>0</v>
      </c>
      <c r="D1379" s="125" t="str">
        <f t="shared" si="144"/>
        <v>LIC720</v>
      </c>
      <c r="E1379" s="125" t="str">
        <f t="shared" si="145"/>
        <v>LIC720</v>
      </c>
      <c r="F1379" s="158" t="str">
        <f>+VLOOKUP(H1379,'code mapping'!A:C,3,0)</f>
        <v>LIC72</v>
      </c>
      <c r="G1379" s="127" t="s">
        <v>453</v>
      </c>
      <c r="H1379" s="127" t="s">
        <v>641</v>
      </c>
      <c r="I1379" s="127" t="s">
        <v>642</v>
      </c>
      <c r="J1379" s="128">
        <v>212000</v>
      </c>
      <c r="K1379" s="127" t="s">
        <v>487</v>
      </c>
      <c r="L1379" s="151">
        <v>212233</v>
      </c>
      <c r="M1379" s="128">
        <v>0</v>
      </c>
      <c r="N1379" s="127" t="s">
        <v>499</v>
      </c>
      <c r="O1379" s="127" t="s">
        <v>457</v>
      </c>
      <c r="P1379" s="128">
        <v>0</v>
      </c>
      <c r="Q1379" s="128">
        <v>3694</v>
      </c>
      <c r="R1379" s="128">
        <v>0</v>
      </c>
      <c r="S1379" s="128">
        <v>0</v>
      </c>
      <c r="T1379" s="128">
        <v>0</v>
      </c>
      <c r="U1379" s="128">
        <v>3694</v>
      </c>
      <c r="V1379" s="128">
        <v>0</v>
      </c>
      <c r="W1379" s="128">
        <v>3694</v>
      </c>
      <c r="X1379" s="128">
        <v>0</v>
      </c>
      <c r="Y1379" s="128">
        <v>0</v>
      </c>
      <c r="Z1379" s="128">
        <v>0</v>
      </c>
      <c r="AA1379" s="128">
        <v>3694</v>
      </c>
      <c r="AB1379" s="126">
        <f t="shared" si="146"/>
        <v>-3.6939999999999998E-4</v>
      </c>
      <c r="AC1379" s="122" t="s">
        <v>1838</v>
      </c>
      <c r="AD1379" s="123">
        <f t="shared" si="148"/>
        <v>1983.9723217250009</v>
      </c>
    </row>
    <row r="1380" spans="1:30" ht="12.75" hidden="1" customHeight="1">
      <c r="A1380" s="125" t="str">
        <f t="shared" si="143"/>
        <v>LIC72Investor Education Payable</v>
      </c>
      <c r="B1380" s="125">
        <f>+IFERROR(VLOOKUP(L1380,'TB mapping'!A:D,4,0),0)</f>
        <v>0</v>
      </c>
      <c r="C1380" s="125">
        <f>+IFERROR(VLOOKUP(L1380,'TB mapping'!A:C,3,0),0)</f>
        <v>0</v>
      </c>
      <c r="D1380" s="125" t="str">
        <f t="shared" si="144"/>
        <v>LIC720</v>
      </c>
      <c r="E1380" s="125" t="str">
        <f t="shared" si="145"/>
        <v>LIC720</v>
      </c>
      <c r="F1380" s="158" t="str">
        <f>+VLOOKUP(H1380,'code mapping'!A:C,3,0)</f>
        <v>LIC72</v>
      </c>
      <c r="G1380" s="127" t="s">
        <v>453</v>
      </c>
      <c r="H1380" s="127" t="s">
        <v>641</v>
      </c>
      <c r="I1380" s="127" t="s">
        <v>642</v>
      </c>
      <c r="J1380" s="128">
        <v>212000</v>
      </c>
      <c r="K1380" s="127" t="s">
        <v>487</v>
      </c>
      <c r="L1380" s="151">
        <v>212240</v>
      </c>
      <c r="M1380" s="128">
        <v>0</v>
      </c>
      <c r="N1380" s="127" t="s">
        <v>500</v>
      </c>
      <c r="O1380" s="127" t="s">
        <v>457</v>
      </c>
      <c r="P1380" s="128">
        <v>0</v>
      </c>
      <c r="Q1380" s="128">
        <v>18470.650000000001</v>
      </c>
      <c r="R1380" s="128">
        <v>0</v>
      </c>
      <c r="S1380" s="128">
        <v>0</v>
      </c>
      <c r="T1380" s="128">
        <v>0</v>
      </c>
      <c r="U1380" s="128">
        <v>18470.650000000001</v>
      </c>
      <c r="V1380" s="128">
        <v>0</v>
      </c>
      <c r="W1380" s="128">
        <v>18470.650000000001</v>
      </c>
      <c r="X1380" s="128">
        <v>0</v>
      </c>
      <c r="Y1380" s="128">
        <v>0</v>
      </c>
      <c r="Z1380" s="128">
        <v>0</v>
      </c>
      <c r="AA1380" s="128">
        <v>18470.650000000001</v>
      </c>
      <c r="AB1380" s="126">
        <f t="shared" si="146"/>
        <v>-1.8470650000000002E-3</v>
      </c>
      <c r="AC1380" s="122" t="s">
        <v>1838</v>
      </c>
      <c r="AD1380" s="123">
        <f t="shared" si="148"/>
        <v>1983.9723217250009</v>
      </c>
    </row>
    <row r="1381" spans="1:30" ht="12.75" hidden="1" customHeight="1">
      <c r="A1381" s="125" t="str">
        <f t="shared" si="143"/>
        <v>LIC72Payable - Dividend Dist Tax</v>
      </c>
      <c r="B1381" s="125">
        <f>+IFERROR(VLOOKUP(L1381,'TB mapping'!A:D,4,0),0)</f>
        <v>0</v>
      </c>
      <c r="C1381" s="125">
        <f>+IFERROR(VLOOKUP(L1381,'TB mapping'!A:C,3,0),0)</f>
        <v>0</v>
      </c>
      <c r="D1381" s="125" t="str">
        <f t="shared" si="144"/>
        <v>LIC720</v>
      </c>
      <c r="E1381" s="125" t="str">
        <f t="shared" si="145"/>
        <v>LIC720</v>
      </c>
      <c r="F1381" s="158" t="str">
        <f>+VLOOKUP(H1381,'code mapping'!A:C,3,0)</f>
        <v>LIC72</v>
      </c>
      <c r="G1381" s="127" t="s">
        <v>453</v>
      </c>
      <c r="H1381" s="127" t="s">
        <v>641</v>
      </c>
      <c r="I1381" s="127" t="s">
        <v>642</v>
      </c>
      <c r="J1381" s="128">
        <v>212000</v>
      </c>
      <c r="K1381" s="127" t="s">
        <v>487</v>
      </c>
      <c r="L1381" s="151">
        <v>212242</v>
      </c>
      <c r="M1381" s="128">
        <v>0</v>
      </c>
      <c r="N1381" s="127" t="s">
        <v>650</v>
      </c>
      <c r="O1381" s="127" t="s">
        <v>457</v>
      </c>
      <c r="P1381" s="128">
        <v>0</v>
      </c>
      <c r="Q1381" s="128">
        <v>36357.61</v>
      </c>
      <c r="R1381" s="128">
        <v>0</v>
      </c>
      <c r="S1381" s="128">
        <v>0</v>
      </c>
      <c r="T1381" s="128">
        <v>0</v>
      </c>
      <c r="U1381" s="128">
        <v>36357.61</v>
      </c>
      <c r="V1381" s="128">
        <v>0</v>
      </c>
      <c r="W1381" s="128">
        <v>36357.61</v>
      </c>
      <c r="X1381" s="128">
        <v>0</v>
      </c>
      <c r="Y1381" s="128">
        <v>0</v>
      </c>
      <c r="Z1381" s="128">
        <v>0</v>
      </c>
      <c r="AA1381" s="128">
        <v>36357.61</v>
      </c>
      <c r="AB1381" s="126">
        <f t="shared" si="146"/>
        <v>-3.6357609999999999E-3</v>
      </c>
      <c r="AC1381" s="122" t="s">
        <v>1838</v>
      </c>
      <c r="AD1381" s="123">
        <f t="shared" si="148"/>
        <v>1983.9723217250009</v>
      </c>
    </row>
    <row r="1382" spans="1:30" ht="12.75" hidden="1" customHeight="1">
      <c r="A1382" s="125" t="str">
        <f t="shared" si="143"/>
        <v>LIC72Transaction Charges Payable</v>
      </c>
      <c r="B1382" s="125">
        <f>+IFERROR(VLOOKUP(L1382,'TB mapping'!A:D,4,0),0)</f>
        <v>0</v>
      </c>
      <c r="C1382" s="125">
        <f>+IFERROR(VLOOKUP(L1382,'TB mapping'!A:C,3,0),0)</f>
        <v>0</v>
      </c>
      <c r="D1382" s="125" t="str">
        <f t="shared" si="144"/>
        <v>LIC720</v>
      </c>
      <c r="E1382" s="125" t="str">
        <f t="shared" si="145"/>
        <v>LIC720</v>
      </c>
      <c r="F1382" s="158" t="str">
        <f>+VLOOKUP(H1382,'code mapping'!A:C,3,0)</f>
        <v>LIC72</v>
      </c>
      <c r="G1382" s="127" t="s">
        <v>453</v>
      </c>
      <c r="H1382" s="127" t="s">
        <v>641</v>
      </c>
      <c r="I1382" s="127" t="s">
        <v>642</v>
      </c>
      <c r="J1382" s="128">
        <v>212000</v>
      </c>
      <c r="K1382" s="127" t="s">
        <v>487</v>
      </c>
      <c r="L1382" s="151">
        <v>212247</v>
      </c>
      <c r="M1382" s="128">
        <v>0</v>
      </c>
      <c r="N1382" s="127" t="s">
        <v>501</v>
      </c>
      <c r="O1382" s="127" t="s">
        <v>457</v>
      </c>
      <c r="P1382" s="128">
        <v>0</v>
      </c>
      <c r="Q1382" s="128">
        <v>7750</v>
      </c>
      <c r="R1382" s="128">
        <v>0</v>
      </c>
      <c r="S1382" s="128">
        <v>0</v>
      </c>
      <c r="T1382" s="128">
        <v>0</v>
      </c>
      <c r="U1382" s="128">
        <v>7750</v>
      </c>
      <c r="V1382" s="128">
        <v>0</v>
      </c>
      <c r="W1382" s="128">
        <v>7750</v>
      </c>
      <c r="X1382" s="128">
        <v>0</v>
      </c>
      <c r="Y1382" s="128">
        <v>0</v>
      </c>
      <c r="Z1382" s="128">
        <v>0</v>
      </c>
      <c r="AA1382" s="128">
        <v>7750</v>
      </c>
      <c r="AB1382" s="126">
        <f t="shared" si="146"/>
        <v>-7.7499999999999997E-4</v>
      </c>
      <c r="AC1382" s="122" t="s">
        <v>1838</v>
      </c>
      <c r="AD1382" s="123">
        <f t="shared" si="148"/>
        <v>1983.9723217250009</v>
      </c>
    </row>
    <row r="1383" spans="1:30" ht="12.75" hidden="1" customHeight="1">
      <c r="A1383" s="125" t="str">
        <f t="shared" si="143"/>
        <v>LIC72Brokerage &amp; Dist Exp Payable</v>
      </c>
      <c r="B1383" s="125">
        <f>+IFERROR(VLOOKUP(L1383,'TB mapping'!A:D,4,0),0)</f>
        <v>0</v>
      </c>
      <c r="C1383" s="125">
        <f>+IFERROR(VLOOKUP(L1383,'TB mapping'!A:C,3,0),0)</f>
        <v>0</v>
      </c>
      <c r="D1383" s="125" t="str">
        <f t="shared" si="144"/>
        <v>LIC720</v>
      </c>
      <c r="E1383" s="125" t="str">
        <f t="shared" si="145"/>
        <v>LIC720</v>
      </c>
      <c r="F1383" s="158" t="str">
        <f>+VLOOKUP(H1383,'code mapping'!A:C,3,0)</f>
        <v>LIC72</v>
      </c>
      <c r="G1383" s="127" t="s">
        <v>453</v>
      </c>
      <c r="H1383" s="127" t="s">
        <v>641</v>
      </c>
      <c r="I1383" s="127" t="s">
        <v>642</v>
      </c>
      <c r="J1383" s="128">
        <v>212000</v>
      </c>
      <c r="K1383" s="127" t="s">
        <v>487</v>
      </c>
      <c r="L1383" s="151">
        <v>212255</v>
      </c>
      <c r="M1383" s="128">
        <v>0</v>
      </c>
      <c r="N1383" s="127" t="s">
        <v>503</v>
      </c>
      <c r="O1383" s="127" t="s">
        <v>457</v>
      </c>
      <c r="P1383" s="128">
        <v>0</v>
      </c>
      <c r="Q1383" s="128">
        <v>2062350.14</v>
      </c>
      <c r="R1383" s="128">
        <v>0</v>
      </c>
      <c r="S1383" s="128">
        <v>0</v>
      </c>
      <c r="T1383" s="128">
        <v>0</v>
      </c>
      <c r="U1383" s="128">
        <v>2062350.14</v>
      </c>
      <c r="V1383" s="128">
        <v>0</v>
      </c>
      <c r="W1383" s="128">
        <v>2062350.14</v>
      </c>
      <c r="X1383" s="128">
        <v>0</v>
      </c>
      <c r="Y1383" s="128">
        <v>0</v>
      </c>
      <c r="Z1383" s="128">
        <v>0</v>
      </c>
      <c r="AA1383" s="128">
        <v>2062350.14</v>
      </c>
      <c r="AB1383" s="126">
        <f t="shared" si="146"/>
        <v>-0.20623501399999999</v>
      </c>
      <c r="AC1383" s="122" t="s">
        <v>1838</v>
      </c>
      <c r="AD1383" s="123">
        <f t="shared" si="148"/>
        <v>1983.9723217250009</v>
      </c>
    </row>
    <row r="1384" spans="1:30" ht="12.75" hidden="1" customHeight="1">
      <c r="A1384" s="125" t="str">
        <f t="shared" si="143"/>
        <v>LIC72Upfront Brk &amp; Trail Paid-Liab</v>
      </c>
      <c r="B1384" s="125">
        <f>+IFERROR(VLOOKUP(L1384,'TB mapping'!A:D,4,0),0)</f>
        <v>0</v>
      </c>
      <c r="C1384" s="125">
        <f>+IFERROR(VLOOKUP(L1384,'TB mapping'!A:C,3,0),0)</f>
        <v>0</v>
      </c>
      <c r="D1384" s="125" t="str">
        <f t="shared" si="144"/>
        <v>LIC720</v>
      </c>
      <c r="E1384" s="125" t="str">
        <f t="shared" si="145"/>
        <v>LIC720</v>
      </c>
      <c r="F1384" s="158" t="str">
        <f>+VLOOKUP(H1384,'code mapping'!A:C,3,0)</f>
        <v>LIC72</v>
      </c>
      <c r="G1384" s="127" t="s">
        <v>453</v>
      </c>
      <c r="H1384" s="127" t="s">
        <v>641</v>
      </c>
      <c r="I1384" s="127" t="s">
        <v>642</v>
      </c>
      <c r="J1384" s="128">
        <v>212000</v>
      </c>
      <c r="K1384" s="127" t="s">
        <v>487</v>
      </c>
      <c r="L1384" s="151">
        <v>212257</v>
      </c>
      <c r="M1384" s="128">
        <v>0</v>
      </c>
      <c r="N1384" s="127" t="s">
        <v>504</v>
      </c>
      <c r="O1384" s="127" t="s">
        <v>457</v>
      </c>
      <c r="P1384" s="128">
        <v>-86.51</v>
      </c>
      <c r="Q1384" s="128">
        <v>0</v>
      </c>
      <c r="R1384" s="128">
        <v>0</v>
      </c>
      <c r="S1384" s="128">
        <v>0</v>
      </c>
      <c r="T1384" s="128">
        <v>-86.51</v>
      </c>
      <c r="U1384" s="128">
        <v>0</v>
      </c>
      <c r="V1384" s="128">
        <v>-86.51</v>
      </c>
      <c r="W1384" s="128">
        <v>0</v>
      </c>
      <c r="X1384" s="128">
        <v>0</v>
      </c>
      <c r="Y1384" s="128">
        <v>0</v>
      </c>
      <c r="Z1384" s="128">
        <v>-86.51</v>
      </c>
      <c r="AA1384" s="128">
        <v>0</v>
      </c>
      <c r="AB1384" s="126">
        <f t="shared" si="146"/>
        <v>8.6510000000000007E-6</v>
      </c>
      <c r="AC1384" s="122" t="s">
        <v>1838</v>
      </c>
      <c r="AD1384" s="123">
        <f t="shared" si="148"/>
        <v>1983.9723217250009</v>
      </c>
    </row>
    <row r="1385" spans="1:30" ht="12.75" hidden="1" customHeight="1">
      <c r="A1385" s="125" t="str">
        <f t="shared" si="143"/>
        <v>LIC72Payable CGST on Mfees</v>
      </c>
      <c r="B1385" s="125">
        <f>+IFERROR(VLOOKUP(L1385,'TB mapping'!A:D,4,0),0)</f>
        <v>0</v>
      </c>
      <c r="C1385" s="125">
        <f>+IFERROR(VLOOKUP(L1385,'TB mapping'!A:C,3,0),0)</f>
        <v>0</v>
      </c>
      <c r="D1385" s="125" t="str">
        <f t="shared" si="144"/>
        <v>LIC720</v>
      </c>
      <c r="E1385" s="125" t="str">
        <f t="shared" si="145"/>
        <v>LIC720</v>
      </c>
      <c r="F1385" s="158" t="str">
        <f>+VLOOKUP(H1385,'code mapping'!A:C,3,0)</f>
        <v>LIC72</v>
      </c>
      <c r="G1385" s="127" t="s">
        <v>453</v>
      </c>
      <c r="H1385" s="127" t="s">
        <v>641</v>
      </c>
      <c r="I1385" s="127" t="s">
        <v>642</v>
      </c>
      <c r="J1385" s="128">
        <v>212000</v>
      </c>
      <c r="K1385" s="127" t="s">
        <v>487</v>
      </c>
      <c r="L1385" s="151">
        <v>212271</v>
      </c>
      <c r="M1385" s="128">
        <v>0</v>
      </c>
      <c r="N1385" s="127" t="s">
        <v>505</v>
      </c>
      <c r="O1385" s="127" t="s">
        <v>457</v>
      </c>
      <c r="P1385" s="128">
        <v>0</v>
      </c>
      <c r="Q1385" s="128">
        <v>9375.58</v>
      </c>
      <c r="R1385" s="128">
        <v>0</v>
      </c>
      <c r="S1385" s="128">
        <v>0</v>
      </c>
      <c r="T1385" s="128">
        <v>0</v>
      </c>
      <c r="U1385" s="128">
        <v>9375.58</v>
      </c>
      <c r="V1385" s="128">
        <v>0</v>
      </c>
      <c r="W1385" s="128">
        <v>9375.58</v>
      </c>
      <c r="X1385" s="128">
        <v>0</v>
      </c>
      <c r="Y1385" s="128">
        <v>0</v>
      </c>
      <c r="Z1385" s="128">
        <v>0</v>
      </c>
      <c r="AA1385" s="128">
        <v>9375.58</v>
      </c>
      <c r="AB1385" s="126">
        <f t="shared" si="146"/>
        <v>-9.3755800000000001E-4</v>
      </c>
      <c r="AC1385" s="122" t="s">
        <v>1838</v>
      </c>
      <c r="AD1385" s="123">
        <f t="shared" si="148"/>
        <v>1983.9723217250009</v>
      </c>
    </row>
    <row r="1386" spans="1:30" ht="12.75" hidden="1" customHeight="1">
      <c r="A1386" s="125" t="str">
        <f t="shared" si="143"/>
        <v>LIC72Payable SGST on Mfees</v>
      </c>
      <c r="B1386" s="125">
        <f>+IFERROR(VLOOKUP(L1386,'TB mapping'!A:D,4,0),0)</f>
        <v>0</v>
      </c>
      <c r="C1386" s="125">
        <f>+IFERROR(VLOOKUP(L1386,'TB mapping'!A:C,3,0),0)</f>
        <v>0</v>
      </c>
      <c r="D1386" s="125" t="str">
        <f t="shared" si="144"/>
        <v>LIC720</v>
      </c>
      <c r="E1386" s="125" t="str">
        <f t="shared" si="145"/>
        <v>LIC720</v>
      </c>
      <c r="F1386" s="158" t="str">
        <f>+VLOOKUP(H1386,'code mapping'!A:C,3,0)</f>
        <v>LIC72</v>
      </c>
      <c r="G1386" s="127" t="s">
        <v>453</v>
      </c>
      <c r="H1386" s="127" t="s">
        <v>641</v>
      </c>
      <c r="I1386" s="127" t="s">
        <v>642</v>
      </c>
      <c r="J1386" s="128">
        <v>212000</v>
      </c>
      <c r="K1386" s="127" t="s">
        <v>487</v>
      </c>
      <c r="L1386" s="151">
        <v>212272</v>
      </c>
      <c r="M1386" s="128">
        <v>0</v>
      </c>
      <c r="N1386" s="127" t="s">
        <v>506</v>
      </c>
      <c r="O1386" s="127" t="s">
        <v>457</v>
      </c>
      <c r="P1386" s="128">
        <v>0</v>
      </c>
      <c r="Q1386" s="128">
        <v>9375.58</v>
      </c>
      <c r="R1386" s="128">
        <v>0</v>
      </c>
      <c r="S1386" s="128">
        <v>0</v>
      </c>
      <c r="T1386" s="128">
        <v>0</v>
      </c>
      <c r="U1386" s="128">
        <v>9375.58</v>
      </c>
      <c r="V1386" s="128">
        <v>0</v>
      </c>
      <c r="W1386" s="128">
        <v>9375.58</v>
      </c>
      <c r="X1386" s="128">
        <v>0</v>
      </c>
      <c r="Y1386" s="128">
        <v>0</v>
      </c>
      <c r="Z1386" s="128">
        <v>0</v>
      </c>
      <c r="AA1386" s="128">
        <v>9375.58</v>
      </c>
      <c r="AB1386" s="126">
        <f t="shared" si="146"/>
        <v>-9.3755800000000001E-4</v>
      </c>
      <c r="AC1386" s="122" t="s">
        <v>1838</v>
      </c>
      <c r="AD1386" s="123">
        <f t="shared" si="148"/>
        <v>1983.9723217250009</v>
      </c>
    </row>
    <row r="1387" spans="1:30" ht="12.75" hidden="1" customHeight="1">
      <c r="A1387" s="125" t="str">
        <f t="shared" si="143"/>
        <v>LIC72Payable -Inv Educ Fund-AMFI</v>
      </c>
      <c r="B1387" s="125">
        <f>+IFERROR(VLOOKUP(L1387,'TB mapping'!A:D,4,0),0)</f>
        <v>0</v>
      </c>
      <c r="C1387" s="125">
        <f>+IFERROR(VLOOKUP(L1387,'TB mapping'!A:C,3,0),0)</f>
        <v>0</v>
      </c>
      <c r="D1387" s="125" t="str">
        <f t="shared" si="144"/>
        <v>LIC720</v>
      </c>
      <c r="E1387" s="125" t="str">
        <f t="shared" si="145"/>
        <v>LIC720</v>
      </c>
      <c r="F1387" s="158" t="str">
        <f>+VLOOKUP(H1387,'code mapping'!A:C,3,0)</f>
        <v>LIC72</v>
      </c>
      <c r="G1387" s="127" t="s">
        <v>453</v>
      </c>
      <c r="H1387" s="127" t="s">
        <v>641</v>
      </c>
      <c r="I1387" s="127" t="s">
        <v>642</v>
      </c>
      <c r="J1387" s="128">
        <v>212000</v>
      </c>
      <c r="K1387" s="127" t="s">
        <v>487</v>
      </c>
      <c r="L1387" s="151">
        <v>213166</v>
      </c>
      <c r="M1387" s="128">
        <v>0</v>
      </c>
      <c r="N1387" s="127" t="s">
        <v>507</v>
      </c>
      <c r="O1387" s="127" t="s">
        <v>457</v>
      </c>
      <c r="P1387" s="128">
        <v>0</v>
      </c>
      <c r="Q1387" s="128">
        <v>18470.650000000001</v>
      </c>
      <c r="R1387" s="128">
        <v>0</v>
      </c>
      <c r="S1387" s="128">
        <v>0</v>
      </c>
      <c r="T1387" s="128">
        <v>0</v>
      </c>
      <c r="U1387" s="128">
        <v>18470.650000000001</v>
      </c>
      <c r="V1387" s="128">
        <v>0</v>
      </c>
      <c r="W1387" s="128">
        <v>18470.650000000001</v>
      </c>
      <c r="X1387" s="128">
        <v>0</v>
      </c>
      <c r="Y1387" s="128">
        <v>0</v>
      </c>
      <c r="Z1387" s="128">
        <v>0</v>
      </c>
      <c r="AA1387" s="128">
        <v>18470.650000000001</v>
      </c>
      <c r="AB1387" s="126">
        <f t="shared" si="146"/>
        <v>-1.8470650000000002E-3</v>
      </c>
      <c r="AC1387" s="122" t="s">
        <v>1838</v>
      </c>
      <c r="AD1387" s="123">
        <f t="shared" si="148"/>
        <v>1983.9723217250009</v>
      </c>
    </row>
    <row r="1388" spans="1:30" ht="12.75" hidden="1" customHeight="1">
      <c r="A1388" s="125" t="str">
        <f t="shared" si="143"/>
        <v>LIC72Management Fee Payable</v>
      </c>
      <c r="B1388" s="125">
        <f>+IFERROR(VLOOKUP(L1388,'TB mapping'!A:D,4,0),0)</f>
        <v>0</v>
      </c>
      <c r="C1388" s="125">
        <f>+IFERROR(VLOOKUP(L1388,'TB mapping'!A:C,3,0),0)</f>
        <v>0</v>
      </c>
      <c r="D1388" s="125" t="str">
        <f t="shared" si="144"/>
        <v>LIC720</v>
      </c>
      <c r="E1388" s="125" t="str">
        <f t="shared" si="145"/>
        <v>LIC720</v>
      </c>
      <c r="F1388" s="158" t="str">
        <f>+VLOOKUP(H1388,'code mapping'!A:C,3,0)</f>
        <v>LIC72</v>
      </c>
      <c r="G1388" s="127" t="s">
        <v>453</v>
      </c>
      <c r="H1388" s="127" t="s">
        <v>641</v>
      </c>
      <c r="I1388" s="127" t="s">
        <v>642</v>
      </c>
      <c r="J1388" s="128">
        <v>213000</v>
      </c>
      <c r="K1388" s="127" t="s">
        <v>508</v>
      </c>
      <c r="L1388" s="151">
        <v>213500</v>
      </c>
      <c r="M1388" s="128">
        <v>0</v>
      </c>
      <c r="N1388" s="127" t="s">
        <v>509</v>
      </c>
      <c r="O1388" s="127" t="s">
        <v>457</v>
      </c>
      <c r="P1388" s="128">
        <v>0</v>
      </c>
      <c r="Q1388" s="128">
        <v>104169.78</v>
      </c>
      <c r="R1388" s="128">
        <v>0</v>
      </c>
      <c r="S1388" s="128">
        <v>0</v>
      </c>
      <c r="T1388" s="128">
        <v>0</v>
      </c>
      <c r="U1388" s="128">
        <v>104169.78</v>
      </c>
      <c r="V1388" s="128">
        <v>0</v>
      </c>
      <c r="W1388" s="128">
        <v>104169.78</v>
      </c>
      <c r="X1388" s="128">
        <v>0</v>
      </c>
      <c r="Y1388" s="128">
        <v>0</v>
      </c>
      <c r="Z1388" s="128">
        <v>0</v>
      </c>
      <c r="AA1388" s="128">
        <v>104169.78</v>
      </c>
      <c r="AB1388" s="126">
        <f t="shared" si="146"/>
        <v>-1.0416978E-2</v>
      </c>
      <c r="AC1388" s="122" t="s">
        <v>1838</v>
      </c>
      <c r="AD1388" s="123">
        <f t="shared" si="148"/>
        <v>1983.9723217250009</v>
      </c>
    </row>
    <row r="1389" spans="1:30" ht="12.75" hidden="1" customHeight="1">
      <c r="A1389" s="125" t="str">
        <f t="shared" si="143"/>
        <v>LIC72Other Adjustment A/c.</v>
      </c>
      <c r="B1389" s="125">
        <f>+IFERROR(VLOOKUP(L1389,'TB mapping'!A:D,4,0),0)</f>
        <v>0</v>
      </c>
      <c r="C1389" s="125">
        <f>+IFERROR(VLOOKUP(L1389,'TB mapping'!A:C,3,0),0)</f>
        <v>0</v>
      </c>
      <c r="D1389" s="125" t="str">
        <f t="shared" si="144"/>
        <v>LIC720</v>
      </c>
      <c r="E1389" s="125" t="str">
        <f t="shared" si="145"/>
        <v>LIC720</v>
      </c>
      <c r="F1389" s="158" t="str">
        <f>+VLOOKUP(H1389,'code mapping'!A:C,3,0)</f>
        <v>LIC72</v>
      </c>
      <c r="G1389" s="127" t="s">
        <v>453</v>
      </c>
      <c r="H1389" s="127" t="s">
        <v>641</v>
      </c>
      <c r="I1389" s="127" t="s">
        <v>642</v>
      </c>
      <c r="J1389" s="128">
        <v>220000</v>
      </c>
      <c r="K1389" s="127" t="s">
        <v>510</v>
      </c>
      <c r="L1389" s="151">
        <v>190000</v>
      </c>
      <c r="M1389" s="128">
        <v>0</v>
      </c>
      <c r="N1389" s="127" t="s">
        <v>511</v>
      </c>
      <c r="O1389" s="127" t="s">
        <v>457</v>
      </c>
      <c r="P1389" s="128">
        <v>-2.08</v>
      </c>
      <c r="Q1389" s="128">
        <v>0</v>
      </c>
      <c r="R1389" s="128">
        <v>0</v>
      </c>
      <c r="S1389" s="128">
        <v>0</v>
      </c>
      <c r="T1389" s="128">
        <v>-2.08</v>
      </c>
      <c r="U1389" s="128">
        <v>0</v>
      </c>
      <c r="V1389" s="128">
        <v>-2.08</v>
      </c>
      <c r="W1389" s="128">
        <v>0</v>
      </c>
      <c r="X1389" s="128">
        <v>0</v>
      </c>
      <c r="Y1389" s="128">
        <v>0</v>
      </c>
      <c r="Z1389" s="128">
        <v>-2.08</v>
      </c>
      <c r="AA1389" s="128">
        <v>0</v>
      </c>
      <c r="AB1389" s="126">
        <f t="shared" si="146"/>
        <v>2.0800000000000001E-7</v>
      </c>
      <c r="AC1389" s="122" t="s">
        <v>1838</v>
      </c>
      <c r="AD1389" s="123">
        <f t="shared" si="148"/>
        <v>1983.9723217250009</v>
      </c>
    </row>
    <row r="1390" spans="1:30" ht="12.75" hidden="1" customHeight="1">
      <c r="A1390" s="125" t="str">
        <f t="shared" si="143"/>
        <v>LIC72Prov For Withholding Brokerage</v>
      </c>
      <c r="B1390" s="125">
        <f>+IFERROR(VLOOKUP(L1390,'TB mapping'!A:D,4,0),0)</f>
        <v>0</v>
      </c>
      <c r="C1390" s="125">
        <f>+IFERROR(VLOOKUP(L1390,'TB mapping'!A:C,3,0),0)</f>
        <v>0</v>
      </c>
      <c r="D1390" s="125" t="str">
        <f t="shared" si="144"/>
        <v>LIC720</v>
      </c>
      <c r="E1390" s="125" t="str">
        <f t="shared" si="145"/>
        <v>LIC720</v>
      </c>
      <c r="F1390" s="158" t="str">
        <f>+VLOOKUP(H1390,'code mapping'!A:C,3,0)</f>
        <v>LIC72</v>
      </c>
      <c r="G1390" s="127" t="s">
        <v>453</v>
      </c>
      <c r="H1390" s="127" t="s">
        <v>641</v>
      </c>
      <c r="I1390" s="127" t="s">
        <v>642</v>
      </c>
      <c r="J1390" s="128">
        <v>220000</v>
      </c>
      <c r="K1390" s="127" t="s">
        <v>510</v>
      </c>
      <c r="L1390" s="151">
        <v>210162</v>
      </c>
      <c r="M1390" s="128">
        <v>0</v>
      </c>
      <c r="N1390" s="127" t="s">
        <v>512</v>
      </c>
      <c r="O1390" s="127" t="s">
        <v>457</v>
      </c>
      <c r="P1390" s="128">
        <v>0</v>
      </c>
      <c r="Q1390" s="128">
        <v>213995.88</v>
      </c>
      <c r="R1390" s="128">
        <v>0</v>
      </c>
      <c r="S1390" s="128">
        <v>0</v>
      </c>
      <c r="T1390" s="128">
        <v>0</v>
      </c>
      <c r="U1390" s="128">
        <v>213995.88</v>
      </c>
      <c r="V1390" s="128">
        <v>0</v>
      </c>
      <c r="W1390" s="128">
        <v>213995.88</v>
      </c>
      <c r="X1390" s="128">
        <v>0</v>
      </c>
      <c r="Y1390" s="128">
        <v>0</v>
      </c>
      <c r="Z1390" s="128">
        <v>0</v>
      </c>
      <c r="AA1390" s="128">
        <v>213995.88</v>
      </c>
      <c r="AB1390" s="126">
        <f t="shared" si="146"/>
        <v>-2.1399588000000001E-2</v>
      </c>
      <c r="AC1390" s="122" t="s">
        <v>1838</v>
      </c>
      <c r="AD1390" s="123">
        <f t="shared" si="148"/>
        <v>1983.9723217250009</v>
      </c>
    </row>
    <row r="1391" spans="1:30" ht="12.75" hidden="1" customHeight="1">
      <c r="A1391" s="125" t="str">
        <f t="shared" si="143"/>
        <v>LIC72Prov  Withholding Brok 2016-17</v>
      </c>
      <c r="B1391" s="125">
        <f>+IFERROR(VLOOKUP(L1391,'TB mapping'!A:D,4,0),0)</f>
        <v>0</v>
      </c>
      <c r="C1391" s="125">
        <f>+IFERROR(VLOOKUP(L1391,'TB mapping'!A:C,3,0),0)</f>
        <v>0</v>
      </c>
      <c r="D1391" s="125" t="str">
        <f t="shared" si="144"/>
        <v>LIC720</v>
      </c>
      <c r="E1391" s="125" t="str">
        <f t="shared" si="145"/>
        <v>LIC720</v>
      </c>
      <c r="F1391" s="158" t="str">
        <f>+VLOOKUP(H1391,'code mapping'!A:C,3,0)</f>
        <v>LIC72</v>
      </c>
      <c r="G1391" s="127" t="s">
        <v>453</v>
      </c>
      <c r="H1391" s="127" t="s">
        <v>641</v>
      </c>
      <c r="I1391" s="127" t="s">
        <v>642</v>
      </c>
      <c r="J1391" s="128">
        <v>220000</v>
      </c>
      <c r="K1391" s="127" t="s">
        <v>510</v>
      </c>
      <c r="L1391" s="151">
        <v>210163</v>
      </c>
      <c r="M1391" s="128">
        <v>0</v>
      </c>
      <c r="N1391" s="127" t="s">
        <v>513</v>
      </c>
      <c r="O1391" s="127" t="s">
        <v>457</v>
      </c>
      <c r="P1391" s="128">
        <v>0</v>
      </c>
      <c r="Q1391" s="128">
        <v>245549.06</v>
      </c>
      <c r="R1391" s="128">
        <v>0</v>
      </c>
      <c r="S1391" s="128">
        <v>0</v>
      </c>
      <c r="T1391" s="128">
        <v>0</v>
      </c>
      <c r="U1391" s="128">
        <v>245549.06</v>
      </c>
      <c r="V1391" s="128">
        <v>0</v>
      </c>
      <c r="W1391" s="128">
        <v>245549.06</v>
      </c>
      <c r="X1391" s="128">
        <v>0</v>
      </c>
      <c r="Y1391" s="128">
        <v>0</v>
      </c>
      <c r="Z1391" s="128">
        <v>0</v>
      </c>
      <c r="AA1391" s="128">
        <v>245549.06</v>
      </c>
      <c r="AB1391" s="126">
        <f t="shared" si="146"/>
        <v>-2.4554906000000001E-2</v>
      </c>
      <c r="AC1391" s="122" t="s">
        <v>1838</v>
      </c>
      <c r="AD1391" s="123">
        <f t="shared" si="148"/>
        <v>1983.9723217250009</v>
      </c>
    </row>
    <row r="1392" spans="1:30" ht="12.75" hidden="1" customHeight="1">
      <c r="A1392" s="125" t="str">
        <f t="shared" si="143"/>
        <v>LIC72Unit Capital</v>
      </c>
      <c r="B1392" s="125">
        <f>+IFERROR(VLOOKUP(L1392,'TB mapping'!A:D,4,0),0)</f>
        <v>0</v>
      </c>
      <c r="C1392" s="125">
        <f>+IFERROR(VLOOKUP(L1392,'TB mapping'!A:C,3,0),0)</f>
        <v>0</v>
      </c>
      <c r="D1392" s="125" t="str">
        <f t="shared" si="144"/>
        <v>LIC720</v>
      </c>
      <c r="E1392" s="125" t="str">
        <f t="shared" si="145"/>
        <v>LIC720</v>
      </c>
      <c r="F1392" s="158" t="str">
        <f>+VLOOKUP(H1392,'code mapping'!A:C,3,0)</f>
        <v>LIC72</v>
      </c>
      <c r="G1392" s="127" t="s">
        <v>453</v>
      </c>
      <c r="H1392" s="127" t="s">
        <v>641</v>
      </c>
      <c r="I1392" s="127" t="s">
        <v>642</v>
      </c>
      <c r="J1392" s="128">
        <v>301000</v>
      </c>
      <c r="K1392" s="127" t="s">
        <v>514</v>
      </c>
      <c r="L1392" s="151">
        <v>310000</v>
      </c>
      <c r="M1392" s="128">
        <v>0</v>
      </c>
      <c r="N1392" s="127" t="s">
        <v>515</v>
      </c>
      <c r="O1392" s="127" t="s">
        <v>457</v>
      </c>
      <c r="P1392" s="128">
        <v>0</v>
      </c>
      <c r="Q1392" s="128">
        <v>1074892880.98</v>
      </c>
      <c r="R1392" s="128">
        <v>0</v>
      </c>
      <c r="S1392" s="128">
        <v>0</v>
      </c>
      <c r="T1392" s="128">
        <v>0</v>
      </c>
      <c r="U1392" s="128">
        <v>1074892880.98</v>
      </c>
      <c r="V1392" s="128">
        <v>0</v>
      </c>
      <c r="W1392" s="128">
        <v>1074892880.98</v>
      </c>
      <c r="X1392" s="128">
        <v>0</v>
      </c>
      <c r="Y1392" s="128">
        <v>0</v>
      </c>
      <c r="Z1392" s="128">
        <v>0</v>
      </c>
      <c r="AA1392" s="128">
        <v>1074892880.98</v>
      </c>
      <c r="AB1392" s="126">
        <f t="shared" si="146"/>
        <v>-107.489288098</v>
      </c>
      <c r="AC1392" s="122" t="s">
        <v>1838</v>
      </c>
      <c r="AD1392" s="123">
        <f t="shared" si="148"/>
        <v>1983.9723217250009</v>
      </c>
    </row>
    <row r="1393" spans="1:30" ht="12.75" hidden="1" customHeight="1">
      <c r="A1393" s="125" t="str">
        <f t="shared" si="143"/>
        <v>LIC72Unit Premium Reserve- RG</v>
      </c>
      <c r="B1393" s="125">
        <f>+IFERROR(VLOOKUP(L1393,'TB mapping'!A:D,4,0),0)</f>
        <v>0</v>
      </c>
      <c r="C1393" s="125">
        <f>+IFERROR(VLOOKUP(L1393,'TB mapping'!A:C,3,0),0)</f>
        <v>0</v>
      </c>
      <c r="D1393" s="125" t="str">
        <f t="shared" si="144"/>
        <v>LIC720</v>
      </c>
      <c r="E1393" s="125" t="str">
        <f t="shared" si="145"/>
        <v>LIC720</v>
      </c>
      <c r="F1393" s="158" t="str">
        <f>+VLOOKUP(H1393,'code mapping'!A:C,3,0)</f>
        <v>LIC72</v>
      </c>
      <c r="G1393" s="127" t="s">
        <v>453</v>
      </c>
      <c r="H1393" s="127" t="s">
        <v>641</v>
      </c>
      <c r="I1393" s="127" t="s">
        <v>642</v>
      </c>
      <c r="J1393" s="128">
        <v>303000</v>
      </c>
      <c r="K1393" s="127" t="s">
        <v>516</v>
      </c>
      <c r="L1393" s="151">
        <v>303201</v>
      </c>
      <c r="M1393" s="128">
        <v>0</v>
      </c>
      <c r="N1393" s="127" t="s">
        <v>517</v>
      </c>
      <c r="O1393" s="127" t="s">
        <v>457</v>
      </c>
      <c r="P1393" s="128">
        <v>-252141557.88999999</v>
      </c>
      <c r="Q1393" s="128">
        <v>0</v>
      </c>
      <c r="R1393" s="128">
        <v>0</v>
      </c>
      <c r="S1393" s="128">
        <v>0</v>
      </c>
      <c r="T1393" s="128">
        <v>-252141557.88999999</v>
      </c>
      <c r="U1393" s="128">
        <v>0</v>
      </c>
      <c r="V1393" s="128">
        <v>-252141557.88999999</v>
      </c>
      <c r="W1393" s="128">
        <v>0</v>
      </c>
      <c r="X1393" s="128">
        <v>0</v>
      </c>
      <c r="Y1393" s="128">
        <v>0</v>
      </c>
      <c r="Z1393" s="128">
        <v>-252141557.88999999</v>
      </c>
      <c r="AA1393" s="128">
        <v>0</v>
      </c>
      <c r="AB1393" s="126">
        <f t="shared" si="146"/>
        <v>25.214155788999999</v>
      </c>
      <c r="AC1393" s="122" t="s">
        <v>1838</v>
      </c>
      <c r="AD1393" s="123">
        <f t="shared" si="148"/>
        <v>1983.9723217250009</v>
      </c>
    </row>
    <row r="1394" spans="1:30" ht="12.75" hidden="1" customHeight="1">
      <c r="A1394" s="125" t="str">
        <f t="shared" si="143"/>
        <v>LIC72Unit Premium Reserve-RDD</v>
      </c>
      <c r="B1394" s="125">
        <f>+IFERROR(VLOOKUP(L1394,'TB mapping'!A:D,4,0),0)</f>
        <v>0</v>
      </c>
      <c r="C1394" s="125">
        <f>+IFERROR(VLOOKUP(L1394,'TB mapping'!A:C,3,0),0)</f>
        <v>0</v>
      </c>
      <c r="D1394" s="125" t="str">
        <f t="shared" si="144"/>
        <v>LIC720</v>
      </c>
      <c r="E1394" s="125" t="str">
        <f t="shared" si="145"/>
        <v>LIC720</v>
      </c>
      <c r="F1394" s="158" t="str">
        <f>+VLOOKUP(H1394,'code mapping'!A:C,3,0)</f>
        <v>LIC72</v>
      </c>
      <c r="G1394" s="127" t="s">
        <v>453</v>
      </c>
      <c r="H1394" s="127" t="s">
        <v>641</v>
      </c>
      <c r="I1394" s="127" t="s">
        <v>642</v>
      </c>
      <c r="J1394" s="128">
        <v>303000</v>
      </c>
      <c r="K1394" s="127" t="s">
        <v>516</v>
      </c>
      <c r="L1394" s="151">
        <v>303213</v>
      </c>
      <c r="M1394" s="128">
        <v>0</v>
      </c>
      <c r="N1394" s="127" t="s">
        <v>651</v>
      </c>
      <c r="O1394" s="127" t="s">
        <v>457</v>
      </c>
      <c r="P1394" s="128">
        <v>-443614516.97000003</v>
      </c>
      <c r="Q1394" s="128">
        <v>0</v>
      </c>
      <c r="R1394" s="128">
        <v>0</v>
      </c>
      <c r="S1394" s="128">
        <v>0</v>
      </c>
      <c r="T1394" s="128">
        <v>-443614516.97000003</v>
      </c>
      <c r="U1394" s="128">
        <v>0</v>
      </c>
      <c r="V1394" s="128">
        <v>-443614516.97000003</v>
      </c>
      <c r="W1394" s="128">
        <v>0</v>
      </c>
      <c r="X1394" s="128">
        <v>0</v>
      </c>
      <c r="Y1394" s="128">
        <v>0</v>
      </c>
      <c r="Z1394" s="128">
        <v>-443614516.97000003</v>
      </c>
      <c r="AA1394" s="128">
        <v>0</v>
      </c>
      <c r="AB1394" s="126">
        <f t="shared" si="146"/>
        <v>44.361451697</v>
      </c>
      <c r="AC1394" s="122" t="s">
        <v>1838</v>
      </c>
      <c r="AD1394" s="123">
        <f t="shared" si="148"/>
        <v>1983.9723217250009</v>
      </c>
    </row>
    <row r="1395" spans="1:30" ht="12.75" hidden="1" customHeight="1">
      <c r="A1395" s="125" t="str">
        <f t="shared" si="143"/>
        <v>LIC72Unit Premium Reserve-RWD</v>
      </c>
      <c r="B1395" s="125">
        <f>+IFERROR(VLOOKUP(L1395,'TB mapping'!A:D,4,0),0)</f>
        <v>0</v>
      </c>
      <c r="C1395" s="125">
        <f>+IFERROR(VLOOKUP(L1395,'TB mapping'!A:C,3,0),0)</f>
        <v>0</v>
      </c>
      <c r="D1395" s="125" t="str">
        <f t="shared" si="144"/>
        <v>LIC720</v>
      </c>
      <c r="E1395" s="125" t="str">
        <f t="shared" si="145"/>
        <v>LIC720</v>
      </c>
      <c r="F1395" s="158" t="str">
        <f>+VLOOKUP(H1395,'code mapping'!A:C,3,0)</f>
        <v>LIC72</v>
      </c>
      <c r="G1395" s="127" t="s">
        <v>453</v>
      </c>
      <c r="H1395" s="127" t="s">
        <v>641</v>
      </c>
      <c r="I1395" s="127" t="s">
        <v>642</v>
      </c>
      <c r="J1395" s="128">
        <v>303000</v>
      </c>
      <c r="K1395" s="127" t="s">
        <v>516</v>
      </c>
      <c r="L1395" s="151">
        <v>303215</v>
      </c>
      <c r="M1395" s="128">
        <v>0</v>
      </c>
      <c r="N1395" s="127" t="s">
        <v>652</v>
      </c>
      <c r="O1395" s="127" t="s">
        <v>457</v>
      </c>
      <c r="P1395" s="128">
        <v>-202746194.33000001</v>
      </c>
      <c r="Q1395" s="128">
        <v>0</v>
      </c>
      <c r="R1395" s="128">
        <v>0</v>
      </c>
      <c r="S1395" s="128">
        <v>0</v>
      </c>
      <c r="T1395" s="128">
        <v>-202746194.33000001</v>
      </c>
      <c r="U1395" s="128">
        <v>0</v>
      </c>
      <c r="V1395" s="128">
        <v>-202746194.33000001</v>
      </c>
      <c r="W1395" s="128">
        <v>0</v>
      </c>
      <c r="X1395" s="128">
        <v>0</v>
      </c>
      <c r="Y1395" s="128">
        <v>0</v>
      </c>
      <c r="Z1395" s="128">
        <v>-202746194.33000001</v>
      </c>
      <c r="AA1395" s="128">
        <v>0</v>
      </c>
      <c r="AB1395" s="126">
        <f t="shared" si="146"/>
        <v>20.274619433000002</v>
      </c>
      <c r="AC1395" s="122" t="s">
        <v>1838</v>
      </c>
      <c r="AD1395" s="123">
        <f t="shared" si="148"/>
        <v>1983.9723217250009</v>
      </c>
    </row>
    <row r="1396" spans="1:30" ht="12.75" hidden="1" customHeight="1">
      <c r="A1396" s="125" t="str">
        <f t="shared" si="143"/>
        <v>LIC72Unit Premium Reserve-RMD</v>
      </c>
      <c r="B1396" s="125">
        <f>+IFERROR(VLOOKUP(L1396,'TB mapping'!A:D,4,0),0)</f>
        <v>0</v>
      </c>
      <c r="C1396" s="125">
        <f>+IFERROR(VLOOKUP(L1396,'TB mapping'!A:C,3,0),0)</f>
        <v>0</v>
      </c>
      <c r="D1396" s="125" t="str">
        <f t="shared" si="144"/>
        <v>LIC720</v>
      </c>
      <c r="E1396" s="125" t="str">
        <f t="shared" si="145"/>
        <v>LIC720</v>
      </c>
      <c r="F1396" s="158" t="str">
        <f>+VLOOKUP(H1396,'code mapping'!A:C,3,0)</f>
        <v>LIC72</v>
      </c>
      <c r="G1396" s="127" t="s">
        <v>453</v>
      </c>
      <c r="H1396" s="127" t="s">
        <v>641</v>
      </c>
      <c r="I1396" s="127" t="s">
        <v>642</v>
      </c>
      <c r="J1396" s="128">
        <v>303000</v>
      </c>
      <c r="K1396" s="127" t="s">
        <v>516</v>
      </c>
      <c r="L1396" s="151">
        <v>303229</v>
      </c>
      <c r="M1396" s="128">
        <v>0</v>
      </c>
      <c r="N1396" s="127" t="s">
        <v>653</v>
      </c>
      <c r="O1396" s="127" t="s">
        <v>457</v>
      </c>
      <c r="P1396" s="128">
        <v>-29949986.719999999</v>
      </c>
      <c r="Q1396" s="128">
        <v>0</v>
      </c>
      <c r="R1396" s="128">
        <v>0</v>
      </c>
      <c r="S1396" s="128">
        <v>0</v>
      </c>
      <c r="T1396" s="128">
        <v>-29949986.719999999</v>
      </c>
      <c r="U1396" s="128">
        <v>0</v>
      </c>
      <c r="V1396" s="128">
        <v>-29949986.719999999</v>
      </c>
      <c r="W1396" s="128">
        <v>0</v>
      </c>
      <c r="X1396" s="128">
        <v>0</v>
      </c>
      <c r="Y1396" s="128">
        <v>0</v>
      </c>
      <c r="Z1396" s="128">
        <v>-29949986.719999999</v>
      </c>
      <c r="AA1396" s="128">
        <v>0</v>
      </c>
      <c r="AB1396" s="126">
        <f t="shared" si="146"/>
        <v>2.9949986719999999</v>
      </c>
      <c r="AC1396" s="122" t="s">
        <v>1838</v>
      </c>
      <c r="AD1396" s="123">
        <f t="shared" si="148"/>
        <v>1983.9723217250009</v>
      </c>
    </row>
    <row r="1397" spans="1:30" ht="12.75" hidden="1" customHeight="1">
      <c r="A1397" s="125" t="str">
        <f t="shared" si="143"/>
        <v>LIC72Unit Premium Reserve-GDP</v>
      </c>
      <c r="B1397" s="125">
        <f>+IFERROR(VLOOKUP(L1397,'TB mapping'!A:D,4,0),0)</f>
        <v>0</v>
      </c>
      <c r="C1397" s="125">
        <f>+IFERROR(VLOOKUP(L1397,'TB mapping'!A:C,3,0),0)</f>
        <v>0</v>
      </c>
      <c r="D1397" s="125" t="str">
        <f t="shared" si="144"/>
        <v>LIC720</v>
      </c>
      <c r="E1397" s="125" t="str">
        <f t="shared" si="145"/>
        <v>LIC720</v>
      </c>
      <c r="F1397" s="158" t="str">
        <f>+VLOOKUP(H1397,'code mapping'!A:C,3,0)</f>
        <v>LIC72</v>
      </c>
      <c r="G1397" s="127" t="s">
        <v>453</v>
      </c>
      <c r="H1397" s="127" t="s">
        <v>641</v>
      </c>
      <c r="I1397" s="127" t="s">
        <v>642</v>
      </c>
      <c r="J1397" s="128">
        <v>303000</v>
      </c>
      <c r="K1397" s="127" t="s">
        <v>516</v>
      </c>
      <c r="L1397" s="151">
        <v>303245</v>
      </c>
      <c r="M1397" s="128">
        <v>0</v>
      </c>
      <c r="N1397" s="127" t="s">
        <v>519</v>
      </c>
      <c r="O1397" s="127" t="s">
        <v>457</v>
      </c>
      <c r="P1397" s="128">
        <v>-841877916.40999997</v>
      </c>
      <c r="Q1397" s="128">
        <v>0</v>
      </c>
      <c r="R1397" s="128">
        <v>0</v>
      </c>
      <c r="S1397" s="128">
        <v>0</v>
      </c>
      <c r="T1397" s="128">
        <v>-841877916.40999997</v>
      </c>
      <c r="U1397" s="128">
        <v>0</v>
      </c>
      <c r="V1397" s="128">
        <v>-841877916.40999997</v>
      </c>
      <c r="W1397" s="128">
        <v>0</v>
      </c>
      <c r="X1397" s="128">
        <v>0</v>
      </c>
      <c r="Y1397" s="128">
        <v>0</v>
      </c>
      <c r="Z1397" s="128">
        <v>-841877916.40999997</v>
      </c>
      <c r="AA1397" s="128">
        <v>0</v>
      </c>
      <c r="AB1397" s="126">
        <f t="shared" si="146"/>
        <v>84.18779164099999</v>
      </c>
      <c r="AC1397" s="122" t="s">
        <v>1838</v>
      </c>
      <c r="AD1397" s="123">
        <f t="shared" si="148"/>
        <v>1983.9723217250009</v>
      </c>
    </row>
    <row r="1398" spans="1:30" ht="12.75" hidden="1" customHeight="1">
      <c r="A1398" s="125" t="str">
        <f t="shared" si="143"/>
        <v>LIC72Unit Premium Reserve-MDP</v>
      </c>
      <c r="B1398" s="125">
        <f>+IFERROR(VLOOKUP(L1398,'TB mapping'!A:D,4,0),0)</f>
        <v>0</v>
      </c>
      <c r="C1398" s="125">
        <f>+IFERROR(VLOOKUP(L1398,'TB mapping'!A:C,3,0),0)</f>
        <v>0</v>
      </c>
      <c r="D1398" s="125" t="str">
        <f t="shared" si="144"/>
        <v>LIC720</v>
      </c>
      <c r="E1398" s="125" t="str">
        <f t="shared" si="145"/>
        <v>LIC720</v>
      </c>
      <c r="F1398" s="158" t="str">
        <f>+VLOOKUP(H1398,'code mapping'!A:C,3,0)</f>
        <v>LIC72</v>
      </c>
      <c r="G1398" s="127" t="s">
        <v>453</v>
      </c>
      <c r="H1398" s="127" t="s">
        <v>641</v>
      </c>
      <c r="I1398" s="127" t="s">
        <v>642</v>
      </c>
      <c r="J1398" s="128">
        <v>303000</v>
      </c>
      <c r="K1398" s="127" t="s">
        <v>516</v>
      </c>
      <c r="L1398" s="151">
        <v>303248</v>
      </c>
      <c r="M1398" s="128">
        <v>0</v>
      </c>
      <c r="N1398" s="127" t="s">
        <v>654</v>
      </c>
      <c r="O1398" s="127" t="s">
        <v>457</v>
      </c>
      <c r="P1398" s="128">
        <v>-811.9</v>
      </c>
      <c r="Q1398" s="128">
        <v>0</v>
      </c>
      <c r="R1398" s="128">
        <v>0</v>
      </c>
      <c r="S1398" s="128">
        <v>0</v>
      </c>
      <c r="T1398" s="128">
        <v>-811.9</v>
      </c>
      <c r="U1398" s="128">
        <v>0</v>
      </c>
      <c r="V1398" s="128">
        <v>-811.9</v>
      </c>
      <c r="W1398" s="128">
        <v>0</v>
      </c>
      <c r="X1398" s="128">
        <v>0</v>
      </c>
      <c r="Y1398" s="128">
        <v>0</v>
      </c>
      <c r="Z1398" s="128">
        <v>-811.9</v>
      </c>
      <c r="AA1398" s="128">
        <v>0</v>
      </c>
      <c r="AB1398" s="126">
        <f t="shared" si="146"/>
        <v>8.119E-5</v>
      </c>
      <c r="AC1398" s="122" t="s">
        <v>1838</v>
      </c>
      <c r="AD1398" s="123">
        <f t="shared" si="148"/>
        <v>1983.9723217250009</v>
      </c>
    </row>
    <row r="1399" spans="1:30" ht="12.75" hidden="1" customHeight="1">
      <c r="A1399" s="125" t="str">
        <f t="shared" si="143"/>
        <v>LIC72Unit Premium Reserve-DPD</v>
      </c>
      <c r="B1399" s="125">
        <f>+IFERROR(VLOOKUP(L1399,'TB mapping'!A:D,4,0),0)</f>
        <v>0</v>
      </c>
      <c r="C1399" s="125">
        <f>+IFERROR(VLOOKUP(L1399,'TB mapping'!A:C,3,0),0)</f>
        <v>0</v>
      </c>
      <c r="D1399" s="125" t="str">
        <f t="shared" si="144"/>
        <v>LIC720</v>
      </c>
      <c r="E1399" s="125" t="str">
        <f t="shared" si="145"/>
        <v>LIC720</v>
      </c>
      <c r="F1399" s="158" t="str">
        <f>+VLOOKUP(H1399,'code mapping'!A:C,3,0)</f>
        <v>LIC72</v>
      </c>
      <c r="G1399" s="127" t="s">
        <v>453</v>
      </c>
      <c r="H1399" s="127" t="s">
        <v>641</v>
      </c>
      <c r="I1399" s="127" t="s">
        <v>642</v>
      </c>
      <c r="J1399" s="128">
        <v>303000</v>
      </c>
      <c r="K1399" s="127" t="s">
        <v>516</v>
      </c>
      <c r="L1399" s="151">
        <v>303266</v>
      </c>
      <c r="M1399" s="128">
        <v>0</v>
      </c>
      <c r="N1399" s="127" t="s">
        <v>655</v>
      </c>
      <c r="O1399" s="127" t="s">
        <v>457</v>
      </c>
      <c r="P1399" s="128">
        <v>-525954.62</v>
      </c>
      <c r="Q1399" s="128">
        <v>0</v>
      </c>
      <c r="R1399" s="128">
        <v>0</v>
      </c>
      <c r="S1399" s="128">
        <v>0</v>
      </c>
      <c r="T1399" s="128">
        <v>-525954.62</v>
      </c>
      <c r="U1399" s="128">
        <v>0</v>
      </c>
      <c r="V1399" s="128">
        <v>-525954.62</v>
      </c>
      <c r="W1399" s="128">
        <v>0</v>
      </c>
      <c r="X1399" s="128">
        <v>0</v>
      </c>
      <c r="Y1399" s="128">
        <v>0</v>
      </c>
      <c r="Z1399" s="128">
        <v>-525954.62</v>
      </c>
      <c r="AA1399" s="128">
        <v>0</v>
      </c>
      <c r="AB1399" s="126">
        <f t="shared" si="146"/>
        <v>5.2595462000000003E-2</v>
      </c>
      <c r="AC1399" s="122" t="s">
        <v>1838</v>
      </c>
      <c r="AD1399" s="123">
        <f t="shared" si="148"/>
        <v>1983.9723217250009</v>
      </c>
    </row>
    <row r="1400" spans="1:30" ht="12.75" hidden="1" customHeight="1">
      <c r="A1400" s="125" t="str">
        <f t="shared" si="143"/>
        <v>LIC72Unit Premium Reserve-WDP</v>
      </c>
      <c r="B1400" s="125">
        <f>+IFERROR(VLOOKUP(L1400,'TB mapping'!A:D,4,0),0)</f>
        <v>0</v>
      </c>
      <c r="C1400" s="125">
        <f>+IFERROR(VLOOKUP(L1400,'TB mapping'!A:C,3,0),0)</f>
        <v>0</v>
      </c>
      <c r="D1400" s="125" t="str">
        <f t="shared" si="144"/>
        <v>LIC720</v>
      </c>
      <c r="E1400" s="125" t="str">
        <f t="shared" si="145"/>
        <v>LIC720</v>
      </c>
      <c r="F1400" s="158" t="str">
        <f>+VLOOKUP(H1400,'code mapping'!A:C,3,0)</f>
        <v>LIC72</v>
      </c>
      <c r="G1400" s="127" t="s">
        <v>453</v>
      </c>
      <c r="H1400" s="127" t="s">
        <v>641</v>
      </c>
      <c r="I1400" s="127" t="s">
        <v>642</v>
      </c>
      <c r="J1400" s="128">
        <v>303000</v>
      </c>
      <c r="K1400" s="127" t="s">
        <v>516</v>
      </c>
      <c r="L1400" s="151">
        <v>303268</v>
      </c>
      <c r="M1400" s="128">
        <v>0</v>
      </c>
      <c r="N1400" s="127" t="s">
        <v>656</v>
      </c>
      <c r="O1400" s="127" t="s">
        <v>457</v>
      </c>
      <c r="P1400" s="128">
        <v>-135747.32</v>
      </c>
      <c r="Q1400" s="128">
        <v>0</v>
      </c>
      <c r="R1400" s="128">
        <v>0</v>
      </c>
      <c r="S1400" s="128">
        <v>0</v>
      </c>
      <c r="T1400" s="128">
        <v>-135747.32</v>
      </c>
      <c r="U1400" s="128">
        <v>0</v>
      </c>
      <c r="V1400" s="128">
        <v>-135747.32</v>
      </c>
      <c r="W1400" s="128">
        <v>0</v>
      </c>
      <c r="X1400" s="128">
        <v>0</v>
      </c>
      <c r="Y1400" s="128">
        <v>0</v>
      </c>
      <c r="Z1400" s="128">
        <v>-135747.32</v>
      </c>
      <c r="AA1400" s="128">
        <v>0</v>
      </c>
      <c r="AB1400" s="126">
        <f t="shared" si="146"/>
        <v>1.3574732000000001E-2</v>
      </c>
      <c r="AC1400" s="122" t="s">
        <v>1838</v>
      </c>
      <c r="AD1400" s="123">
        <f t="shared" si="148"/>
        <v>1983.9723217250009</v>
      </c>
    </row>
    <row r="1401" spans="1:30" ht="12.75" hidden="1" customHeight="1">
      <c r="A1401" s="125" t="str">
        <f t="shared" ref="A1401:A1464" si="149">+F1401&amp;N1401</f>
        <v>LIC72Net Earnings</v>
      </c>
      <c r="B1401" s="125">
        <f>+IFERROR(VLOOKUP(L1401,'TB mapping'!A:D,4,0),0)</f>
        <v>0</v>
      </c>
      <c r="C1401" s="125">
        <f>+IFERROR(VLOOKUP(L1401,'TB mapping'!A:C,3,0),0)</f>
        <v>0</v>
      </c>
      <c r="D1401" s="125" t="str">
        <f t="shared" ref="D1401:D1464" si="150">+F1401&amp;B1401</f>
        <v>LIC720</v>
      </c>
      <c r="E1401" s="125" t="str">
        <f t="shared" ref="E1401:E1464" si="151">+F1401&amp;C1401</f>
        <v>LIC720</v>
      </c>
      <c r="F1401" s="158" t="str">
        <f>+VLOOKUP(H1401,'code mapping'!A:C,3,0)</f>
        <v>LIC72</v>
      </c>
      <c r="G1401" s="127" t="s">
        <v>453</v>
      </c>
      <c r="H1401" s="127" t="s">
        <v>641</v>
      </c>
      <c r="I1401" s="127" t="s">
        <v>642</v>
      </c>
      <c r="J1401" s="128">
        <v>303000</v>
      </c>
      <c r="K1401" s="127" t="s">
        <v>516</v>
      </c>
      <c r="L1401" s="151">
        <v>390000</v>
      </c>
      <c r="M1401" s="128">
        <v>0</v>
      </c>
      <c r="N1401" s="127" t="s">
        <v>521</v>
      </c>
      <c r="O1401" s="127" t="s">
        <v>457</v>
      </c>
      <c r="P1401" s="128">
        <v>0</v>
      </c>
      <c r="Q1401" s="128">
        <v>2518853945.5799999</v>
      </c>
      <c r="R1401" s="128">
        <v>0</v>
      </c>
      <c r="S1401" s="128">
        <v>0</v>
      </c>
      <c r="T1401" s="128">
        <v>0</v>
      </c>
      <c r="U1401" s="128">
        <v>2518853945.5799999</v>
      </c>
      <c r="V1401" s="128">
        <v>0</v>
      </c>
      <c r="W1401" s="128">
        <v>2518853945.5799999</v>
      </c>
      <c r="X1401" s="128">
        <v>0</v>
      </c>
      <c r="Y1401" s="128">
        <v>0</v>
      </c>
      <c r="Z1401" s="128">
        <v>0</v>
      </c>
      <c r="AA1401" s="128">
        <v>2518853945.5799999</v>
      </c>
      <c r="AB1401" s="126">
        <f t="shared" ref="AB1401:AB1464" si="152">SUM(-Z1401-AA1401)/10^7</f>
        <v>-251.885394558</v>
      </c>
      <c r="AC1401" s="122" t="s">
        <v>1838</v>
      </c>
      <c r="AD1401" s="123">
        <f t="shared" si="148"/>
        <v>1983.9723217250009</v>
      </c>
    </row>
    <row r="1402" spans="1:30" ht="12.75" hidden="1" customHeight="1">
      <c r="A1402" s="125" t="str">
        <f t="shared" si="149"/>
        <v>LIC72R/L G/P - Corp Bonds/Debenture</v>
      </c>
      <c r="B1402" s="125">
        <f>+IFERROR(VLOOKUP(L1402,'TB mapping'!A:D,4,0),0)</f>
        <v>0</v>
      </c>
      <c r="C1402" s="125">
        <f>+IFERROR(VLOOKUP(L1402,'TB mapping'!A:C,3,0),0)</f>
        <v>5.3</v>
      </c>
      <c r="D1402" s="125" t="str">
        <f t="shared" si="150"/>
        <v>LIC720</v>
      </c>
      <c r="E1402" s="125" t="str">
        <f t="shared" si="151"/>
        <v>LIC725.3</v>
      </c>
      <c r="F1402" s="158" t="str">
        <f>+VLOOKUP(H1402,'code mapping'!A:C,3,0)</f>
        <v>LIC72</v>
      </c>
      <c r="G1402" s="127" t="s">
        <v>453</v>
      </c>
      <c r="H1402" s="127" t="s">
        <v>641</v>
      </c>
      <c r="I1402" s="127" t="s">
        <v>642</v>
      </c>
      <c r="J1402" s="128">
        <v>410000</v>
      </c>
      <c r="K1402" s="127" t="s">
        <v>522</v>
      </c>
      <c r="L1402" s="151">
        <v>412120</v>
      </c>
      <c r="M1402" s="128">
        <v>0</v>
      </c>
      <c r="N1402" s="127" t="s">
        <v>523</v>
      </c>
      <c r="O1402" s="127" t="s">
        <v>457</v>
      </c>
      <c r="P1402" s="128">
        <v>0</v>
      </c>
      <c r="Q1402" s="128">
        <v>197400</v>
      </c>
      <c r="R1402" s="128">
        <v>0</v>
      </c>
      <c r="S1402" s="128">
        <v>0</v>
      </c>
      <c r="T1402" s="128">
        <v>0</v>
      </c>
      <c r="U1402" s="128">
        <v>197400</v>
      </c>
      <c r="V1402" s="128">
        <v>0</v>
      </c>
      <c r="W1402" s="128">
        <v>197400</v>
      </c>
      <c r="X1402" s="128">
        <v>0</v>
      </c>
      <c r="Y1402" s="128">
        <v>0</v>
      </c>
      <c r="Z1402" s="128">
        <v>0</v>
      </c>
      <c r="AA1402" s="128">
        <v>197400</v>
      </c>
      <c r="AB1402" s="126">
        <f t="shared" si="152"/>
        <v>-1.9740000000000001E-2</v>
      </c>
      <c r="AC1402" s="122" t="s">
        <v>1838</v>
      </c>
      <c r="AD1402" s="123">
        <f t="shared" ref="AD1402:AD1409" si="153">SUMIF(E:E,E1402,AB:AB)</f>
        <v>0.39275882699999998</v>
      </c>
    </row>
    <row r="1403" spans="1:30" ht="12.75" hidden="1" customHeight="1">
      <c r="A1403" s="125" t="str">
        <f t="shared" si="149"/>
        <v>LIC72R/L G/P - Government Bonds</v>
      </c>
      <c r="B1403" s="125">
        <f>+IFERROR(VLOOKUP(L1403,'TB mapping'!A:D,4,0),0)</f>
        <v>0</v>
      </c>
      <c r="C1403" s="125">
        <f>+IFERROR(VLOOKUP(L1403,'TB mapping'!A:C,3,0),0)</f>
        <v>5.3</v>
      </c>
      <c r="D1403" s="125" t="str">
        <f t="shared" si="150"/>
        <v>LIC720</v>
      </c>
      <c r="E1403" s="125" t="str">
        <f t="shared" si="151"/>
        <v>LIC725.3</v>
      </c>
      <c r="F1403" s="158" t="str">
        <f>+VLOOKUP(H1403,'code mapping'!A:C,3,0)</f>
        <v>LIC72</v>
      </c>
      <c r="G1403" s="127" t="s">
        <v>453</v>
      </c>
      <c r="H1403" s="127" t="s">
        <v>641</v>
      </c>
      <c r="I1403" s="127" t="s">
        <v>642</v>
      </c>
      <c r="J1403" s="128">
        <v>410000</v>
      </c>
      <c r="K1403" s="127" t="s">
        <v>522</v>
      </c>
      <c r="L1403" s="151">
        <v>412130</v>
      </c>
      <c r="M1403" s="128">
        <v>0</v>
      </c>
      <c r="N1403" s="127" t="s">
        <v>524</v>
      </c>
      <c r="O1403" s="127" t="s">
        <v>457</v>
      </c>
      <c r="P1403" s="128">
        <v>0</v>
      </c>
      <c r="Q1403" s="128">
        <v>960000</v>
      </c>
      <c r="R1403" s="128">
        <v>0</v>
      </c>
      <c r="S1403" s="128">
        <v>0</v>
      </c>
      <c r="T1403" s="128">
        <v>0</v>
      </c>
      <c r="U1403" s="128">
        <v>960000</v>
      </c>
      <c r="V1403" s="128">
        <v>0</v>
      </c>
      <c r="W1403" s="128">
        <v>960000</v>
      </c>
      <c r="X1403" s="128">
        <v>0</v>
      </c>
      <c r="Y1403" s="128">
        <v>0</v>
      </c>
      <c r="Z1403" s="128">
        <v>0</v>
      </c>
      <c r="AA1403" s="128">
        <v>960000</v>
      </c>
      <c r="AB1403" s="126">
        <f t="shared" si="152"/>
        <v>-9.6000000000000002E-2</v>
      </c>
      <c r="AC1403" s="122" t="s">
        <v>1838</v>
      </c>
      <c r="AD1403" s="123">
        <f t="shared" si="153"/>
        <v>0.39275882699999998</v>
      </c>
    </row>
    <row r="1404" spans="1:30" ht="12.75" hidden="1" customHeight="1">
      <c r="A1404" s="125" t="str">
        <f t="shared" si="149"/>
        <v>LIC72R/L G/P - Cert. of Deposits</v>
      </c>
      <c r="B1404" s="125">
        <f>+IFERROR(VLOOKUP(L1404,'TB mapping'!A:D,4,0),0)</f>
        <v>0</v>
      </c>
      <c r="C1404" s="125">
        <f>+IFERROR(VLOOKUP(L1404,'TB mapping'!A:C,3,0),0)</f>
        <v>5.3</v>
      </c>
      <c r="D1404" s="125" t="str">
        <f t="shared" si="150"/>
        <v>LIC720</v>
      </c>
      <c r="E1404" s="125" t="str">
        <f t="shared" si="151"/>
        <v>LIC725.3</v>
      </c>
      <c r="F1404" s="158" t="str">
        <f>+VLOOKUP(H1404,'code mapping'!A:C,3,0)</f>
        <v>LIC72</v>
      </c>
      <c r="G1404" s="127" t="s">
        <v>453</v>
      </c>
      <c r="H1404" s="127" t="s">
        <v>641</v>
      </c>
      <c r="I1404" s="127" t="s">
        <v>642</v>
      </c>
      <c r="J1404" s="128">
        <v>410000</v>
      </c>
      <c r="K1404" s="127" t="s">
        <v>522</v>
      </c>
      <c r="L1404" s="151">
        <v>412190</v>
      </c>
      <c r="M1404" s="128">
        <v>0</v>
      </c>
      <c r="N1404" s="127" t="s">
        <v>657</v>
      </c>
      <c r="O1404" s="127" t="s">
        <v>457</v>
      </c>
      <c r="P1404" s="128">
        <v>0</v>
      </c>
      <c r="Q1404" s="128">
        <v>9047.85</v>
      </c>
      <c r="R1404" s="128">
        <v>0</v>
      </c>
      <c r="S1404" s="128">
        <v>0</v>
      </c>
      <c r="T1404" s="128">
        <v>0</v>
      </c>
      <c r="U1404" s="128">
        <v>9047.85</v>
      </c>
      <c r="V1404" s="128">
        <v>0</v>
      </c>
      <c r="W1404" s="128">
        <v>9047.85</v>
      </c>
      <c r="X1404" s="128">
        <v>0</v>
      </c>
      <c r="Y1404" s="128">
        <v>0</v>
      </c>
      <c r="Z1404" s="128">
        <v>0</v>
      </c>
      <c r="AA1404" s="128">
        <v>9047.85</v>
      </c>
      <c r="AB1404" s="126">
        <f t="shared" si="152"/>
        <v>-9.0478500000000007E-4</v>
      </c>
      <c r="AC1404" s="122" t="s">
        <v>1838</v>
      </c>
      <c r="AD1404" s="123">
        <f t="shared" si="153"/>
        <v>0.39275882699999998</v>
      </c>
    </row>
    <row r="1405" spans="1:30" ht="12.75" hidden="1" customHeight="1">
      <c r="A1405" s="125" t="str">
        <f t="shared" si="149"/>
        <v>LIC72R/L G/P - CBLO</v>
      </c>
      <c r="B1405" s="125">
        <f>+IFERROR(VLOOKUP(L1405,'TB mapping'!A:D,4,0),0)</f>
        <v>0</v>
      </c>
      <c r="C1405" s="125">
        <f>+IFERROR(VLOOKUP(L1405,'TB mapping'!A:C,3,0),0)</f>
        <v>5.3</v>
      </c>
      <c r="D1405" s="125" t="str">
        <f t="shared" si="150"/>
        <v>LIC720</v>
      </c>
      <c r="E1405" s="125" t="str">
        <f t="shared" si="151"/>
        <v>LIC725.3</v>
      </c>
      <c r="F1405" s="158" t="str">
        <f>+VLOOKUP(H1405,'code mapping'!A:C,3,0)</f>
        <v>LIC72</v>
      </c>
      <c r="G1405" s="127" t="s">
        <v>453</v>
      </c>
      <c r="H1405" s="127" t="s">
        <v>641</v>
      </c>
      <c r="I1405" s="127" t="s">
        <v>642</v>
      </c>
      <c r="J1405" s="128">
        <v>410000</v>
      </c>
      <c r="K1405" s="127" t="s">
        <v>522</v>
      </c>
      <c r="L1405" s="151">
        <v>412228</v>
      </c>
      <c r="M1405" s="128">
        <v>0</v>
      </c>
      <c r="N1405" s="127" t="s">
        <v>658</v>
      </c>
      <c r="O1405" s="127" t="s">
        <v>457</v>
      </c>
      <c r="P1405" s="128">
        <v>0</v>
      </c>
      <c r="Q1405" s="128">
        <v>3909.35</v>
      </c>
      <c r="R1405" s="128">
        <v>0</v>
      </c>
      <c r="S1405" s="128">
        <v>0</v>
      </c>
      <c r="T1405" s="128">
        <v>0</v>
      </c>
      <c r="U1405" s="128">
        <v>3909.35</v>
      </c>
      <c r="V1405" s="128">
        <v>0</v>
      </c>
      <c r="W1405" s="128">
        <v>3909.35</v>
      </c>
      <c r="X1405" s="128">
        <v>0</v>
      </c>
      <c r="Y1405" s="128">
        <v>0</v>
      </c>
      <c r="Z1405" s="128">
        <v>0</v>
      </c>
      <c r="AA1405" s="128">
        <v>3909.35</v>
      </c>
      <c r="AB1405" s="126">
        <f t="shared" si="152"/>
        <v>-3.9093499999999997E-4</v>
      </c>
      <c r="AC1405" s="122" t="s">
        <v>1838</v>
      </c>
      <c r="AD1405" s="123">
        <f t="shared" si="153"/>
        <v>0.39275882699999998</v>
      </c>
    </row>
    <row r="1406" spans="1:30" ht="12.75" hidden="1" customHeight="1">
      <c r="A1406" s="125" t="str">
        <f t="shared" si="149"/>
        <v>LIC72Profit on Sale-Mutual Fd Units</v>
      </c>
      <c r="B1406" s="125">
        <f>+IFERROR(VLOOKUP(L1406,'TB mapping'!A:D,4,0),0)</f>
        <v>0</v>
      </c>
      <c r="C1406" s="125">
        <f>+IFERROR(VLOOKUP(L1406,'TB mapping'!A:C,3,0),0)</f>
        <v>5.3</v>
      </c>
      <c r="D1406" s="125" t="str">
        <f t="shared" si="150"/>
        <v>LIC720</v>
      </c>
      <c r="E1406" s="125" t="str">
        <f t="shared" si="151"/>
        <v>LIC725.3</v>
      </c>
      <c r="F1406" s="158" t="str">
        <f>+VLOOKUP(H1406,'code mapping'!A:C,3,0)</f>
        <v>LIC72</v>
      </c>
      <c r="G1406" s="127" t="s">
        <v>453</v>
      </c>
      <c r="H1406" s="127" t="s">
        <v>641</v>
      </c>
      <c r="I1406" s="127" t="s">
        <v>642</v>
      </c>
      <c r="J1406" s="128">
        <v>410000</v>
      </c>
      <c r="K1406" s="127" t="s">
        <v>522</v>
      </c>
      <c r="L1406" s="151">
        <v>415102</v>
      </c>
      <c r="M1406" s="128">
        <v>0</v>
      </c>
      <c r="N1406" s="127" t="s">
        <v>526</v>
      </c>
      <c r="O1406" s="127" t="s">
        <v>457</v>
      </c>
      <c r="P1406" s="128">
        <v>0</v>
      </c>
      <c r="Q1406" s="128">
        <v>1113046.52</v>
      </c>
      <c r="R1406" s="128">
        <v>0</v>
      </c>
      <c r="S1406" s="128">
        <v>0</v>
      </c>
      <c r="T1406" s="128">
        <v>0</v>
      </c>
      <c r="U1406" s="128">
        <v>1113046.52</v>
      </c>
      <c r="V1406" s="128">
        <v>0</v>
      </c>
      <c r="W1406" s="128">
        <v>1113046.52</v>
      </c>
      <c r="X1406" s="128">
        <v>0</v>
      </c>
      <c r="Y1406" s="128">
        <v>0</v>
      </c>
      <c r="Z1406" s="128">
        <v>0</v>
      </c>
      <c r="AA1406" s="128">
        <v>1113046.52</v>
      </c>
      <c r="AB1406" s="126">
        <f t="shared" si="152"/>
        <v>-0.111304652</v>
      </c>
      <c r="AC1406" s="122" t="s">
        <v>1838</v>
      </c>
      <c r="AD1406" s="123">
        <f t="shared" si="153"/>
        <v>0.39275882699999998</v>
      </c>
    </row>
    <row r="1407" spans="1:30" ht="12.75" hidden="1" customHeight="1">
      <c r="A1407" s="125" t="str">
        <f t="shared" si="149"/>
        <v>LIC72R/L Gain - Inter Sch Bond/Deb</v>
      </c>
      <c r="B1407" s="125">
        <f>+IFERROR(VLOOKUP(L1407,'TB mapping'!A:D,4,0),0)</f>
        <v>0</v>
      </c>
      <c r="C1407" s="125">
        <f>+IFERROR(VLOOKUP(L1407,'TB mapping'!A:C,3,0),0)</f>
        <v>5.4</v>
      </c>
      <c r="D1407" s="125" t="str">
        <f t="shared" si="150"/>
        <v>LIC720</v>
      </c>
      <c r="E1407" s="125" t="str">
        <f t="shared" si="151"/>
        <v>LIC725.4</v>
      </c>
      <c r="F1407" s="158" t="str">
        <f>+VLOOKUP(H1407,'code mapping'!A:C,3,0)</f>
        <v>LIC72</v>
      </c>
      <c r="G1407" s="127" t="s">
        <v>453</v>
      </c>
      <c r="H1407" s="127" t="s">
        <v>641</v>
      </c>
      <c r="I1407" s="127" t="s">
        <v>642</v>
      </c>
      <c r="J1407" s="128">
        <v>410000</v>
      </c>
      <c r="K1407" s="127" t="s">
        <v>522</v>
      </c>
      <c r="L1407" s="151">
        <v>427302</v>
      </c>
      <c r="M1407" s="128">
        <v>0</v>
      </c>
      <c r="N1407" s="127" t="s">
        <v>659</v>
      </c>
      <c r="O1407" s="127" t="s">
        <v>457</v>
      </c>
      <c r="P1407" s="128">
        <v>0</v>
      </c>
      <c r="Q1407" s="128">
        <v>13960550</v>
      </c>
      <c r="R1407" s="128">
        <v>0</v>
      </c>
      <c r="S1407" s="128">
        <v>0</v>
      </c>
      <c r="T1407" s="128">
        <v>0</v>
      </c>
      <c r="U1407" s="128">
        <v>13960550</v>
      </c>
      <c r="V1407" s="128">
        <v>0</v>
      </c>
      <c r="W1407" s="128">
        <v>13960550</v>
      </c>
      <c r="X1407" s="128">
        <v>0</v>
      </c>
      <c r="Y1407" s="128">
        <v>0</v>
      </c>
      <c r="Z1407" s="128">
        <v>0</v>
      </c>
      <c r="AA1407" s="128">
        <v>13960550</v>
      </c>
      <c r="AB1407" s="126">
        <f t="shared" si="152"/>
        <v>-1.396055</v>
      </c>
      <c r="AC1407" s="122" t="s">
        <v>1838</v>
      </c>
      <c r="AD1407" s="123">
        <f t="shared" si="153"/>
        <v>-1.3532728610000002</v>
      </c>
    </row>
    <row r="1408" spans="1:30" ht="12.75" hidden="1" customHeight="1">
      <c r="A1408" s="125" t="str">
        <f t="shared" si="149"/>
        <v>LIC72R/L Gain - Inter Scheme CP</v>
      </c>
      <c r="B1408" s="125">
        <f>+IFERROR(VLOOKUP(L1408,'TB mapping'!A:D,4,0),0)</f>
        <v>0</v>
      </c>
      <c r="C1408" s="125">
        <f>+IFERROR(VLOOKUP(L1408,'TB mapping'!A:C,3,0),0)</f>
        <v>5.4</v>
      </c>
      <c r="D1408" s="125" t="str">
        <f t="shared" si="150"/>
        <v>LIC720</v>
      </c>
      <c r="E1408" s="125" t="str">
        <f t="shared" si="151"/>
        <v>LIC725.4</v>
      </c>
      <c r="F1408" s="158" t="str">
        <f>+VLOOKUP(H1408,'code mapping'!A:C,3,0)</f>
        <v>LIC72</v>
      </c>
      <c r="G1408" s="127" t="s">
        <v>453</v>
      </c>
      <c r="H1408" s="127" t="s">
        <v>641</v>
      </c>
      <c r="I1408" s="127" t="s">
        <v>642</v>
      </c>
      <c r="J1408" s="128">
        <v>410000</v>
      </c>
      <c r="K1408" s="127" t="s">
        <v>522</v>
      </c>
      <c r="L1408" s="151">
        <v>427311</v>
      </c>
      <c r="M1408" s="128">
        <v>0</v>
      </c>
      <c r="N1408" s="127" t="s">
        <v>660</v>
      </c>
      <c r="O1408" s="127" t="s">
        <v>457</v>
      </c>
      <c r="P1408" s="128">
        <v>0</v>
      </c>
      <c r="Q1408" s="128">
        <v>36202.980000000003</v>
      </c>
      <c r="R1408" s="128">
        <v>0</v>
      </c>
      <c r="S1408" s="128">
        <v>0</v>
      </c>
      <c r="T1408" s="128">
        <v>0</v>
      </c>
      <c r="U1408" s="128">
        <v>36202.980000000003</v>
      </c>
      <c r="V1408" s="128">
        <v>0</v>
      </c>
      <c r="W1408" s="128">
        <v>36202.980000000003</v>
      </c>
      <c r="X1408" s="128">
        <v>0</v>
      </c>
      <c r="Y1408" s="128">
        <v>0</v>
      </c>
      <c r="Z1408" s="128">
        <v>0</v>
      </c>
      <c r="AA1408" s="128">
        <v>36202.980000000003</v>
      </c>
      <c r="AB1408" s="126">
        <f t="shared" si="152"/>
        <v>-3.6202980000000005E-3</v>
      </c>
      <c r="AC1408" s="122" t="s">
        <v>1838</v>
      </c>
      <c r="AD1408" s="123">
        <f t="shared" si="153"/>
        <v>-1.3532728610000002</v>
      </c>
    </row>
    <row r="1409" spans="1:30" ht="12.75" hidden="1" customHeight="1">
      <c r="A1409" s="125" t="str">
        <f t="shared" si="149"/>
        <v>LIC72R/L Gain - Inter SchemeT Bills</v>
      </c>
      <c r="B1409" s="125">
        <f>+IFERROR(VLOOKUP(L1409,'TB mapping'!A:D,4,0),0)</f>
        <v>0</v>
      </c>
      <c r="C1409" s="125">
        <f>+IFERROR(VLOOKUP(L1409,'TB mapping'!A:C,3,0),0)</f>
        <v>5.4</v>
      </c>
      <c r="D1409" s="125" t="str">
        <f t="shared" si="150"/>
        <v>LIC720</v>
      </c>
      <c r="E1409" s="125" t="str">
        <f t="shared" si="151"/>
        <v>LIC725.4</v>
      </c>
      <c r="F1409" s="158" t="str">
        <f>+VLOOKUP(H1409,'code mapping'!A:C,3,0)</f>
        <v>LIC72</v>
      </c>
      <c r="G1409" s="127" t="s">
        <v>453</v>
      </c>
      <c r="H1409" s="127" t="s">
        <v>641</v>
      </c>
      <c r="I1409" s="127" t="s">
        <v>642</v>
      </c>
      <c r="J1409" s="128">
        <v>410000</v>
      </c>
      <c r="K1409" s="127" t="s">
        <v>522</v>
      </c>
      <c r="L1409" s="151">
        <v>427313</v>
      </c>
      <c r="M1409" s="128">
        <v>0</v>
      </c>
      <c r="N1409" s="127" t="s">
        <v>631</v>
      </c>
      <c r="O1409" s="127" t="s">
        <v>457</v>
      </c>
      <c r="P1409" s="128">
        <v>0</v>
      </c>
      <c r="Q1409" s="128">
        <v>35455.919999999998</v>
      </c>
      <c r="R1409" s="128">
        <v>0</v>
      </c>
      <c r="S1409" s="128">
        <v>0</v>
      </c>
      <c r="T1409" s="128">
        <v>0</v>
      </c>
      <c r="U1409" s="128">
        <v>35455.919999999998</v>
      </c>
      <c r="V1409" s="128">
        <v>0</v>
      </c>
      <c r="W1409" s="128">
        <v>35455.919999999998</v>
      </c>
      <c r="X1409" s="128">
        <v>0</v>
      </c>
      <c r="Y1409" s="128">
        <v>0</v>
      </c>
      <c r="Z1409" s="128">
        <v>0</v>
      </c>
      <c r="AA1409" s="128">
        <v>35455.919999999998</v>
      </c>
      <c r="AB1409" s="126">
        <f t="shared" si="152"/>
        <v>-3.5455919999999998E-3</v>
      </c>
      <c r="AC1409" s="122" t="s">
        <v>1838</v>
      </c>
      <c r="AD1409" s="123">
        <f t="shared" si="153"/>
        <v>-1.3532728610000002</v>
      </c>
    </row>
    <row r="1410" spans="1:30" ht="12.75" hidden="1" customHeight="1">
      <c r="A1410" s="125" t="str">
        <f t="shared" si="149"/>
        <v>LIC72UR/L G/P - Treasury Bills</v>
      </c>
      <c r="B1410" s="125">
        <f>+IFERROR(VLOOKUP(L1410,'TB mapping'!A:D,4,0),0)</f>
        <v>0</v>
      </c>
      <c r="C1410" s="125" t="str">
        <f>+IFERROR(VLOOKUP(L1410,'TB mapping'!A:C,3,0),0)</f>
        <v>Ignore</v>
      </c>
      <c r="D1410" s="125" t="str">
        <f t="shared" si="150"/>
        <v>LIC720</v>
      </c>
      <c r="E1410" s="125" t="str">
        <f t="shared" si="151"/>
        <v>LIC72Ignore</v>
      </c>
      <c r="F1410" s="158" t="str">
        <f>+VLOOKUP(H1410,'code mapping'!A:C,3,0)</f>
        <v>LIC72</v>
      </c>
      <c r="G1410" s="127" t="s">
        <v>453</v>
      </c>
      <c r="H1410" s="127" t="s">
        <v>641</v>
      </c>
      <c r="I1410" s="127" t="s">
        <v>642</v>
      </c>
      <c r="J1410" s="128">
        <v>430000</v>
      </c>
      <c r="K1410" s="127" t="s">
        <v>528</v>
      </c>
      <c r="L1410" s="151">
        <v>432110</v>
      </c>
      <c r="M1410" s="128">
        <v>0</v>
      </c>
      <c r="N1410" s="127" t="s">
        <v>661</v>
      </c>
      <c r="O1410" s="127" t="s">
        <v>457</v>
      </c>
      <c r="P1410" s="128">
        <v>0</v>
      </c>
      <c r="Q1410" s="128">
        <v>214170</v>
      </c>
      <c r="R1410" s="128">
        <v>0</v>
      </c>
      <c r="S1410" s="128">
        <v>0</v>
      </c>
      <c r="T1410" s="128">
        <v>0</v>
      </c>
      <c r="U1410" s="128">
        <v>214170</v>
      </c>
      <c r="V1410" s="128">
        <v>0</v>
      </c>
      <c r="W1410" s="128">
        <v>214170</v>
      </c>
      <c r="X1410" s="128">
        <v>0</v>
      </c>
      <c r="Y1410" s="128">
        <v>0</v>
      </c>
      <c r="Z1410" s="128">
        <v>0</v>
      </c>
      <c r="AA1410" s="128">
        <v>214170</v>
      </c>
      <c r="AB1410" s="126">
        <f t="shared" si="152"/>
        <v>-2.1416999999999999E-2</v>
      </c>
      <c r="AC1410" s="122" t="s">
        <v>1838</v>
      </c>
      <c r="AD1410" s="123">
        <f>SUMIF(C:C,C1410,AB:AB)</f>
        <v>-291.7660984179999</v>
      </c>
    </row>
    <row r="1411" spans="1:30" ht="12.75" hidden="1" customHeight="1">
      <c r="A1411" s="125" t="str">
        <f t="shared" si="149"/>
        <v>LIC72UR/L G/P - Corp Bond/Debenture</v>
      </c>
      <c r="B1411" s="125">
        <f>+IFERROR(VLOOKUP(L1411,'TB mapping'!A:D,4,0),0)</f>
        <v>0</v>
      </c>
      <c r="C1411" s="125" t="str">
        <f>+IFERROR(VLOOKUP(L1411,'TB mapping'!A:C,3,0),0)</f>
        <v>Ignore</v>
      </c>
      <c r="D1411" s="125" t="str">
        <f t="shared" si="150"/>
        <v>LIC720</v>
      </c>
      <c r="E1411" s="125" t="str">
        <f t="shared" si="151"/>
        <v>LIC72Ignore</v>
      </c>
      <c r="F1411" s="158" t="str">
        <f>+VLOOKUP(H1411,'code mapping'!A:C,3,0)</f>
        <v>LIC72</v>
      </c>
      <c r="G1411" s="127" t="s">
        <v>453</v>
      </c>
      <c r="H1411" s="127" t="s">
        <v>641</v>
      </c>
      <c r="I1411" s="127" t="s">
        <v>642</v>
      </c>
      <c r="J1411" s="128">
        <v>430000</v>
      </c>
      <c r="K1411" s="127" t="s">
        <v>528</v>
      </c>
      <c r="L1411" s="151">
        <v>432120</v>
      </c>
      <c r="M1411" s="128">
        <v>0</v>
      </c>
      <c r="N1411" s="127" t="s">
        <v>529</v>
      </c>
      <c r="O1411" s="127" t="s">
        <v>457</v>
      </c>
      <c r="P1411" s="128">
        <v>0</v>
      </c>
      <c r="Q1411" s="128">
        <v>6207924</v>
      </c>
      <c r="R1411" s="128">
        <v>0</v>
      </c>
      <c r="S1411" s="128">
        <v>0</v>
      </c>
      <c r="T1411" s="128">
        <v>0</v>
      </c>
      <c r="U1411" s="128">
        <v>6207924</v>
      </c>
      <c r="V1411" s="128">
        <v>0</v>
      </c>
      <c r="W1411" s="128">
        <v>6207924</v>
      </c>
      <c r="X1411" s="128">
        <v>0</v>
      </c>
      <c r="Y1411" s="128">
        <v>0</v>
      </c>
      <c r="Z1411" s="128">
        <v>0</v>
      </c>
      <c r="AA1411" s="128">
        <v>6207924</v>
      </c>
      <c r="AB1411" s="126">
        <f t="shared" si="152"/>
        <v>-0.62079240000000002</v>
      </c>
      <c r="AC1411" s="122" t="s">
        <v>1838</v>
      </c>
      <c r="AD1411" s="123">
        <f>SUMIF(C:C,C1411,AB:AB)</f>
        <v>-291.7660984179999</v>
      </c>
    </row>
    <row r="1412" spans="1:30" ht="12.75" hidden="1" customHeight="1">
      <c r="A1412" s="125" t="str">
        <f t="shared" si="149"/>
        <v>LIC72UR/L G/P - Government Bonds</v>
      </c>
      <c r="B1412" s="125">
        <f>+IFERROR(VLOOKUP(L1412,'TB mapping'!A:D,4,0),0)</f>
        <v>0</v>
      </c>
      <c r="C1412" s="125" t="str">
        <f>+IFERROR(VLOOKUP(L1412,'TB mapping'!A:C,3,0),0)</f>
        <v>Ignore</v>
      </c>
      <c r="D1412" s="125" t="str">
        <f t="shared" si="150"/>
        <v>LIC720</v>
      </c>
      <c r="E1412" s="125" t="str">
        <f t="shared" si="151"/>
        <v>LIC72Ignore</v>
      </c>
      <c r="F1412" s="158" t="str">
        <f>+VLOOKUP(H1412,'code mapping'!A:C,3,0)</f>
        <v>LIC72</v>
      </c>
      <c r="G1412" s="127" t="s">
        <v>453</v>
      </c>
      <c r="H1412" s="127" t="s">
        <v>641</v>
      </c>
      <c r="I1412" s="127" t="s">
        <v>642</v>
      </c>
      <c r="J1412" s="128">
        <v>430000</v>
      </c>
      <c r="K1412" s="127" t="s">
        <v>528</v>
      </c>
      <c r="L1412" s="151">
        <v>432130</v>
      </c>
      <c r="M1412" s="128">
        <v>0</v>
      </c>
      <c r="N1412" s="127" t="s">
        <v>530</v>
      </c>
      <c r="O1412" s="127" t="s">
        <v>457</v>
      </c>
      <c r="P1412" s="128">
        <v>-610750</v>
      </c>
      <c r="Q1412" s="128">
        <v>0</v>
      </c>
      <c r="R1412" s="128">
        <v>0</v>
      </c>
      <c r="S1412" s="128">
        <v>0</v>
      </c>
      <c r="T1412" s="128">
        <v>-610750</v>
      </c>
      <c r="U1412" s="128">
        <v>0</v>
      </c>
      <c r="V1412" s="128">
        <v>-610750</v>
      </c>
      <c r="W1412" s="128">
        <v>0</v>
      </c>
      <c r="X1412" s="128">
        <v>0</v>
      </c>
      <c r="Y1412" s="128">
        <v>0</v>
      </c>
      <c r="Z1412" s="128">
        <v>-610750</v>
      </c>
      <c r="AA1412" s="128">
        <v>0</v>
      </c>
      <c r="AB1412" s="126">
        <f t="shared" si="152"/>
        <v>6.1074999999999997E-2</v>
      </c>
      <c r="AC1412" s="122" t="s">
        <v>1838</v>
      </c>
      <c r="AD1412" s="123">
        <f>SUMIF(C:C,C1412,AB:AB)</f>
        <v>-291.7660984179999</v>
      </c>
    </row>
    <row r="1413" spans="1:30" ht="12.75" hidden="1" customHeight="1">
      <c r="A1413" s="125" t="str">
        <f t="shared" si="149"/>
        <v>LIC72Amort Income -Treasury Bills</v>
      </c>
      <c r="B1413" s="125">
        <f>+IFERROR(VLOOKUP(L1413,'TB mapping'!A:D,4,0),0)</f>
        <v>0</v>
      </c>
      <c r="C1413" s="125">
        <f>+IFERROR(VLOOKUP(L1413,'TB mapping'!A:C,3,0),0)</f>
        <v>5.2</v>
      </c>
      <c r="D1413" s="125" t="str">
        <f t="shared" si="150"/>
        <v>LIC720</v>
      </c>
      <c r="E1413" s="125" t="str">
        <f t="shared" si="151"/>
        <v>LIC725.2</v>
      </c>
      <c r="F1413" s="158" t="str">
        <f>+VLOOKUP(H1413,'code mapping'!A:C,3,0)</f>
        <v>LIC72</v>
      </c>
      <c r="G1413" s="127" t="s">
        <v>453</v>
      </c>
      <c r="H1413" s="127" t="s">
        <v>641</v>
      </c>
      <c r="I1413" s="127" t="s">
        <v>642</v>
      </c>
      <c r="J1413" s="128">
        <v>450000</v>
      </c>
      <c r="K1413" s="127" t="s">
        <v>532</v>
      </c>
      <c r="L1413" s="151">
        <v>452110</v>
      </c>
      <c r="M1413" s="128">
        <v>0</v>
      </c>
      <c r="N1413" s="127" t="s">
        <v>632</v>
      </c>
      <c r="O1413" s="127" t="s">
        <v>457</v>
      </c>
      <c r="P1413" s="128">
        <v>0</v>
      </c>
      <c r="Q1413" s="128">
        <v>72448964.170000002</v>
      </c>
      <c r="R1413" s="128">
        <v>0</v>
      </c>
      <c r="S1413" s="128">
        <v>0</v>
      </c>
      <c r="T1413" s="128">
        <v>0</v>
      </c>
      <c r="U1413" s="128">
        <v>72448964.170000002</v>
      </c>
      <c r="V1413" s="128">
        <v>0</v>
      </c>
      <c r="W1413" s="128">
        <v>72448964.170000002</v>
      </c>
      <c r="X1413" s="128">
        <v>0</v>
      </c>
      <c r="Y1413" s="128">
        <v>0</v>
      </c>
      <c r="Z1413" s="128">
        <v>0</v>
      </c>
      <c r="AA1413" s="128">
        <v>72448964.170000002</v>
      </c>
      <c r="AB1413" s="126">
        <f t="shared" si="152"/>
        <v>-7.2448964170000005</v>
      </c>
      <c r="AC1413" s="122" t="s">
        <v>1838</v>
      </c>
      <c r="AD1413" s="123">
        <f t="shared" ref="AD1413:AD1444" si="154">SUMIF(E:E,E1413,AB:AB)</f>
        <v>-22.478745577000002</v>
      </c>
    </row>
    <row r="1414" spans="1:30" ht="12.75" hidden="1" customHeight="1">
      <c r="A1414" s="125" t="str">
        <f t="shared" si="149"/>
        <v>LIC72Interest Income - CCIL Margin</v>
      </c>
      <c r="B1414" s="125">
        <f>+IFERROR(VLOOKUP(L1414,'TB mapping'!A:D,4,0),0)</f>
        <v>0</v>
      </c>
      <c r="C1414" s="125">
        <f>+IFERROR(VLOOKUP(L1414,'TB mapping'!A:C,3,0),0)</f>
        <v>5.2</v>
      </c>
      <c r="D1414" s="125" t="str">
        <f t="shared" si="150"/>
        <v>LIC720</v>
      </c>
      <c r="E1414" s="125" t="str">
        <f t="shared" si="151"/>
        <v>LIC725.2</v>
      </c>
      <c r="F1414" s="158" t="str">
        <f>+VLOOKUP(H1414,'code mapping'!A:C,3,0)</f>
        <v>LIC72</v>
      </c>
      <c r="G1414" s="127" t="s">
        <v>453</v>
      </c>
      <c r="H1414" s="127" t="s">
        <v>641</v>
      </c>
      <c r="I1414" s="127" t="s">
        <v>642</v>
      </c>
      <c r="J1414" s="128">
        <v>450000</v>
      </c>
      <c r="K1414" s="127" t="s">
        <v>532</v>
      </c>
      <c r="L1414" s="151">
        <v>452111</v>
      </c>
      <c r="M1414" s="128">
        <v>0</v>
      </c>
      <c r="N1414" s="127" t="s">
        <v>533</v>
      </c>
      <c r="O1414" s="127" t="s">
        <v>457</v>
      </c>
      <c r="P1414" s="128">
        <v>0</v>
      </c>
      <c r="Q1414" s="128">
        <v>5588.81</v>
      </c>
      <c r="R1414" s="128">
        <v>0</v>
      </c>
      <c r="S1414" s="128">
        <v>0</v>
      </c>
      <c r="T1414" s="128">
        <v>0</v>
      </c>
      <c r="U1414" s="128">
        <v>5588.81</v>
      </c>
      <c r="V1414" s="128">
        <v>0</v>
      </c>
      <c r="W1414" s="128">
        <v>5588.81</v>
      </c>
      <c r="X1414" s="128">
        <v>0</v>
      </c>
      <c r="Y1414" s="128">
        <v>0</v>
      </c>
      <c r="Z1414" s="128">
        <v>0</v>
      </c>
      <c r="AA1414" s="128">
        <v>5588.81</v>
      </c>
      <c r="AB1414" s="126">
        <f t="shared" si="152"/>
        <v>-5.58881E-4</v>
      </c>
      <c r="AC1414" s="122" t="s">
        <v>1838</v>
      </c>
      <c r="AD1414" s="123">
        <f t="shared" si="154"/>
        <v>-22.478745577000002</v>
      </c>
    </row>
    <row r="1415" spans="1:30" ht="12.75" hidden="1" customHeight="1">
      <c r="A1415" s="125" t="str">
        <f t="shared" si="149"/>
        <v>LIC72Int Income - Corporate Bonds</v>
      </c>
      <c r="B1415" s="125">
        <f>+IFERROR(VLOOKUP(L1415,'TB mapping'!A:D,4,0),0)</f>
        <v>0</v>
      </c>
      <c r="C1415" s="125">
        <f>+IFERROR(VLOOKUP(L1415,'TB mapping'!A:C,3,0),0)</f>
        <v>5.2</v>
      </c>
      <c r="D1415" s="125" t="str">
        <f t="shared" si="150"/>
        <v>LIC720</v>
      </c>
      <c r="E1415" s="125" t="str">
        <f t="shared" si="151"/>
        <v>LIC725.2</v>
      </c>
      <c r="F1415" s="158" t="str">
        <f>+VLOOKUP(H1415,'code mapping'!A:C,3,0)</f>
        <v>LIC72</v>
      </c>
      <c r="G1415" s="127" t="s">
        <v>453</v>
      </c>
      <c r="H1415" s="127" t="s">
        <v>641</v>
      </c>
      <c r="I1415" s="127" t="s">
        <v>642</v>
      </c>
      <c r="J1415" s="128">
        <v>450000</v>
      </c>
      <c r="K1415" s="127" t="s">
        <v>532</v>
      </c>
      <c r="L1415" s="151">
        <v>452120</v>
      </c>
      <c r="M1415" s="128">
        <v>0</v>
      </c>
      <c r="N1415" s="127" t="s">
        <v>534</v>
      </c>
      <c r="O1415" s="127" t="s">
        <v>457</v>
      </c>
      <c r="P1415" s="128">
        <v>0</v>
      </c>
      <c r="Q1415" s="128">
        <v>84702428.769999996</v>
      </c>
      <c r="R1415" s="128">
        <v>0</v>
      </c>
      <c r="S1415" s="128">
        <v>0</v>
      </c>
      <c r="T1415" s="128">
        <v>0</v>
      </c>
      <c r="U1415" s="128">
        <v>84702428.769999996</v>
      </c>
      <c r="V1415" s="128">
        <v>0</v>
      </c>
      <c r="W1415" s="128">
        <v>84702428.769999996</v>
      </c>
      <c r="X1415" s="128">
        <v>0</v>
      </c>
      <c r="Y1415" s="128">
        <v>0</v>
      </c>
      <c r="Z1415" s="128">
        <v>0</v>
      </c>
      <c r="AA1415" s="128">
        <v>84702428.769999996</v>
      </c>
      <c r="AB1415" s="126">
        <f t="shared" si="152"/>
        <v>-8.4702428770000004</v>
      </c>
      <c r="AC1415" s="122" t="s">
        <v>1838</v>
      </c>
      <c r="AD1415" s="123">
        <f t="shared" si="154"/>
        <v>-22.478745577000002</v>
      </c>
    </row>
    <row r="1416" spans="1:30" ht="12.75" hidden="1" customHeight="1">
      <c r="A1416" s="125" t="str">
        <f t="shared" si="149"/>
        <v>LIC72Int Income - Government Bonds</v>
      </c>
      <c r="B1416" s="125">
        <f>+IFERROR(VLOOKUP(L1416,'TB mapping'!A:D,4,0),0)</f>
        <v>0</v>
      </c>
      <c r="C1416" s="125">
        <f>+IFERROR(VLOOKUP(L1416,'TB mapping'!A:C,3,0),0)</f>
        <v>5.2</v>
      </c>
      <c r="D1416" s="125" t="str">
        <f t="shared" si="150"/>
        <v>LIC720</v>
      </c>
      <c r="E1416" s="125" t="str">
        <f t="shared" si="151"/>
        <v>LIC725.2</v>
      </c>
      <c r="F1416" s="158" t="str">
        <f>+VLOOKUP(H1416,'code mapping'!A:C,3,0)</f>
        <v>LIC72</v>
      </c>
      <c r="G1416" s="127" t="s">
        <v>453</v>
      </c>
      <c r="H1416" s="127" t="s">
        <v>641</v>
      </c>
      <c r="I1416" s="127" t="s">
        <v>642</v>
      </c>
      <c r="J1416" s="128">
        <v>450000</v>
      </c>
      <c r="K1416" s="127" t="s">
        <v>532</v>
      </c>
      <c r="L1416" s="151">
        <v>452130</v>
      </c>
      <c r="M1416" s="128">
        <v>0</v>
      </c>
      <c r="N1416" s="127" t="s">
        <v>535</v>
      </c>
      <c r="O1416" s="127" t="s">
        <v>457</v>
      </c>
      <c r="P1416" s="128">
        <v>0</v>
      </c>
      <c r="Q1416" s="128">
        <v>2235361.94</v>
      </c>
      <c r="R1416" s="128">
        <v>0</v>
      </c>
      <c r="S1416" s="128">
        <v>0</v>
      </c>
      <c r="T1416" s="128">
        <v>0</v>
      </c>
      <c r="U1416" s="128">
        <v>2235361.94</v>
      </c>
      <c r="V1416" s="128">
        <v>0</v>
      </c>
      <c r="W1416" s="128">
        <v>2235361.94</v>
      </c>
      <c r="X1416" s="128">
        <v>0</v>
      </c>
      <c r="Y1416" s="128">
        <v>0</v>
      </c>
      <c r="Z1416" s="128">
        <v>0</v>
      </c>
      <c r="AA1416" s="128">
        <v>2235361.94</v>
      </c>
      <c r="AB1416" s="126">
        <f t="shared" si="152"/>
        <v>-0.22353619399999999</v>
      </c>
      <c r="AC1416" s="122" t="s">
        <v>1838</v>
      </c>
      <c r="AD1416" s="123">
        <f t="shared" si="154"/>
        <v>-22.478745577000002</v>
      </c>
    </row>
    <row r="1417" spans="1:30" ht="12.75" hidden="1" customHeight="1">
      <c r="A1417" s="125" t="str">
        <f t="shared" si="149"/>
        <v>LIC72Amort. Income - CP</v>
      </c>
      <c r="B1417" s="125">
        <f>+IFERROR(VLOOKUP(L1417,'TB mapping'!A:D,4,0),0)</f>
        <v>0</v>
      </c>
      <c r="C1417" s="125">
        <f>+IFERROR(VLOOKUP(L1417,'TB mapping'!A:C,3,0),0)</f>
        <v>5.2</v>
      </c>
      <c r="D1417" s="125" t="str">
        <f t="shared" si="150"/>
        <v>LIC720</v>
      </c>
      <c r="E1417" s="125" t="str">
        <f t="shared" si="151"/>
        <v>LIC725.2</v>
      </c>
      <c r="F1417" s="158" t="str">
        <f>+VLOOKUP(H1417,'code mapping'!A:C,3,0)</f>
        <v>LIC72</v>
      </c>
      <c r="G1417" s="127" t="s">
        <v>453</v>
      </c>
      <c r="H1417" s="127" t="s">
        <v>641</v>
      </c>
      <c r="I1417" s="127" t="s">
        <v>642</v>
      </c>
      <c r="J1417" s="128">
        <v>450000</v>
      </c>
      <c r="K1417" s="127" t="s">
        <v>532</v>
      </c>
      <c r="L1417" s="151">
        <v>452180</v>
      </c>
      <c r="M1417" s="128">
        <v>0</v>
      </c>
      <c r="N1417" s="127" t="s">
        <v>663</v>
      </c>
      <c r="O1417" s="127" t="s">
        <v>457</v>
      </c>
      <c r="P1417" s="128">
        <v>0</v>
      </c>
      <c r="Q1417" s="128">
        <v>27455150.620000001</v>
      </c>
      <c r="R1417" s="128">
        <v>0</v>
      </c>
      <c r="S1417" s="128">
        <v>0</v>
      </c>
      <c r="T1417" s="128">
        <v>0</v>
      </c>
      <c r="U1417" s="128">
        <v>27455150.620000001</v>
      </c>
      <c r="V1417" s="128">
        <v>0</v>
      </c>
      <c r="W1417" s="128">
        <v>27455150.620000001</v>
      </c>
      <c r="X1417" s="128">
        <v>0</v>
      </c>
      <c r="Y1417" s="128">
        <v>0</v>
      </c>
      <c r="Z1417" s="128">
        <v>0</v>
      </c>
      <c r="AA1417" s="128">
        <v>27455150.620000001</v>
      </c>
      <c r="AB1417" s="126">
        <f t="shared" si="152"/>
        <v>-2.745515062</v>
      </c>
      <c r="AC1417" s="122" t="s">
        <v>1838</v>
      </c>
      <c r="AD1417" s="123">
        <f t="shared" si="154"/>
        <v>-22.478745577000002</v>
      </c>
    </row>
    <row r="1418" spans="1:30" ht="12.75" hidden="1" customHeight="1">
      <c r="A1418" s="125" t="str">
        <f t="shared" si="149"/>
        <v>LIC72Amort. Income - CD</v>
      </c>
      <c r="B1418" s="125">
        <f>+IFERROR(VLOOKUP(L1418,'TB mapping'!A:D,4,0),0)</f>
        <v>0</v>
      </c>
      <c r="C1418" s="125">
        <f>+IFERROR(VLOOKUP(L1418,'TB mapping'!A:C,3,0),0)</f>
        <v>5.2</v>
      </c>
      <c r="D1418" s="125" t="str">
        <f t="shared" si="150"/>
        <v>LIC720</v>
      </c>
      <c r="E1418" s="125" t="str">
        <f t="shared" si="151"/>
        <v>LIC725.2</v>
      </c>
      <c r="F1418" s="158" t="str">
        <f>+VLOOKUP(H1418,'code mapping'!A:C,3,0)</f>
        <v>LIC72</v>
      </c>
      <c r="G1418" s="127" t="s">
        <v>453</v>
      </c>
      <c r="H1418" s="127" t="s">
        <v>641</v>
      </c>
      <c r="I1418" s="127" t="s">
        <v>642</v>
      </c>
      <c r="J1418" s="128">
        <v>450000</v>
      </c>
      <c r="K1418" s="127" t="s">
        <v>532</v>
      </c>
      <c r="L1418" s="151">
        <v>452181</v>
      </c>
      <c r="M1418" s="128">
        <v>0</v>
      </c>
      <c r="N1418" s="127" t="s">
        <v>664</v>
      </c>
      <c r="O1418" s="127" t="s">
        <v>457</v>
      </c>
      <c r="P1418" s="128">
        <v>0</v>
      </c>
      <c r="Q1418" s="128">
        <v>16337874.85</v>
      </c>
      <c r="R1418" s="128">
        <v>0</v>
      </c>
      <c r="S1418" s="128">
        <v>0</v>
      </c>
      <c r="T1418" s="128">
        <v>0</v>
      </c>
      <c r="U1418" s="128">
        <v>16337874.85</v>
      </c>
      <c r="V1418" s="128">
        <v>0</v>
      </c>
      <c r="W1418" s="128">
        <v>16337874.85</v>
      </c>
      <c r="X1418" s="128">
        <v>0</v>
      </c>
      <c r="Y1418" s="128">
        <v>0</v>
      </c>
      <c r="Z1418" s="128">
        <v>0</v>
      </c>
      <c r="AA1418" s="128">
        <v>16337874.85</v>
      </c>
      <c r="AB1418" s="126">
        <f t="shared" si="152"/>
        <v>-1.633787485</v>
      </c>
      <c r="AC1418" s="122" t="s">
        <v>1838</v>
      </c>
      <c r="AD1418" s="123">
        <f t="shared" si="154"/>
        <v>-22.478745577000002</v>
      </c>
    </row>
    <row r="1419" spans="1:30" ht="12.75" hidden="1" customHeight="1">
      <c r="A1419" s="125" t="str">
        <f t="shared" si="149"/>
        <v>LIC72Amort. Income - CBLO</v>
      </c>
      <c r="B1419" s="125">
        <f>+IFERROR(VLOOKUP(L1419,'TB mapping'!A:D,4,0),0)</f>
        <v>0</v>
      </c>
      <c r="C1419" s="125">
        <f>+IFERROR(VLOOKUP(L1419,'TB mapping'!A:C,3,0),0)</f>
        <v>5.2</v>
      </c>
      <c r="D1419" s="125" t="str">
        <f t="shared" si="150"/>
        <v>LIC720</v>
      </c>
      <c r="E1419" s="125" t="str">
        <f t="shared" si="151"/>
        <v>LIC725.2</v>
      </c>
      <c r="F1419" s="158" t="str">
        <f>+VLOOKUP(H1419,'code mapping'!A:C,3,0)</f>
        <v>LIC72</v>
      </c>
      <c r="G1419" s="127" t="s">
        <v>453</v>
      </c>
      <c r="H1419" s="127" t="s">
        <v>641</v>
      </c>
      <c r="I1419" s="127" t="s">
        <v>642</v>
      </c>
      <c r="J1419" s="128">
        <v>450000</v>
      </c>
      <c r="K1419" s="127" t="s">
        <v>532</v>
      </c>
      <c r="L1419" s="151">
        <v>452228</v>
      </c>
      <c r="M1419" s="128">
        <v>0</v>
      </c>
      <c r="N1419" s="127" t="s">
        <v>537</v>
      </c>
      <c r="O1419" s="127" t="s">
        <v>457</v>
      </c>
      <c r="P1419" s="128">
        <v>0</v>
      </c>
      <c r="Q1419" s="128">
        <v>19102406.75</v>
      </c>
      <c r="R1419" s="128">
        <v>0</v>
      </c>
      <c r="S1419" s="128">
        <v>0</v>
      </c>
      <c r="T1419" s="128">
        <v>0</v>
      </c>
      <c r="U1419" s="128">
        <v>19102406.75</v>
      </c>
      <c r="V1419" s="128">
        <v>0</v>
      </c>
      <c r="W1419" s="128">
        <v>19102406.75</v>
      </c>
      <c r="X1419" s="128">
        <v>0</v>
      </c>
      <c r="Y1419" s="128">
        <v>0</v>
      </c>
      <c r="Z1419" s="128">
        <v>0</v>
      </c>
      <c r="AA1419" s="128">
        <v>19102406.75</v>
      </c>
      <c r="AB1419" s="126">
        <f t="shared" si="152"/>
        <v>-1.9102406750000001</v>
      </c>
      <c r="AC1419" s="122" t="s">
        <v>1838</v>
      </c>
      <c r="AD1419" s="123">
        <f t="shared" si="154"/>
        <v>-22.478745577000002</v>
      </c>
    </row>
    <row r="1420" spans="1:30" ht="12.75" hidden="1" customHeight="1">
      <c r="A1420" s="125" t="str">
        <f t="shared" si="149"/>
        <v>LIC72Int Income - Repo Deposits</v>
      </c>
      <c r="B1420" s="125">
        <f>+IFERROR(VLOOKUP(L1420,'TB mapping'!A:D,4,0),0)</f>
        <v>0</v>
      </c>
      <c r="C1420" s="125">
        <f>+IFERROR(VLOOKUP(L1420,'TB mapping'!A:C,3,0),0)</f>
        <v>5.2</v>
      </c>
      <c r="D1420" s="125" t="str">
        <f t="shared" si="150"/>
        <v>LIC720</v>
      </c>
      <c r="E1420" s="125" t="str">
        <f t="shared" si="151"/>
        <v>LIC725.2</v>
      </c>
      <c r="F1420" s="158" t="str">
        <f>+VLOOKUP(H1420,'code mapping'!A:C,3,0)</f>
        <v>LIC72</v>
      </c>
      <c r="G1420" s="127" t="s">
        <v>453</v>
      </c>
      <c r="H1420" s="127" t="s">
        <v>641</v>
      </c>
      <c r="I1420" s="127" t="s">
        <v>642</v>
      </c>
      <c r="J1420" s="128">
        <v>450000</v>
      </c>
      <c r="K1420" s="127" t="s">
        <v>532</v>
      </c>
      <c r="L1420" s="151">
        <v>452230</v>
      </c>
      <c r="M1420" s="128">
        <v>0</v>
      </c>
      <c r="N1420" s="127" t="s">
        <v>538</v>
      </c>
      <c r="O1420" s="127" t="s">
        <v>457</v>
      </c>
      <c r="P1420" s="128">
        <v>0</v>
      </c>
      <c r="Q1420" s="128">
        <v>2499679.86</v>
      </c>
      <c r="R1420" s="128">
        <v>0</v>
      </c>
      <c r="S1420" s="128">
        <v>0</v>
      </c>
      <c r="T1420" s="128">
        <v>0</v>
      </c>
      <c r="U1420" s="128">
        <v>2499679.86</v>
      </c>
      <c r="V1420" s="128">
        <v>0</v>
      </c>
      <c r="W1420" s="128">
        <v>2499679.86</v>
      </c>
      <c r="X1420" s="128">
        <v>0</v>
      </c>
      <c r="Y1420" s="128">
        <v>0</v>
      </c>
      <c r="Z1420" s="128">
        <v>0</v>
      </c>
      <c r="AA1420" s="128">
        <v>2499679.86</v>
      </c>
      <c r="AB1420" s="126">
        <f t="shared" si="152"/>
        <v>-0.24996798599999998</v>
      </c>
      <c r="AC1420" s="122" t="s">
        <v>1838</v>
      </c>
      <c r="AD1420" s="123">
        <f t="shared" si="154"/>
        <v>-22.478745577000002</v>
      </c>
    </row>
    <row r="1421" spans="1:30" ht="12.75" hidden="1" customHeight="1">
      <c r="A1421" s="125" t="str">
        <f t="shared" si="149"/>
        <v>LIC72Load Income</v>
      </c>
      <c r="B1421" s="125">
        <f>+IFERROR(VLOOKUP(L1421,'TB mapping'!A:D,4,0),0)</f>
        <v>0</v>
      </c>
      <c r="C1421" s="125">
        <f>+IFERROR(VLOOKUP(L1421,'TB mapping'!A:C,3,0),0)</f>
        <v>5.5</v>
      </c>
      <c r="D1421" s="125" t="str">
        <f t="shared" si="150"/>
        <v>LIC720</v>
      </c>
      <c r="E1421" s="125" t="str">
        <f t="shared" si="151"/>
        <v>LIC725.5</v>
      </c>
      <c r="F1421" s="158" t="str">
        <f>+VLOOKUP(H1421,'code mapping'!A:C,3,0)</f>
        <v>LIC72</v>
      </c>
      <c r="G1421" s="127" t="s">
        <v>453</v>
      </c>
      <c r="H1421" s="127" t="s">
        <v>641</v>
      </c>
      <c r="I1421" s="127" t="s">
        <v>642</v>
      </c>
      <c r="J1421" s="128">
        <v>460000</v>
      </c>
      <c r="K1421" s="127" t="s">
        <v>539</v>
      </c>
      <c r="L1421" s="151">
        <v>455103</v>
      </c>
      <c r="M1421" s="128">
        <v>0</v>
      </c>
      <c r="N1421" s="127" t="s">
        <v>540</v>
      </c>
      <c r="O1421" s="127" t="s">
        <v>457</v>
      </c>
      <c r="P1421" s="128">
        <v>0</v>
      </c>
      <c r="Q1421" s="128">
        <v>50261.11</v>
      </c>
      <c r="R1421" s="128">
        <v>0</v>
      </c>
      <c r="S1421" s="128">
        <v>0</v>
      </c>
      <c r="T1421" s="128">
        <v>0</v>
      </c>
      <c r="U1421" s="128">
        <v>50261.11</v>
      </c>
      <c r="V1421" s="128">
        <v>0</v>
      </c>
      <c r="W1421" s="128">
        <v>50261.11</v>
      </c>
      <c r="X1421" s="128">
        <v>0</v>
      </c>
      <c r="Y1421" s="128">
        <v>0</v>
      </c>
      <c r="Z1421" s="128">
        <v>0</v>
      </c>
      <c r="AA1421" s="128">
        <v>50261.11</v>
      </c>
      <c r="AB1421" s="126">
        <f t="shared" si="152"/>
        <v>-5.0261109999999998E-3</v>
      </c>
      <c r="AC1421" s="122" t="s">
        <v>1838</v>
      </c>
      <c r="AD1421" s="123">
        <f t="shared" si="154"/>
        <v>9.1140220000000029E-3</v>
      </c>
    </row>
    <row r="1422" spans="1:30" ht="12.75" hidden="1" customHeight="1">
      <c r="A1422" s="125" t="str">
        <f t="shared" si="149"/>
        <v>LIC72Other Income</v>
      </c>
      <c r="B1422" s="125">
        <f>+IFERROR(VLOOKUP(L1422,'TB mapping'!A:D,4,0),0)</f>
        <v>0</v>
      </c>
      <c r="C1422" s="125">
        <f>+IFERROR(VLOOKUP(L1422,'TB mapping'!A:C,3,0),0)</f>
        <v>5.5</v>
      </c>
      <c r="D1422" s="125" t="str">
        <f t="shared" si="150"/>
        <v>LIC720</v>
      </c>
      <c r="E1422" s="125" t="str">
        <f t="shared" si="151"/>
        <v>LIC725.5</v>
      </c>
      <c r="F1422" s="158" t="str">
        <f>+VLOOKUP(H1422,'code mapping'!A:C,3,0)</f>
        <v>LIC72</v>
      </c>
      <c r="G1422" s="127" t="s">
        <v>453</v>
      </c>
      <c r="H1422" s="127" t="s">
        <v>641</v>
      </c>
      <c r="I1422" s="127" t="s">
        <v>642</v>
      </c>
      <c r="J1422" s="128">
        <v>460000</v>
      </c>
      <c r="K1422" s="127" t="s">
        <v>539</v>
      </c>
      <c r="L1422" s="151">
        <v>460000</v>
      </c>
      <c r="M1422" s="128">
        <v>0</v>
      </c>
      <c r="N1422" s="127" t="s">
        <v>541</v>
      </c>
      <c r="O1422" s="127" t="s">
        <v>457</v>
      </c>
      <c r="P1422" s="128">
        <v>-141401.33000000002</v>
      </c>
      <c r="Q1422" s="128">
        <v>0</v>
      </c>
      <c r="R1422" s="128">
        <v>0</v>
      </c>
      <c r="S1422" s="128">
        <v>0</v>
      </c>
      <c r="T1422" s="128">
        <v>-141401.33000000002</v>
      </c>
      <c r="U1422" s="128">
        <v>0</v>
      </c>
      <c r="V1422" s="128">
        <v>-141401.33000000002</v>
      </c>
      <c r="W1422" s="128">
        <v>0</v>
      </c>
      <c r="X1422" s="128">
        <v>0</v>
      </c>
      <c r="Y1422" s="128">
        <v>0</v>
      </c>
      <c r="Z1422" s="128">
        <v>-141401.33000000002</v>
      </c>
      <c r="AA1422" s="128">
        <v>0</v>
      </c>
      <c r="AB1422" s="126">
        <f t="shared" si="152"/>
        <v>1.4140133000000001E-2</v>
      </c>
      <c r="AC1422" s="122" t="s">
        <v>1838</v>
      </c>
      <c r="AD1422" s="123">
        <f t="shared" si="154"/>
        <v>9.1140220000000029E-3</v>
      </c>
    </row>
    <row r="1423" spans="1:30" ht="12.75" hidden="1" customHeight="1">
      <c r="A1423" s="125" t="str">
        <f t="shared" si="149"/>
        <v>LIC72Interplan Adjustment- RG</v>
      </c>
      <c r="B1423" s="125">
        <f>+IFERROR(VLOOKUP(L1423,'TB mapping'!A:D,4,0),0)</f>
        <v>0</v>
      </c>
      <c r="C1423" s="125">
        <f>+IFERROR(VLOOKUP(L1423,'TB mapping'!A:C,3,0),0)</f>
        <v>5.5</v>
      </c>
      <c r="D1423" s="125" t="str">
        <f t="shared" si="150"/>
        <v>LIC720</v>
      </c>
      <c r="E1423" s="125" t="str">
        <f t="shared" si="151"/>
        <v>LIC725.5</v>
      </c>
      <c r="F1423" s="158" t="str">
        <f>+VLOOKUP(H1423,'code mapping'!A:C,3,0)</f>
        <v>LIC72</v>
      </c>
      <c r="G1423" s="127" t="s">
        <v>453</v>
      </c>
      <c r="H1423" s="127" t="s">
        <v>641</v>
      </c>
      <c r="I1423" s="127" t="s">
        <v>642</v>
      </c>
      <c r="J1423" s="128">
        <v>460000</v>
      </c>
      <c r="K1423" s="127" t="s">
        <v>539</v>
      </c>
      <c r="L1423" s="151">
        <v>460101</v>
      </c>
      <c r="M1423" s="128">
        <v>0</v>
      </c>
      <c r="N1423" s="127" t="s">
        <v>542</v>
      </c>
      <c r="O1423" s="127" t="s">
        <v>457</v>
      </c>
      <c r="P1423" s="128">
        <v>0</v>
      </c>
      <c r="Q1423" s="128">
        <v>20.94</v>
      </c>
      <c r="R1423" s="128">
        <v>0</v>
      </c>
      <c r="S1423" s="128">
        <v>0</v>
      </c>
      <c r="T1423" s="128">
        <v>0</v>
      </c>
      <c r="U1423" s="128">
        <v>20.94</v>
      </c>
      <c r="V1423" s="128">
        <v>0</v>
      </c>
      <c r="W1423" s="128">
        <v>20.94</v>
      </c>
      <c r="X1423" s="128">
        <v>0</v>
      </c>
      <c r="Y1423" s="128">
        <v>0</v>
      </c>
      <c r="Z1423" s="128">
        <v>0</v>
      </c>
      <c r="AA1423" s="128">
        <v>20.94</v>
      </c>
      <c r="AB1423" s="126">
        <f t="shared" si="152"/>
        <v>-2.0940000000000002E-6</v>
      </c>
      <c r="AC1423" s="122" t="s">
        <v>1838</v>
      </c>
      <c r="AD1423" s="123">
        <f t="shared" si="154"/>
        <v>9.1140220000000029E-3</v>
      </c>
    </row>
    <row r="1424" spans="1:30" ht="12.75" hidden="1" customHeight="1">
      <c r="A1424" s="125" t="str">
        <f t="shared" si="149"/>
        <v>LIC72Interplan Adjustment- RDD</v>
      </c>
      <c r="B1424" s="125">
        <f>+IFERROR(VLOOKUP(L1424,'TB mapping'!A:D,4,0),0)</f>
        <v>0</v>
      </c>
      <c r="C1424" s="125">
        <f>+IFERROR(VLOOKUP(L1424,'TB mapping'!A:C,3,0),0)</f>
        <v>5.5</v>
      </c>
      <c r="D1424" s="125" t="str">
        <f t="shared" si="150"/>
        <v>LIC720</v>
      </c>
      <c r="E1424" s="125" t="str">
        <f t="shared" si="151"/>
        <v>LIC725.5</v>
      </c>
      <c r="F1424" s="158" t="str">
        <f>+VLOOKUP(H1424,'code mapping'!A:C,3,0)</f>
        <v>LIC72</v>
      </c>
      <c r="G1424" s="127" t="s">
        <v>453</v>
      </c>
      <c r="H1424" s="127" t="s">
        <v>641</v>
      </c>
      <c r="I1424" s="127" t="s">
        <v>642</v>
      </c>
      <c r="J1424" s="128">
        <v>460000</v>
      </c>
      <c r="K1424" s="127" t="s">
        <v>539</v>
      </c>
      <c r="L1424" s="151">
        <v>460112</v>
      </c>
      <c r="M1424" s="128">
        <v>0</v>
      </c>
      <c r="N1424" s="127" t="s">
        <v>665</v>
      </c>
      <c r="O1424" s="127" t="s">
        <v>457</v>
      </c>
      <c r="P1424" s="128">
        <v>0</v>
      </c>
      <c r="Q1424" s="128">
        <v>1.96</v>
      </c>
      <c r="R1424" s="128">
        <v>0</v>
      </c>
      <c r="S1424" s="128">
        <v>0</v>
      </c>
      <c r="T1424" s="128">
        <v>0</v>
      </c>
      <c r="U1424" s="128">
        <v>1.96</v>
      </c>
      <c r="V1424" s="128">
        <v>0</v>
      </c>
      <c r="W1424" s="128">
        <v>1.96</v>
      </c>
      <c r="X1424" s="128">
        <v>0</v>
      </c>
      <c r="Y1424" s="128">
        <v>0</v>
      </c>
      <c r="Z1424" s="128">
        <v>0</v>
      </c>
      <c r="AA1424" s="128">
        <v>1.96</v>
      </c>
      <c r="AB1424" s="126">
        <f t="shared" si="152"/>
        <v>-1.9600000000000001E-7</v>
      </c>
      <c r="AC1424" s="122" t="s">
        <v>1838</v>
      </c>
      <c r="AD1424" s="123">
        <f t="shared" si="154"/>
        <v>9.1140220000000029E-3</v>
      </c>
    </row>
    <row r="1425" spans="1:30" ht="12.75" hidden="1" customHeight="1">
      <c r="A1425" s="125" t="str">
        <f t="shared" si="149"/>
        <v>LIC72Interplan Adjustment- RWD</v>
      </c>
      <c r="B1425" s="125">
        <f>+IFERROR(VLOOKUP(L1425,'TB mapping'!A:D,4,0),0)</f>
        <v>0</v>
      </c>
      <c r="C1425" s="125">
        <f>+IFERROR(VLOOKUP(L1425,'TB mapping'!A:C,3,0),0)</f>
        <v>5.5</v>
      </c>
      <c r="D1425" s="125" t="str">
        <f t="shared" si="150"/>
        <v>LIC720</v>
      </c>
      <c r="E1425" s="125" t="str">
        <f t="shared" si="151"/>
        <v>LIC725.5</v>
      </c>
      <c r="F1425" s="158" t="str">
        <f>+VLOOKUP(H1425,'code mapping'!A:C,3,0)</f>
        <v>LIC72</v>
      </c>
      <c r="G1425" s="127" t="s">
        <v>453</v>
      </c>
      <c r="H1425" s="127" t="s">
        <v>641</v>
      </c>
      <c r="I1425" s="127" t="s">
        <v>642</v>
      </c>
      <c r="J1425" s="128">
        <v>460000</v>
      </c>
      <c r="K1425" s="127" t="s">
        <v>539</v>
      </c>
      <c r="L1425" s="151">
        <v>460114</v>
      </c>
      <c r="M1425" s="128">
        <v>0</v>
      </c>
      <c r="N1425" s="127" t="s">
        <v>666</v>
      </c>
      <c r="O1425" s="127" t="s">
        <v>457</v>
      </c>
      <c r="P1425" s="128">
        <v>0</v>
      </c>
      <c r="Q1425" s="128">
        <v>0.41</v>
      </c>
      <c r="R1425" s="128">
        <v>0</v>
      </c>
      <c r="S1425" s="128">
        <v>0</v>
      </c>
      <c r="T1425" s="128">
        <v>0</v>
      </c>
      <c r="U1425" s="128">
        <v>0.41</v>
      </c>
      <c r="V1425" s="128">
        <v>0</v>
      </c>
      <c r="W1425" s="128">
        <v>0.41</v>
      </c>
      <c r="X1425" s="128">
        <v>0</v>
      </c>
      <c r="Y1425" s="128">
        <v>0</v>
      </c>
      <c r="Z1425" s="128">
        <v>0</v>
      </c>
      <c r="AA1425" s="128">
        <v>0.41</v>
      </c>
      <c r="AB1425" s="126">
        <f t="shared" si="152"/>
        <v>-4.0999999999999997E-8</v>
      </c>
      <c r="AC1425" s="122" t="s">
        <v>1838</v>
      </c>
      <c r="AD1425" s="123">
        <f t="shared" si="154"/>
        <v>9.1140220000000029E-3</v>
      </c>
    </row>
    <row r="1426" spans="1:30" ht="12.75" hidden="1" customHeight="1">
      <c r="A1426" s="125" t="str">
        <f t="shared" si="149"/>
        <v>LIC72Interplan Adjustment- RMD</v>
      </c>
      <c r="B1426" s="125">
        <f>+IFERROR(VLOOKUP(L1426,'TB mapping'!A:D,4,0),0)</f>
        <v>0</v>
      </c>
      <c r="C1426" s="125">
        <f>+IFERROR(VLOOKUP(L1426,'TB mapping'!A:C,3,0),0)</f>
        <v>5.5</v>
      </c>
      <c r="D1426" s="125" t="str">
        <f t="shared" si="150"/>
        <v>LIC720</v>
      </c>
      <c r="E1426" s="125" t="str">
        <f t="shared" si="151"/>
        <v>LIC725.5</v>
      </c>
      <c r="F1426" s="158" t="str">
        <f>+VLOOKUP(H1426,'code mapping'!A:C,3,0)</f>
        <v>LIC72</v>
      </c>
      <c r="G1426" s="127" t="s">
        <v>453</v>
      </c>
      <c r="H1426" s="127" t="s">
        <v>641</v>
      </c>
      <c r="I1426" s="127" t="s">
        <v>642</v>
      </c>
      <c r="J1426" s="128">
        <v>460000</v>
      </c>
      <c r="K1426" s="127" t="s">
        <v>539</v>
      </c>
      <c r="L1426" s="151">
        <v>460128</v>
      </c>
      <c r="M1426" s="128">
        <v>0</v>
      </c>
      <c r="N1426" s="127" t="s">
        <v>667</v>
      </c>
      <c r="O1426" s="127" t="s">
        <v>457</v>
      </c>
      <c r="P1426" s="128">
        <v>0</v>
      </c>
      <c r="Q1426" s="128">
        <v>0.53</v>
      </c>
      <c r="R1426" s="128">
        <v>0</v>
      </c>
      <c r="S1426" s="128">
        <v>0</v>
      </c>
      <c r="T1426" s="128">
        <v>0</v>
      </c>
      <c r="U1426" s="128">
        <v>0.53</v>
      </c>
      <c r="V1426" s="128">
        <v>0</v>
      </c>
      <c r="W1426" s="128">
        <v>0.53</v>
      </c>
      <c r="X1426" s="128">
        <v>0</v>
      </c>
      <c r="Y1426" s="128">
        <v>0</v>
      </c>
      <c r="Z1426" s="128">
        <v>0</v>
      </c>
      <c r="AA1426" s="128">
        <v>0.53</v>
      </c>
      <c r="AB1426" s="126">
        <f t="shared" si="152"/>
        <v>-5.3000000000000005E-8</v>
      </c>
      <c r="AC1426" s="122" t="s">
        <v>1838</v>
      </c>
      <c r="AD1426" s="123">
        <f t="shared" si="154"/>
        <v>9.1140220000000029E-3</v>
      </c>
    </row>
    <row r="1427" spans="1:30" ht="12.75" hidden="1" customHeight="1">
      <c r="A1427" s="125" t="str">
        <f t="shared" si="149"/>
        <v>LIC72Interplan Adjustment- GDP</v>
      </c>
      <c r="B1427" s="125">
        <f>+IFERROR(VLOOKUP(L1427,'TB mapping'!A:D,4,0),0)</f>
        <v>0</v>
      </c>
      <c r="C1427" s="125">
        <f>+IFERROR(VLOOKUP(L1427,'TB mapping'!A:C,3,0),0)</f>
        <v>5.5</v>
      </c>
      <c r="D1427" s="125" t="str">
        <f t="shared" si="150"/>
        <v>LIC720</v>
      </c>
      <c r="E1427" s="125" t="str">
        <f t="shared" si="151"/>
        <v>LIC725.5</v>
      </c>
      <c r="F1427" s="158" t="str">
        <f>+VLOOKUP(H1427,'code mapping'!A:C,3,0)</f>
        <v>LIC72</v>
      </c>
      <c r="G1427" s="127" t="s">
        <v>453</v>
      </c>
      <c r="H1427" s="127" t="s">
        <v>641</v>
      </c>
      <c r="I1427" s="127" t="s">
        <v>642</v>
      </c>
      <c r="J1427" s="128">
        <v>460000</v>
      </c>
      <c r="K1427" s="127" t="s">
        <v>539</v>
      </c>
      <c r="L1427" s="151">
        <v>460143</v>
      </c>
      <c r="M1427" s="128">
        <v>0</v>
      </c>
      <c r="N1427" s="127" t="s">
        <v>544</v>
      </c>
      <c r="O1427" s="127" t="s">
        <v>457</v>
      </c>
      <c r="P1427" s="128">
        <v>-25.73</v>
      </c>
      <c r="Q1427" s="128">
        <v>0</v>
      </c>
      <c r="R1427" s="128">
        <v>0</v>
      </c>
      <c r="S1427" s="128">
        <v>0</v>
      </c>
      <c r="T1427" s="128">
        <v>-25.73</v>
      </c>
      <c r="U1427" s="128">
        <v>0</v>
      </c>
      <c r="V1427" s="128">
        <v>-25.73</v>
      </c>
      <c r="W1427" s="128">
        <v>0</v>
      </c>
      <c r="X1427" s="128">
        <v>0</v>
      </c>
      <c r="Y1427" s="128">
        <v>0</v>
      </c>
      <c r="Z1427" s="128">
        <v>-25.73</v>
      </c>
      <c r="AA1427" s="128">
        <v>0</v>
      </c>
      <c r="AB1427" s="126">
        <f t="shared" si="152"/>
        <v>2.5730000000000002E-6</v>
      </c>
      <c r="AC1427" s="122" t="s">
        <v>1838</v>
      </c>
      <c r="AD1427" s="123">
        <f t="shared" si="154"/>
        <v>9.1140220000000029E-3</v>
      </c>
    </row>
    <row r="1428" spans="1:30" ht="12.75" hidden="1" customHeight="1">
      <c r="A1428" s="125" t="str">
        <f t="shared" si="149"/>
        <v>LIC72Interplan Adjustment- MDP</v>
      </c>
      <c r="B1428" s="125">
        <f>+IFERROR(VLOOKUP(L1428,'TB mapping'!A:D,4,0),0)</f>
        <v>0</v>
      </c>
      <c r="C1428" s="125">
        <f>+IFERROR(VLOOKUP(L1428,'TB mapping'!A:C,3,0),0)</f>
        <v>5.5</v>
      </c>
      <c r="D1428" s="125" t="str">
        <f t="shared" si="150"/>
        <v>LIC720</v>
      </c>
      <c r="E1428" s="125" t="str">
        <f t="shared" si="151"/>
        <v>LIC725.5</v>
      </c>
      <c r="F1428" s="158" t="str">
        <f>+VLOOKUP(H1428,'code mapping'!A:C,3,0)</f>
        <v>LIC72</v>
      </c>
      <c r="G1428" s="127" t="s">
        <v>453</v>
      </c>
      <c r="H1428" s="127" t="s">
        <v>641</v>
      </c>
      <c r="I1428" s="127" t="s">
        <v>642</v>
      </c>
      <c r="J1428" s="128">
        <v>460000</v>
      </c>
      <c r="K1428" s="127" t="s">
        <v>539</v>
      </c>
      <c r="L1428" s="151">
        <v>460146</v>
      </c>
      <c r="M1428" s="128">
        <v>0</v>
      </c>
      <c r="N1428" s="127" t="s">
        <v>668</v>
      </c>
      <c r="O1428" s="127" t="s">
        <v>457</v>
      </c>
      <c r="P1428" s="128">
        <v>-0.08</v>
      </c>
      <c r="Q1428" s="128">
        <v>0</v>
      </c>
      <c r="R1428" s="128">
        <v>0</v>
      </c>
      <c r="S1428" s="128">
        <v>0</v>
      </c>
      <c r="T1428" s="128">
        <v>-0.08</v>
      </c>
      <c r="U1428" s="128">
        <v>0</v>
      </c>
      <c r="V1428" s="128">
        <v>-0.08</v>
      </c>
      <c r="W1428" s="128">
        <v>0</v>
      </c>
      <c r="X1428" s="128">
        <v>0</v>
      </c>
      <c r="Y1428" s="128">
        <v>0</v>
      </c>
      <c r="Z1428" s="128">
        <v>-0.08</v>
      </c>
      <c r="AA1428" s="128">
        <v>0</v>
      </c>
      <c r="AB1428" s="126">
        <f t="shared" si="152"/>
        <v>8.0000000000000005E-9</v>
      </c>
      <c r="AC1428" s="122" t="s">
        <v>1838</v>
      </c>
      <c r="AD1428" s="123">
        <f t="shared" si="154"/>
        <v>9.1140220000000029E-3</v>
      </c>
    </row>
    <row r="1429" spans="1:30" ht="12.75" hidden="1" customHeight="1">
      <c r="A1429" s="125" t="str">
        <f t="shared" si="149"/>
        <v>LIC72Interplan Adjustment- DPD</v>
      </c>
      <c r="B1429" s="125">
        <f>+IFERROR(VLOOKUP(L1429,'TB mapping'!A:D,4,0),0)</f>
        <v>0</v>
      </c>
      <c r="C1429" s="125">
        <f>+IFERROR(VLOOKUP(L1429,'TB mapping'!A:C,3,0),0)</f>
        <v>5.5</v>
      </c>
      <c r="D1429" s="125" t="str">
        <f t="shared" si="150"/>
        <v>LIC720</v>
      </c>
      <c r="E1429" s="125" t="str">
        <f t="shared" si="151"/>
        <v>LIC725.5</v>
      </c>
      <c r="F1429" s="158" t="str">
        <f>+VLOOKUP(H1429,'code mapping'!A:C,3,0)</f>
        <v>LIC72</v>
      </c>
      <c r="G1429" s="127" t="s">
        <v>453</v>
      </c>
      <c r="H1429" s="127" t="s">
        <v>641</v>
      </c>
      <c r="I1429" s="127" t="s">
        <v>642</v>
      </c>
      <c r="J1429" s="128">
        <v>460000</v>
      </c>
      <c r="K1429" s="127" t="s">
        <v>539</v>
      </c>
      <c r="L1429" s="151">
        <v>460164</v>
      </c>
      <c r="M1429" s="128">
        <v>0</v>
      </c>
      <c r="N1429" s="127" t="s">
        <v>669</v>
      </c>
      <c r="O1429" s="127" t="s">
        <v>457</v>
      </c>
      <c r="P1429" s="128">
        <v>0</v>
      </c>
      <c r="Q1429" s="128">
        <v>1.83</v>
      </c>
      <c r="R1429" s="128">
        <v>0</v>
      </c>
      <c r="S1429" s="128">
        <v>0</v>
      </c>
      <c r="T1429" s="128">
        <v>0</v>
      </c>
      <c r="U1429" s="128">
        <v>1.83</v>
      </c>
      <c r="V1429" s="128">
        <v>0</v>
      </c>
      <c r="W1429" s="128">
        <v>1.83</v>
      </c>
      <c r="X1429" s="128">
        <v>0</v>
      </c>
      <c r="Y1429" s="128">
        <v>0</v>
      </c>
      <c r="Z1429" s="128">
        <v>0</v>
      </c>
      <c r="AA1429" s="128">
        <v>1.83</v>
      </c>
      <c r="AB1429" s="126">
        <f t="shared" si="152"/>
        <v>-1.8300000000000001E-7</v>
      </c>
      <c r="AC1429" s="122" t="s">
        <v>1838</v>
      </c>
      <c r="AD1429" s="123">
        <f t="shared" si="154"/>
        <v>9.1140220000000029E-3</v>
      </c>
    </row>
    <row r="1430" spans="1:30" ht="12.75" hidden="1" customHeight="1">
      <c r="A1430" s="125" t="str">
        <f t="shared" si="149"/>
        <v>LIC72Interplan Adjustment- WDP</v>
      </c>
      <c r="B1430" s="125">
        <f>+IFERROR(VLOOKUP(L1430,'TB mapping'!A:D,4,0),0)</f>
        <v>0</v>
      </c>
      <c r="C1430" s="125">
        <f>+IFERROR(VLOOKUP(L1430,'TB mapping'!A:C,3,0),0)</f>
        <v>5.5</v>
      </c>
      <c r="D1430" s="125" t="str">
        <f t="shared" si="150"/>
        <v>LIC720</v>
      </c>
      <c r="E1430" s="125" t="str">
        <f t="shared" si="151"/>
        <v>LIC725.5</v>
      </c>
      <c r="F1430" s="158" t="str">
        <f>+VLOOKUP(H1430,'code mapping'!A:C,3,0)</f>
        <v>LIC72</v>
      </c>
      <c r="G1430" s="127" t="s">
        <v>453</v>
      </c>
      <c r="H1430" s="127" t="s">
        <v>641</v>
      </c>
      <c r="I1430" s="127" t="s">
        <v>642</v>
      </c>
      <c r="J1430" s="128">
        <v>460000</v>
      </c>
      <c r="K1430" s="127" t="s">
        <v>539</v>
      </c>
      <c r="L1430" s="151">
        <v>460166</v>
      </c>
      <c r="M1430" s="128">
        <v>0</v>
      </c>
      <c r="N1430" s="127" t="s">
        <v>670</v>
      </c>
      <c r="O1430" s="127" t="s">
        <v>457</v>
      </c>
      <c r="P1430" s="128">
        <v>0</v>
      </c>
      <c r="Q1430" s="128">
        <v>0.14000000000000001</v>
      </c>
      <c r="R1430" s="128">
        <v>0</v>
      </c>
      <c r="S1430" s="128">
        <v>0</v>
      </c>
      <c r="T1430" s="128">
        <v>0</v>
      </c>
      <c r="U1430" s="128">
        <v>0.14000000000000001</v>
      </c>
      <c r="V1430" s="128">
        <v>0</v>
      </c>
      <c r="W1430" s="128">
        <v>0.14000000000000001</v>
      </c>
      <c r="X1430" s="128">
        <v>0</v>
      </c>
      <c r="Y1430" s="128">
        <v>0</v>
      </c>
      <c r="Z1430" s="128">
        <v>0</v>
      </c>
      <c r="AA1430" s="128">
        <v>0.14000000000000001</v>
      </c>
      <c r="AB1430" s="126">
        <f t="shared" si="152"/>
        <v>-1.4000000000000001E-8</v>
      </c>
      <c r="AC1430" s="122" t="s">
        <v>1838</v>
      </c>
      <c r="AD1430" s="123">
        <f t="shared" si="154"/>
        <v>9.1140220000000029E-3</v>
      </c>
    </row>
    <row r="1431" spans="1:30" ht="12.75" hidden="1" customHeight="1">
      <c r="A1431" s="125" t="str">
        <f t="shared" si="149"/>
        <v>LIC72R/L L/P - Treasury Bills</v>
      </c>
      <c r="B1431" s="125">
        <f>+IFERROR(VLOOKUP(L1431,'TB mapping'!A:D,4,0),0)</f>
        <v>0</v>
      </c>
      <c r="C1431" s="125">
        <f>+IFERROR(VLOOKUP(L1431,'TB mapping'!A:C,3,0),0)</f>
        <v>5.3</v>
      </c>
      <c r="D1431" s="125" t="str">
        <f t="shared" si="150"/>
        <v>LIC720</v>
      </c>
      <c r="E1431" s="125" t="str">
        <f t="shared" si="151"/>
        <v>LIC725.3</v>
      </c>
      <c r="F1431" s="158" t="str">
        <f>+VLOOKUP(H1431,'code mapping'!A:C,3,0)</f>
        <v>LIC72</v>
      </c>
      <c r="G1431" s="127" t="s">
        <v>453</v>
      </c>
      <c r="H1431" s="127" t="s">
        <v>641</v>
      </c>
      <c r="I1431" s="127" t="s">
        <v>642</v>
      </c>
      <c r="J1431" s="128">
        <v>510000</v>
      </c>
      <c r="K1431" s="127" t="s">
        <v>546</v>
      </c>
      <c r="L1431" s="151">
        <v>512110</v>
      </c>
      <c r="M1431" s="128">
        <v>0</v>
      </c>
      <c r="N1431" s="127" t="s">
        <v>671</v>
      </c>
      <c r="O1431" s="127" t="s">
        <v>457</v>
      </c>
      <c r="P1431" s="128">
        <v>-529746.57000000007</v>
      </c>
      <c r="Q1431" s="128">
        <v>0</v>
      </c>
      <c r="R1431" s="128">
        <v>0</v>
      </c>
      <c r="S1431" s="128">
        <v>0</v>
      </c>
      <c r="T1431" s="128">
        <v>-529746.57000000007</v>
      </c>
      <c r="U1431" s="128">
        <v>0</v>
      </c>
      <c r="V1431" s="128">
        <v>-529746.57000000007</v>
      </c>
      <c r="W1431" s="128">
        <v>0</v>
      </c>
      <c r="X1431" s="128">
        <v>0</v>
      </c>
      <c r="Y1431" s="128">
        <v>0</v>
      </c>
      <c r="Z1431" s="128">
        <v>-529746.57000000007</v>
      </c>
      <c r="AA1431" s="128">
        <v>0</v>
      </c>
      <c r="AB1431" s="126">
        <f t="shared" si="152"/>
        <v>5.2974657000000008E-2</v>
      </c>
      <c r="AC1431" s="122" t="s">
        <v>1838</v>
      </c>
      <c r="AD1431" s="123">
        <f t="shared" si="154"/>
        <v>0.39275882699999998</v>
      </c>
    </row>
    <row r="1432" spans="1:30" ht="12.75" hidden="1" customHeight="1">
      <c r="A1432" s="125" t="str">
        <f t="shared" si="149"/>
        <v>LIC72R/L L/P - Corp Bond/Debenture</v>
      </c>
      <c r="B1432" s="125">
        <f>+IFERROR(VLOOKUP(L1432,'TB mapping'!A:D,4,0),0)</f>
        <v>0</v>
      </c>
      <c r="C1432" s="125">
        <f>+IFERROR(VLOOKUP(L1432,'TB mapping'!A:C,3,0),0)</f>
        <v>5.3</v>
      </c>
      <c r="D1432" s="125" t="str">
        <f t="shared" si="150"/>
        <v>LIC720</v>
      </c>
      <c r="E1432" s="125" t="str">
        <f t="shared" si="151"/>
        <v>LIC725.3</v>
      </c>
      <c r="F1432" s="158" t="str">
        <f>+VLOOKUP(H1432,'code mapping'!A:C,3,0)</f>
        <v>LIC72</v>
      </c>
      <c r="G1432" s="127" t="s">
        <v>453</v>
      </c>
      <c r="H1432" s="127" t="s">
        <v>641</v>
      </c>
      <c r="I1432" s="127" t="s">
        <v>642</v>
      </c>
      <c r="J1432" s="128">
        <v>510000</v>
      </c>
      <c r="K1432" s="127" t="s">
        <v>546</v>
      </c>
      <c r="L1432" s="151">
        <v>512120</v>
      </c>
      <c r="M1432" s="128">
        <v>0</v>
      </c>
      <c r="N1432" s="127" t="s">
        <v>547</v>
      </c>
      <c r="O1432" s="127" t="s">
        <v>457</v>
      </c>
      <c r="P1432" s="128">
        <v>-1811250</v>
      </c>
      <c r="Q1432" s="128">
        <v>0</v>
      </c>
      <c r="R1432" s="128">
        <v>0</v>
      </c>
      <c r="S1432" s="128">
        <v>0</v>
      </c>
      <c r="T1432" s="128">
        <v>-1811250</v>
      </c>
      <c r="U1432" s="128">
        <v>0</v>
      </c>
      <c r="V1432" s="128">
        <v>-1811250</v>
      </c>
      <c r="W1432" s="128">
        <v>0</v>
      </c>
      <c r="X1432" s="128">
        <v>0</v>
      </c>
      <c r="Y1432" s="128">
        <v>0</v>
      </c>
      <c r="Z1432" s="128">
        <v>-1811250</v>
      </c>
      <c r="AA1432" s="128">
        <v>0</v>
      </c>
      <c r="AB1432" s="126">
        <f t="shared" si="152"/>
        <v>0.18112500000000001</v>
      </c>
      <c r="AC1432" s="122" t="s">
        <v>1838</v>
      </c>
      <c r="AD1432" s="123">
        <f t="shared" si="154"/>
        <v>0.39275882699999998</v>
      </c>
    </row>
    <row r="1433" spans="1:30" ht="12.75" hidden="1" customHeight="1">
      <c r="A1433" s="125" t="str">
        <f t="shared" si="149"/>
        <v>LIC72R/L L/P - Government Bonds</v>
      </c>
      <c r="B1433" s="125">
        <f>+IFERROR(VLOOKUP(L1433,'TB mapping'!A:D,4,0),0)</f>
        <v>0</v>
      </c>
      <c r="C1433" s="125">
        <f>+IFERROR(VLOOKUP(L1433,'TB mapping'!A:C,3,0),0)</f>
        <v>5.3</v>
      </c>
      <c r="D1433" s="125" t="str">
        <f t="shared" si="150"/>
        <v>LIC720</v>
      </c>
      <c r="E1433" s="125" t="str">
        <f t="shared" si="151"/>
        <v>LIC725.3</v>
      </c>
      <c r="F1433" s="158" t="str">
        <f>+VLOOKUP(H1433,'code mapping'!A:C,3,0)</f>
        <v>LIC72</v>
      </c>
      <c r="G1433" s="127" t="s">
        <v>453</v>
      </c>
      <c r="H1433" s="127" t="s">
        <v>641</v>
      </c>
      <c r="I1433" s="127" t="s">
        <v>642</v>
      </c>
      <c r="J1433" s="128">
        <v>510000</v>
      </c>
      <c r="K1433" s="127" t="s">
        <v>546</v>
      </c>
      <c r="L1433" s="151">
        <v>512130</v>
      </c>
      <c r="M1433" s="128">
        <v>0</v>
      </c>
      <c r="N1433" s="127" t="s">
        <v>548</v>
      </c>
      <c r="O1433" s="127" t="s">
        <v>457</v>
      </c>
      <c r="P1433" s="128">
        <v>-3856900</v>
      </c>
      <c r="Q1433" s="128">
        <v>0</v>
      </c>
      <c r="R1433" s="128">
        <v>0</v>
      </c>
      <c r="S1433" s="128">
        <v>0</v>
      </c>
      <c r="T1433" s="128">
        <v>-3856900</v>
      </c>
      <c r="U1433" s="128">
        <v>0</v>
      </c>
      <c r="V1433" s="128">
        <v>-3856900</v>
      </c>
      <c r="W1433" s="128">
        <v>0</v>
      </c>
      <c r="X1433" s="128">
        <v>0</v>
      </c>
      <c r="Y1433" s="128">
        <v>0</v>
      </c>
      <c r="Z1433" s="128">
        <v>-3856900</v>
      </c>
      <c r="AA1433" s="128">
        <v>0</v>
      </c>
      <c r="AB1433" s="126">
        <f t="shared" si="152"/>
        <v>0.38568999999999998</v>
      </c>
      <c r="AC1433" s="122" t="s">
        <v>1838</v>
      </c>
      <c r="AD1433" s="123">
        <f t="shared" si="154"/>
        <v>0.39275882699999998</v>
      </c>
    </row>
    <row r="1434" spans="1:30" ht="12.75" hidden="1" customHeight="1">
      <c r="A1434" s="125" t="str">
        <f t="shared" si="149"/>
        <v>LIC72R/L L/P - CBLO</v>
      </c>
      <c r="B1434" s="125">
        <f>+IFERROR(VLOOKUP(L1434,'TB mapping'!A:D,4,0),0)</f>
        <v>0</v>
      </c>
      <c r="C1434" s="125">
        <f>+IFERROR(VLOOKUP(L1434,'TB mapping'!A:C,3,0),0)</f>
        <v>5.3</v>
      </c>
      <c r="D1434" s="125" t="str">
        <f t="shared" si="150"/>
        <v>LIC720</v>
      </c>
      <c r="E1434" s="125" t="str">
        <f t="shared" si="151"/>
        <v>LIC725.3</v>
      </c>
      <c r="F1434" s="158" t="str">
        <f>+VLOOKUP(H1434,'code mapping'!A:C,3,0)</f>
        <v>LIC72</v>
      </c>
      <c r="G1434" s="127" t="s">
        <v>453</v>
      </c>
      <c r="H1434" s="127" t="s">
        <v>641</v>
      </c>
      <c r="I1434" s="127" t="s">
        <v>642</v>
      </c>
      <c r="J1434" s="128">
        <v>510000</v>
      </c>
      <c r="K1434" s="127" t="s">
        <v>546</v>
      </c>
      <c r="L1434" s="151">
        <v>512228</v>
      </c>
      <c r="M1434" s="128">
        <v>0</v>
      </c>
      <c r="N1434" s="127" t="s">
        <v>740</v>
      </c>
      <c r="O1434" s="127" t="s">
        <v>457</v>
      </c>
      <c r="P1434" s="128">
        <v>-13095.42</v>
      </c>
      <c r="Q1434" s="128">
        <v>0</v>
      </c>
      <c r="R1434" s="128">
        <v>0</v>
      </c>
      <c r="S1434" s="128">
        <v>0</v>
      </c>
      <c r="T1434" s="128">
        <v>-13095.42</v>
      </c>
      <c r="U1434" s="128">
        <v>0</v>
      </c>
      <c r="V1434" s="128">
        <v>-13095.42</v>
      </c>
      <c r="W1434" s="128">
        <v>0</v>
      </c>
      <c r="X1434" s="128">
        <v>0</v>
      </c>
      <c r="Y1434" s="128">
        <v>0</v>
      </c>
      <c r="Z1434" s="128">
        <v>-13095.42</v>
      </c>
      <c r="AA1434" s="128">
        <v>0</v>
      </c>
      <c r="AB1434" s="126">
        <f t="shared" si="152"/>
        <v>1.3095419999999999E-3</v>
      </c>
      <c r="AC1434" s="122" t="s">
        <v>1838</v>
      </c>
      <c r="AD1434" s="123">
        <f t="shared" si="154"/>
        <v>0.39275882699999998</v>
      </c>
    </row>
    <row r="1435" spans="1:30" ht="12.75" hidden="1" customHeight="1">
      <c r="A1435" s="125" t="str">
        <f t="shared" si="149"/>
        <v>LIC72R/L Loss - Inter Sch Bond/Deb</v>
      </c>
      <c r="B1435" s="125">
        <f>+IFERROR(VLOOKUP(L1435,'TB mapping'!A:D,4,0),0)</f>
        <v>0</v>
      </c>
      <c r="C1435" s="125">
        <f>+IFERROR(VLOOKUP(L1435,'TB mapping'!A:C,3,0),0)</f>
        <v>5.4</v>
      </c>
      <c r="D1435" s="125" t="str">
        <f t="shared" si="150"/>
        <v>LIC720</v>
      </c>
      <c r="E1435" s="125" t="str">
        <f t="shared" si="151"/>
        <v>LIC725.4</v>
      </c>
      <c r="F1435" s="158" t="str">
        <f>+VLOOKUP(H1435,'code mapping'!A:C,3,0)</f>
        <v>LIC72</v>
      </c>
      <c r="G1435" s="127" t="s">
        <v>453</v>
      </c>
      <c r="H1435" s="127" t="s">
        <v>641</v>
      </c>
      <c r="I1435" s="127" t="s">
        <v>642</v>
      </c>
      <c r="J1435" s="128">
        <v>510000</v>
      </c>
      <c r="K1435" s="127" t="s">
        <v>546</v>
      </c>
      <c r="L1435" s="151">
        <v>527302</v>
      </c>
      <c r="M1435" s="128">
        <v>0</v>
      </c>
      <c r="N1435" s="127" t="s">
        <v>672</v>
      </c>
      <c r="O1435" s="127" t="s">
        <v>457</v>
      </c>
      <c r="P1435" s="128">
        <v>-392034</v>
      </c>
      <c r="Q1435" s="128">
        <v>0</v>
      </c>
      <c r="R1435" s="128">
        <v>0</v>
      </c>
      <c r="S1435" s="128">
        <v>0</v>
      </c>
      <c r="T1435" s="128">
        <v>-392034</v>
      </c>
      <c r="U1435" s="128">
        <v>0</v>
      </c>
      <c r="V1435" s="128">
        <v>-392034</v>
      </c>
      <c r="W1435" s="128">
        <v>0</v>
      </c>
      <c r="X1435" s="128">
        <v>0</v>
      </c>
      <c r="Y1435" s="128">
        <v>0</v>
      </c>
      <c r="Z1435" s="128">
        <v>-392034</v>
      </c>
      <c r="AA1435" s="128">
        <v>0</v>
      </c>
      <c r="AB1435" s="126">
        <f t="shared" si="152"/>
        <v>3.9203399999999999E-2</v>
      </c>
      <c r="AC1435" s="122" t="s">
        <v>1838</v>
      </c>
      <c r="AD1435" s="123">
        <f t="shared" si="154"/>
        <v>-1.3532728610000002</v>
      </c>
    </row>
    <row r="1436" spans="1:30" ht="12.75" hidden="1" customHeight="1">
      <c r="A1436" s="125" t="str">
        <f t="shared" si="149"/>
        <v>LIC72R/L Loss - Inter Sch Govt Bond</v>
      </c>
      <c r="B1436" s="125">
        <f>+IFERROR(VLOOKUP(L1436,'TB mapping'!A:D,4,0),0)</f>
        <v>0</v>
      </c>
      <c r="C1436" s="125">
        <f>+IFERROR(VLOOKUP(L1436,'TB mapping'!A:C,3,0),0)</f>
        <v>5.4</v>
      </c>
      <c r="D1436" s="125" t="str">
        <f t="shared" si="150"/>
        <v>LIC720</v>
      </c>
      <c r="E1436" s="125" t="str">
        <f t="shared" si="151"/>
        <v>LIC725.4</v>
      </c>
      <c r="F1436" s="158" t="str">
        <f>+VLOOKUP(H1436,'code mapping'!A:C,3,0)</f>
        <v>LIC72</v>
      </c>
      <c r="G1436" s="127" t="s">
        <v>453</v>
      </c>
      <c r="H1436" s="127" t="s">
        <v>641</v>
      </c>
      <c r="I1436" s="127" t="s">
        <v>642</v>
      </c>
      <c r="J1436" s="128">
        <v>510000</v>
      </c>
      <c r="K1436" s="127" t="s">
        <v>546</v>
      </c>
      <c r="L1436" s="151">
        <v>527304</v>
      </c>
      <c r="M1436" s="128">
        <v>0</v>
      </c>
      <c r="N1436" s="127" t="s">
        <v>549</v>
      </c>
      <c r="O1436" s="127" t="s">
        <v>457</v>
      </c>
      <c r="P1436" s="128">
        <v>-50864.44</v>
      </c>
      <c r="Q1436" s="128">
        <v>0</v>
      </c>
      <c r="R1436" s="128">
        <v>0</v>
      </c>
      <c r="S1436" s="128">
        <v>0</v>
      </c>
      <c r="T1436" s="128">
        <v>-50864.44</v>
      </c>
      <c r="U1436" s="128">
        <v>0</v>
      </c>
      <c r="V1436" s="128">
        <v>-50864.44</v>
      </c>
      <c r="W1436" s="128">
        <v>0</v>
      </c>
      <c r="X1436" s="128">
        <v>0</v>
      </c>
      <c r="Y1436" s="128">
        <v>0</v>
      </c>
      <c r="Z1436" s="128">
        <v>-50864.44</v>
      </c>
      <c r="AA1436" s="128">
        <v>0</v>
      </c>
      <c r="AB1436" s="126">
        <f t="shared" si="152"/>
        <v>5.0864439999999999E-3</v>
      </c>
      <c r="AC1436" s="122" t="s">
        <v>1838</v>
      </c>
      <c r="AD1436" s="123">
        <f t="shared" si="154"/>
        <v>-1.3532728610000002</v>
      </c>
    </row>
    <row r="1437" spans="1:30" ht="12.75" hidden="1" customHeight="1">
      <c r="A1437" s="125" t="str">
        <f t="shared" si="149"/>
        <v>LIC72R/L Loss - Inter Scheme CP</v>
      </c>
      <c r="B1437" s="125">
        <f>+IFERROR(VLOOKUP(L1437,'TB mapping'!A:D,4,0),0)</f>
        <v>0</v>
      </c>
      <c r="C1437" s="125">
        <f>+IFERROR(VLOOKUP(L1437,'TB mapping'!A:C,3,0),0)</f>
        <v>5.4</v>
      </c>
      <c r="D1437" s="125" t="str">
        <f t="shared" si="150"/>
        <v>LIC720</v>
      </c>
      <c r="E1437" s="125" t="str">
        <f t="shared" si="151"/>
        <v>LIC725.4</v>
      </c>
      <c r="F1437" s="158" t="str">
        <f>+VLOOKUP(H1437,'code mapping'!A:C,3,0)</f>
        <v>LIC72</v>
      </c>
      <c r="G1437" s="127" t="s">
        <v>453</v>
      </c>
      <c r="H1437" s="127" t="s">
        <v>641</v>
      </c>
      <c r="I1437" s="127" t="s">
        <v>642</v>
      </c>
      <c r="J1437" s="128">
        <v>510000</v>
      </c>
      <c r="K1437" s="127" t="s">
        <v>546</v>
      </c>
      <c r="L1437" s="151">
        <v>527311</v>
      </c>
      <c r="M1437" s="128">
        <v>0</v>
      </c>
      <c r="N1437" s="127" t="s">
        <v>673</v>
      </c>
      <c r="O1437" s="127" t="s">
        <v>457</v>
      </c>
      <c r="P1437" s="128">
        <v>-30.5</v>
      </c>
      <c r="Q1437" s="128">
        <v>0</v>
      </c>
      <c r="R1437" s="128">
        <v>0</v>
      </c>
      <c r="S1437" s="128">
        <v>0</v>
      </c>
      <c r="T1437" s="128">
        <v>-30.5</v>
      </c>
      <c r="U1437" s="128">
        <v>0</v>
      </c>
      <c r="V1437" s="128">
        <v>-30.5</v>
      </c>
      <c r="W1437" s="128">
        <v>0</v>
      </c>
      <c r="X1437" s="128">
        <v>0</v>
      </c>
      <c r="Y1437" s="128">
        <v>0</v>
      </c>
      <c r="Z1437" s="128">
        <v>-30.5</v>
      </c>
      <c r="AA1437" s="128">
        <v>0</v>
      </c>
      <c r="AB1437" s="126">
        <f t="shared" si="152"/>
        <v>3.05E-6</v>
      </c>
      <c r="AC1437" s="122" t="s">
        <v>1838</v>
      </c>
      <c r="AD1437" s="123">
        <f t="shared" si="154"/>
        <v>-1.3532728610000002</v>
      </c>
    </row>
    <row r="1438" spans="1:30" ht="12.75" hidden="1" customHeight="1">
      <c r="A1438" s="125" t="str">
        <f t="shared" si="149"/>
        <v>LIC72R/L Loss - Inter SchemeT Bills</v>
      </c>
      <c r="B1438" s="125">
        <f>+IFERROR(VLOOKUP(L1438,'TB mapping'!A:D,4,0),0)</f>
        <v>0</v>
      </c>
      <c r="C1438" s="125">
        <f>+IFERROR(VLOOKUP(L1438,'TB mapping'!A:C,3,0),0)</f>
        <v>5.4</v>
      </c>
      <c r="D1438" s="125" t="str">
        <f t="shared" si="150"/>
        <v>LIC720</v>
      </c>
      <c r="E1438" s="125" t="str">
        <f t="shared" si="151"/>
        <v>LIC725.4</v>
      </c>
      <c r="F1438" s="158" t="str">
        <f>+VLOOKUP(H1438,'code mapping'!A:C,3,0)</f>
        <v>LIC72</v>
      </c>
      <c r="G1438" s="127" t="s">
        <v>453</v>
      </c>
      <c r="H1438" s="127" t="s">
        <v>641</v>
      </c>
      <c r="I1438" s="127" t="s">
        <v>642</v>
      </c>
      <c r="J1438" s="128">
        <v>510000</v>
      </c>
      <c r="K1438" s="127" t="s">
        <v>546</v>
      </c>
      <c r="L1438" s="151">
        <v>527313</v>
      </c>
      <c r="M1438" s="128">
        <v>0</v>
      </c>
      <c r="N1438" s="127" t="s">
        <v>674</v>
      </c>
      <c r="O1438" s="127" t="s">
        <v>457</v>
      </c>
      <c r="P1438" s="128">
        <v>-56551.35</v>
      </c>
      <c r="Q1438" s="128">
        <v>0</v>
      </c>
      <c r="R1438" s="128">
        <v>0</v>
      </c>
      <c r="S1438" s="128">
        <v>0</v>
      </c>
      <c r="T1438" s="128">
        <v>-56551.35</v>
      </c>
      <c r="U1438" s="128">
        <v>0</v>
      </c>
      <c r="V1438" s="128">
        <v>-56551.35</v>
      </c>
      <c r="W1438" s="128">
        <v>0</v>
      </c>
      <c r="X1438" s="128">
        <v>0</v>
      </c>
      <c r="Y1438" s="128">
        <v>0</v>
      </c>
      <c r="Z1438" s="128">
        <v>-56551.35</v>
      </c>
      <c r="AA1438" s="128">
        <v>0</v>
      </c>
      <c r="AB1438" s="126">
        <f t="shared" si="152"/>
        <v>5.6551349999999995E-3</v>
      </c>
      <c r="AC1438" s="122" t="s">
        <v>1838</v>
      </c>
      <c r="AD1438" s="123">
        <f t="shared" si="154"/>
        <v>-1.3532728610000002</v>
      </c>
    </row>
    <row r="1439" spans="1:30" ht="12.75" hidden="1" customHeight="1">
      <c r="A1439" s="125" t="str">
        <f t="shared" si="149"/>
        <v>LIC72SEBI Fees</v>
      </c>
      <c r="B1439" s="125">
        <f>+IFERROR(VLOOKUP(L1439,'TB mapping'!A:D,4,0),0)</f>
        <v>0</v>
      </c>
      <c r="C1439" s="125">
        <f>+IFERROR(VLOOKUP(L1439,'TB mapping'!A:C,3,0),0)</f>
        <v>6.3</v>
      </c>
      <c r="D1439" s="125" t="str">
        <f t="shared" si="150"/>
        <v>LIC720</v>
      </c>
      <c r="E1439" s="125" t="str">
        <f t="shared" si="151"/>
        <v>LIC726.3</v>
      </c>
      <c r="F1439" s="158" t="str">
        <f>+VLOOKUP(H1439,'code mapping'!A:C,3,0)</f>
        <v>LIC72</v>
      </c>
      <c r="G1439" s="127" t="s">
        <v>453</v>
      </c>
      <c r="H1439" s="127" t="s">
        <v>641</v>
      </c>
      <c r="I1439" s="127" t="s">
        <v>642</v>
      </c>
      <c r="J1439" s="128">
        <v>550000</v>
      </c>
      <c r="K1439" s="127" t="s">
        <v>550</v>
      </c>
      <c r="L1439" s="151">
        <v>553007</v>
      </c>
      <c r="M1439" s="128">
        <v>0</v>
      </c>
      <c r="N1439" s="127" t="s">
        <v>551</v>
      </c>
      <c r="O1439" s="127" t="s">
        <v>457</v>
      </c>
      <c r="P1439" s="128">
        <v>-56897.06</v>
      </c>
      <c r="Q1439" s="128">
        <v>0</v>
      </c>
      <c r="R1439" s="128">
        <v>0</v>
      </c>
      <c r="S1439" s="128">
        <v>0</v>
      </c>
      <c r="T1439" s="128">
        <v>-56897.06</v>
      </c>
      <c r="U1439" s="128">
        <v>0</v>
      </c>
      <c r="V1439" s="128">
        <v>-56897.06</v>
      </c>
      <c r="W1439" s="128">
        <v>0</v>
      </c>
      <c r="X1439" s="128">
        <v>0</v>
      </c>
      <c r="Y1439" s="128">
        <v>0</v>
      </c>
      <c r="Z1439" s="128">
        <v>-56897.06</v>
      </c>
      <c r="AA1439" s="128">
        <v>0</v>
      </c>
      <c r="AB1439" s="126">
        <f t="shared" si="152"/>
        <v>5.6897060000000001E-3</v>
      </c>
      <c r="AC1439" s="122" t="s">
        <v>1838</v>
      </c>
      <c r="AD1439" s="123">
        <f t="shared" si="154"/>
        <v>2.5662741829999995</v>
      </c>
    </row>
    <row r="1440" spans="1:30" ht="12.75" hidden="1" customHeight="1">
      <c r="A1440" s="125" t="str">
        <f t="shared" si="149"/>
        <v>LIC72Audit Fee</v>
      </c>
      <c r="B1440" s="125">
        <f>+IFERROR(VLOOKUP(L1440,'TB mapping'!A:D,4,0),0)</f>
        <v>0</v>
      </c>
      <c r="C1440" s="125">
        <f>+IFERROR(VLOOKUP(L1440,'TB mapping'!A:C,3,0),0)</f>
        <v>6.3</v>
      </c>
      <c r="D1440" s="125" t="str">
        <f t="shared" si="150"/>
        <v>LIC720</v>
      </c>
      <c r="E1440" s="125" t="str">
        <f t="shared" si="151"/>
        <v>LIC726.3</v>
      </c>
      <c r="F1440" s="158" t="str">
        <f>+VLOOKUP(H1440,'code mapping'!A:C,3,0)</f>
        <v>LIC72</v>
      </c>
      <c r="G1440" s="127" t="s">
        <v>453</v>
      </c>
      <c r="H1440" s="127" t="s">
        <v>641</v>
      </c>
      <c r="I1440" s="127" t="s">
        <v>642</v>
      </c>
      <c r="J1440" s="128">
        <v>550000</v>
      </c>
      <c r="K1440" s="127" t="s">
        <v>550</v>
      </c>
      <c r="L1440" s="151">
        <v>553105</v>
      </c>
      <c r="M1440" s="128">
        <v>0</v>
      </c>
      <c r="N1440" s="127" t="s">
        <v>552</v>
      </c>
      <c r="O1440" s="127" t="s">
        <v>457</v>
      </c>
      <c r="P1440" s="128">
        <v>-20057.32</v>
      </c>
      <c r="Q1440" s="128">
        <v>0</v>
      </c>
      <c r="R1440" s="128">
        <v>0</v>
      </c>
      <c r="S1440" s="128">
        <v>0</v>
      </c>
      <c r="T1440" s="128">
        <v>-20057.32</v>
      </c>
      <c r="U1440" s="128">
        <v>0</v>
      </c>
      <c r="V1440" s="128">
        <v>-20057.32</v>
      </c>
      <c r="W1440" s="128">
        <v>0</v>
      </c>
      <c r="X1440" s="128">
        <v>0</v>
      </c>
      <c r="Y1440" s="128">
        <v>0</v>
      </c>
      <c r="Z1440" s="128">
        <v>-20057.32</v>
      </c>
      <c r="AA1440" s="128">
        <v>0</v>
      </c>
      <c r="AB1440" s="126">
        <f t="shared" si="152"/>
        <v>2.0057320000000001E-3</v>
      </c>
      <c r="AC1440" s="122" t="s">
        <v>1838</v>
      </c>
      <c r="AD1440" s="123">
        <f t="shared" si="154"/>
        <v>2.5662741829999995</v>
      </c>
    </row>
    <row r="1441" spans="1:30" ht="12.75" hidden="1" customHeight="1">
      <c r="A1441" s="125" t="str">
        <f t="shared" si="149"/>
        <v>LIC72Custody Fee</v>
      </c>
      <c r="B1441" s="125">
        <f>+IFERROR(VLOOKUP(L1441,'TB mapping'!A:D,4,0),0)</f>
        <v>0</v>
      </c>
      <c r="C1441" s="125">
        <f>+IFERROR(VLOOKUP(L1441,'TB mapping'!A:C,3,0),0)</f>
        <v>6.3</v>
      </c>
      <c r="D1441" s="125" t="str">
        <f t="shared" si="150"/>
        <v>LIC720</v>
      </c>
      <c r="E1441" s="125" t="str">
        <f t="shared" si="151"/>
        <v>LIC726.3</v>
      </c>
      <c r="F1441" s="158" t="str">
        <f>+VLOOKUP(H1441,'code mapping'!A:C,3,0)</f>
        <v>LIC72</v>
      </c>
      <c r="G1441" s="127" t="s">
        <v>453</v>
      </c>
      <c r="H1441" s="127" t="s">
        <v>641</v>
      </c>
      <c r="I1441" s="127" t="s">
        <v>642</v>
      </c>
      <c r="J1441" s="128">
        <v>550000</v>
      </c>
      <c r="K1441" s="127" t="s">
        <v>550</v>
      </c>
      <c r="L1441" s="151">
        <v>553107</v>
      </c>
      <c r="M1441" s="128">
        <v>0</v>
      </c>
      <c r="N1441" s="127" t="s">
        <v>553</v>
      </c>
      <c r="O1441" s="127" t="s">
        <v>457</v>
      </c>
      <c r="P1441" s="128">
        <v>-321096.97000000003</v>
      </c>
      <c r="Q1441" s="128">
        <v>0</v>
      </c>
      <c r="R1441" s="128">
        <v>0</v>
      </c>
      <c r="S1441" s="128">
        <v>0</v>
      </c>
      <c r="T1441" s="128">
        <v>-321096.97000000003</v>
      </c>
      <c r="U1441" s="128">
        <v>0</v>
      </c>
      <c r="V1441" s="128">
        <v>-321096.97000000003</v>
      </c>
      <c r="W1441" s="128">
        <v>0</v>
      </c>
      <c r="X1441" s="128">
        <v>0</v>
      </c>
      <c r="Y1441" s="128">
        <v>0</v>
      </c>
      <c r="Z1441" s="128">
        <v>-321096.97000000003</v>
      </c>
      <c r="AA1441" s="128">
        <v>0</v>
      </c>
      <c r="AB1441" s="126">
        <f t="shared" si="152"/>
        <v>3.2109697000000006E-2</v>
      </c>
      <c r="AC1441" s="122" t="s">
        <v>1838</v>
      </c>
      <c r="AD1441" s="123">
        <f t="shared" si="154"/>
        <v>2.5662741829999995</v>
      </c>
    </row>
    <row r="1442" spans="1:30" ht="12.75" hidden="1" customHeight="1">
      <c r="A1442" s="125" t="str">
        <f t="shared" si="149"/>
        <v>LIC72Expense Allocation Account</v>
      </c>
      <c r="B1442" s="125">
        <f>+IFERROR(VLOOKUP(L1442,'TB mapping'!A:D,4,0),0)</f>
        <v>0</v>
      </c>
      <c r="C1442" s="125">
        <f>+IFERROR(VLOOKUP(L1442,'TB mapping'!A:C,3,0),0)</f>
        <v>6.3</v>
      </c>
      <c r="D1442" s="125" t="str">
        <f t="shared" si="150"/>
        <v>LIC720</v>
      </c>
      <c r="E1442" s="125" t="str">
        <f t="shared" si="151"/>
        <v>LIC726.3</v>
      </c>
      <c r="F1442" s="158" t="str">
        <f>+VLOOKUP(H1442,'code mapping'!A:C,3,0)</f>
        <v>LIC72</v>
      </c>
      <c r="G1442" s="127" t="s">
        <v>453</v>
      </c>
      <c r="H1442" s="127" t="s">
        <v>641</v>
      </c>
      <c r="I1442" s="127" t="s">
        <v>642</v>
      </c>
      <c r="J1442" s="128">
        <v>550000</v>
      </c>
      <c r="K1442" s="127" t="s">
        <v>550</v>
      </c>
      <c r="L1442" s="151">
        <v>553111</v>
      </c>
      <c r="M1442" s="128">
        <v>0</v>
      </c>
      <c r="N1442" s="127" t="s">
        <v>554</v>
      </c>
      <c r="O1442" s="127" t="s">
        <v>457</v>
      </c>
      <c r="P1442" s="128">
        <v>0</v>
      </c>
      <c r="Q1442" s="128">
        <v>1499193.28</v>
      </c>
      <c r="R1442" s="128">
        <v>0</v>
      </c>
      <c r="S1442" s="128">
        <v>0</v>
      </c>
      <c r="T1442" s="128">
        <v>0</v>
      </c>
      <c r="U1442" s="128">
        <v>1499193.28</v>
      </c>
      <c r="V1442" s="128">
        <v>0</v>
      </c>
      <c r="W1442" s="128">
        <v>1499193.28</v>
      </c>
      <c r="X1442" s="128">
        <v>0</v>
      </c>
      <c r="Y1442" s="128">
        <v>0</v>
      </c>
      <c r="Z1442" s="128">
        <v>0</v>
      </c>
      <c r="AA1442" s="128">
        <v>1499193.28</v>
      </c>
      <c r="AB1442" s="126">
        <f t="shared" si="152"/>
        <v>-0.14991932799999999</v>
      </c>
      <c r="AC1442" s="122" t="s">
        <v>1838</v>
      </c>
      <c r="AD1442" s="123">
        <f t="shared" si="154"/>
        <v>2.5662741829999995</v>
      </c>
    </row>
    <row r="1443" spans="1:30" ht="12.75" hidden="1" customHeight="1">
      <c r="A1443" s="125" t="str">
        <f t="shared" si="149"/>
        <v>LIC72Trustee Fee</v>
      </c>
      <c r="B1443" s="125">
        <f>+IFERROR(VLOOKUP(L1443,'TB mapping'!A:D,4,0),0)</f>
        <v>6.2</v>
      </c>
      <c r="C1443" s="125">
        <f>+IFERROR(VLOOKUP(L1443,'TB mapping'!A:C,3,0),0)</f>
        <v>6.3</v>
      </c>
      <c r="D1443" s="125" t="str">
        <f t="shared" si="150"/>
        <v>LIC726.2</v>
      </c>
      <c r="E1443" s="125" t="str">
        <f t="shared" si="151"/>
        <v>LIC726.3</v>
      </c>
      <c r="F1443" s="158" t="str">
        <f>+VLOOKUP(H1443,'code mapping'!A:C,3,0)</f>
        <v>LIC72</v>
      </c>
      <c r="G1443" s="127" t="s">
        <v>453</v>
      </c>
      <c r="H1443" s="127" t="s">
        <v>641</v>
      </c>
      <c r="I1443" s="127" t="s">
        <v>642</v>
      </c>
      <c r="J1443" s="128">
        <v>550000</v>
      </c>
      <c r="K1443" s="127" t="s">
        <v>550</v>
      </c>
      <c r="L1443" s="151">
        <v>553131</v>
      </c>
      <c r="M1443" s="128">
        <v>0</v>
      </c>
      <c r="N1443" s="127" t="s">
        <v>555</v>
      </c>
      <c r="O1443" s="127" t="s">
        <v>457</v>
      </c>
      <c r="P1443" s="128">
        <v>-31958.5</v>
      </c>
      <c r="Q1443" s="128">
        <v>0</v>
      </c>
      <c r="R1443" s="128">
        <v>0</v>
      </c>
      <c r="S1443" s="128">
        <v>0</v>
      </c>
      <c r="T1443" s="128">
        <v>-31958.5</v>
      </c>
      <c r="U1443" s="128">
        <v>0</v>
      </c>
      <c r="V1443" s="128">
        <v>-31958.5</v>
      </c>
      <c r="W1443" s="128">
        <v>0</v>
      </c>
      <c r="X1443" s="128">
        <v>0</v>
      </c>
      <c r="Y1443" s="128">
        <v>0</v>
      </c>
      <c r="Z1443" s="128">
        <v>-31958.5</v>
      </c>
      <c r="AA1443" s="128">
        <v>0</v>
      </c>
      <c r="AB1443" s="126">
        <f t="shared" si="152"/>
        <v>3.1958500000000001E-3</v>
      </c>
      <c r="AC1443" s="122" t="s">
        <v>1838</v>
      </c>
      <c r="AD1443" s="123">
        <f t="shared" si="154"/>
        <v>2.5662741829999995</v>
      </c>
    </row>
    <row r="1444" spans="1:30" ht="12.75" hidden="1" customHeight="1">
      <c r="A1444" s="125" t="str">
        <f t="shared" si="149"/>
        <v>LIC72Bank Charges</v>
      </c>
      <c r="B1444" s="125">
        <f>+IFERROR(VLOOKUP(L1444,'TB mapping'!A:D,4,0),0)</f>
        <v>0</v>
      </c>
      <c r="C1444" s="125">
        <f>+IFERROR(VLOOKUP(L1444,'TB mapping'!A:C,3,0),0)</f>
        <v>6.3</v>
      </c>
      <c r="D1444" s="125" t="str">
        <f t="shared" si="150"/>
        <v>LIC720</v>
      </c>
      <c r="E1444" s="125" t="str">
        <f t="shared" si="151"/>
        <v>LIC726.3</v>
      </c>
      <c r="F1444" s="158" t="str">
        <f>+VLOOKUP(H1444,'code mapping'!A:C,3,0)</f>
        <v>LIC72</v>
      </c>
      <c r="G1444" s="127" t="s">
        <v>453</v>
      </c>
      <c r="H1444" s="127" t="s">
        <v>641</v>
      </c>
      <c r="I1444" s="127" t="s">
        <v>642</v>
      </c>
      <c r="J1444" s="128">
        <v>550000</v>
      </c>
      <c r="K1444" s="127" t="s">
        <v>550</v>
      </c>
      <c r="L1444" s="151">
        <v>553141</v>
      </c>
      <c r="M1444" s="128">
        <v>0</v>
      </c>
      <c r="N1444" s="127" t="s">
        <v>556</v>
      </c>
      <c r="O1444" s="127" t="s">
        <v>457</v>
      </c>
      <c r="P1444" s="128">
        <v>-127968.56</v>
      </c>
      <c r="Q1444" s="128">
        <v>0</v>
      </c>
      <c r="R1444" s="128">
        <v>0</v>
      </c>
      <c r="S1444" s="128">
        <v>0</v>
      </c>
      <c r="T1444" s="128">
        <v>-127968.56</v>
      </c>
      <c r="U1444" s="128">
        <v>0</v>
      </c>
      <c r="V1444" s="128">
        <v>-127968.56</v>
      </c>
      <c r="W1444" s="128">
        <v>0</v>
      </c>
      <c r="X1444" s="128">
        <v>0</v>
      </c>
      <c r="Y1444" s="128">
        <v>0</v>
      </c>
      <c r="Z1444" s="128">
        <v>-127968.56</v>
      </c>
      <c r="AA1444" s="128">
        <v>0</v>
      </c>
      <c r="AB1444" s="126">
        <f t="shared" si="152"/>
        <v>1.2796856000000001E-2</v>
      </c>
      <c r="AC1444" s="122" t="s">
        <v>1838</v>
      </c>
      <c r="AD1444" s="123">
        <f t="shared" si="154"/>
        <v>2.5662741829999995</v>
      </c>
    </row>
    <row r="1445" spans="1:30" ht="12.75" hidden="1" customHeight="1">
      <c r="A1445" s="125" t="str">
        <f t="shared" si="149"/>
        <v>LIC72Investor Education Fund Exps</v>
      </c>
      <c r="B1445" s="125">
        <f>+IFERROR(VLOOKUP(L1445,'TB mapping'!A:D,4,0),0)</f>
        <v>0</v>
      </c>
      <c r="C1445" s="125">
        <f>+IFERROR(VLOOKUP(L1445,'TB mapping'!A:C,3,0),0)</f>
        <v>6.3</v>
      </c>
      <c r="D1445" s="125" t="str">
        <f t="shared" si="150"/>
        <v>LIC720</v>
      </c>
      <c r="E1445" s="125" t="str">
        <f t="shared" si="151"/>
        <v>LIC726.3</v>
      </c>
      <c r="F1445" s="158" t="str">
        <f>+VLOOKUP(H1445,'code mapping'!A:C,3,0)</f>
        <v>LIC72</v>
      </c>
      <c r="G1445" s="127" t="s">
        <v>453</v>
      </c>
      <c r="H1445" s="127" t="s">
        <v>641</v>
      </c>
      <c r="I1445" s="127" t="s">
        <v>642</v>
      </c>
      <c r="J1445" s="128">
        <v>550000</v>
      </c>
      <c r="K1445" s="127" t="s">
        <v>550</v>
      </c>
      <c r="L1445" s="151">
        <v>553171</v>
      </c>
      <c r="M1445" s="128">
        <v>0</v>
      </c>
      <c r="N1445" s="127" t="s">
        <v>557</v>
      </c>
      <c r="O1445" s="127" t="s">
        <v>457</v>
      </c>
      <c r="P1445" s="128">
        <v>-324727.28000000003</v>
      </c>
      <c r="Q1445" s="128">
        <v>0</v>
      </c>
      <c r="R1445" s="128">
        <v>0</v>
      </c>
      <c r="S1445" s="128">
        <v>0</v>
      </c>
      <c r="T1445" s="128">
        <v>-324727.28000000003</v>
      </c>
      <c r="U1445" s="128">
        <v>0</v>
      </c>
      <c r="V1445" s="128">
        <v>-324727.28000000003</v>
      </c>
      <c r="W1445" s="128">
        <v>0</v>
      </c>
      <c r="X1445" s="128">
        <v>0</v>
      </c>
      <c r="Y1445" s="128">
        <v>0</v>
      </c>
      <c r="Z1445" s="128">
        <v>-324727.28000000003</v>
      </c>
      <c r="AA1445" s="128">
        <v>0</v>
      </c>
      <c r="AB1445" s="126">
        <f t="shared" si="152"/>
        <v>3.2472728000000006E-2</v>
      </c>
      <c r="AC1445" s="122" t="s">
        <v>1838</v>
      </c>
      <c r="AD1445" s="123">
        <f t="shared" ref="AD1445:AD1470" si="155">SUMIF(E:E,E1445,AB:AB)</f>
        <v>2.5662741829999995</v>
      </c>
    </row>
    <row r="1446" spans="1:30" ht="12.75" hidden="1" customHeight="1">
      <c r="A1446" s="125" t="str">
        <f t="shared" si="149"/>
        <v>LIC72Service Tax on Management Fees</v>
      </c>
      <c r="B1446" s="125">
        <f>+IFERROR(VLOOKUP(L1446,'TB mapping'!A:D,4,0),0)</f>
        <v>6.1</v>
      </c>
      <c r="C1446" s="125">
        <f>+IFERROR(VLOOKUP(L1446,'TB mapping'!A:C,3,0),0)</f>
        <v>6.3</v>
      </c>
      <c r="D1446" s="125" t="str">
        <f t="shared" si="150"/>
        <v>LIC726.1</v>
      </c>
      <c r="E1446" s="125" t="str">
        <f t="shared" si="151"/>
        <v>LIC726.3</v>
      </c>
      <c r="F1446" s="158" t="str">
        <f>+VLOOKUP(H1446,'code mapping'!A:C,3,0)</f>
        <v>LIC72</v>
      </c>
      <c r="G1446" s="127" t="s">
        <v>453</v>
      </c>
      <c r="H1446" s="127" t="s">
        <v>641</v>
      </c>
      <c r="I1446" s="127" t="s">
        <v>642</v>
      </c>
      <c r="J1446" s="128">
        <v>550000</v>
      </c>
      <c r="K1446" s="127" t="s">
        <v>550</v>
      </c>
      <c r="L1446" s="151">
        <v>553172</v>
      </c>
      <c r="M1446" s="128">
        <v>0</v>
      </c>
      <c r="N1446" s="127" t="s">
        <v>558</v>
      </c>
      <c r="O1446" s="127" t="s">
        <v>457</v>
      </c>
      <c r="P1446" s="128">
        <v>-801757.48</v>
      </c>
      <c r="Q1446" s="128">
        <v>0</v>
      </c>
      <c r="R1446" s="128">
        <v>0</v>
      </c>
      <c r="S1446" s="128">
        <v>0</v>
      </c>
      <c r="T1446" s="128">
        <v>-801757.48</v>
      </c>
      <c r="U1446" s="128">
        <v>0</v>
      </c>
      <c r="V1446" s="128">
        <v>-801757.48</v>
      </c>
      <c r="W1446" s="128">
        <v>0</v>
      </c>
      <c r="X1446" s="128">
        <v>0</v>
      </c>
      <c r="Y1446" s="128">
        <v>0</v>
      </c>
      <c r="Z1446" s="128">
        <v>-801757.48</v>
      </c>
      <c r="AA1446" s="128">
        <v>0</v>
      </c>
      <c r="AB1446" s="126">
        <f t="shared" si="152"/>
        <v>8.0175748000000005E-2</v>
      </c>
      <c r="AC1446" s="122" t="s">
        <v>1838</v>
      </c>
      <c r="AD1446" s="123">
        <f t="shared" si="155"/>
        <v>2.5662741829999995</v>
      </c>
    </row>
    <row r="1447" spans="1:30" ht="12.75" hidden="1" customHeight="1">
      <c r="A1447" s="125" t="str">
        <f t="shared" si="149"/>
        <v>LIC72CCIL Expenses</v>
      </c>
      <c r="B1447" s="125">
        <f>+IFERROR(VLOOKUP(L1447,'TB mapping'!A:D,4,0),0)</f>
        <v>0</v>
      </c>
      <c r="C1447" s="125">
        <f>+IFERROR(VLOOKUP(L1447,'TB mapping'!A:C,3,0),0)</f>
        <v>6.3</v>
      </c>
      <c r="D1447" s="125" t="str">
        <f t="shared" si="150"/>
        <v>LIC720</v>
      </c>
      <c r="E1447" s="125" t="str">
        <f t="shared" si="151"/>
        <v>LIC726.3</v>
      </c>
      <c r="F1447" s="158" t="str">
        <f>+VLOOKUP(H1447,'code mapping'!A:C,3,0)</f>
        <v>LIC72</v>
      </c>
      <c r="G1447" s="127" t="s">
        <v>453</v>
      </c>
      <c r="H1447" s="127" t="s">
        <v>641</v>
      </c>
      <c r="I1447" s="127" t="s">
        <v>642</v>
      </c>
      <c r="J1447" s="128">
        <v>550000</v>
      </c>
      <c r="K1447" s="127" t="s">
        <v>550</v>
      </c>
      <c r="L1447" s="151">
        <v>553176</v>
      </c>
      <c r="M1447" s="128">
        <v>0</v>
      </c>
      <c r="N1447" s="127" t="s">
        <v>559</v>
      </c>
      <c r="O1447" s="127" t="s">
        <v>457</v>
      </c>
      <c r="P1447" s="128">
        <v>-232386.61</v>
      </c>
      <c r="Q1447" s="128">
        <v>0</v>
      </c>
      <c r="R1447" s="128">
        <v>0</v>
      </c>
      <c r="S1447" s="128">
        <v>0</v>
      </c>
      <c r="T1447" s="128">
        <v>-232386.61</v>
      </c>
      <c r="U1447" s="128">
        <v>0</v>
      </c>
      <c r="V1447" s="128">
        <v>-232386.61</v>
      </c>
      <c r="W1447" s="128">
        <v>0</v>
      </c>
      <c r="X1447" s="128">
        <v>0</v>
      </c>
      <c r="Y1447" s="128">
        <v>0</v>
      </c>
      <c r="Z1447" s="128">
        <v>-232386.61</v>
      </c>
      <c r="AA1447" s="128">
        <v>0</v>
      </c>
      <c r="AB1447" s="126">
        <f t="shared" si="152"/>
        <v>2.3238660999999997E-2</v>
      </c>
      <c r="AC1447" s="122" t="s">
        <v>1838</v>
      </c>
      <c r="AD1447" s="123">
        <f t="shared" si="155"/>
        <v>2.5662741829999995</v>
      </c>
    </row>
    <row r="1448" spans="1:30" ht="12.75" hidden="1" customHeight="1">
      <c r="A1448" s="125" t="str">
        <f t="shared" si="149"/>
        <v>LIC72Out of Pocket Expenses - R&amp;T</v>
      </c>
      <c r="B1448" s="125">
        <f>+IFERROR(VLOOKUP(L1448,'TB mapping'!A:D,4,0),0)</f>
        <v>0</v>
      </c>
      <c r="C1448" s="125">
        <f>+IFERROR(VLOOKUP(L1448,'TB mapping'!A:C,3,0),0)</f>
        <v>6.3</v>
      </c>
      <c r="D1448" s="125" t="str">
        <f t="shared" si="150"/>
        <v>LIC720</v>
      </c>
      <c r="E1448" s="125" t="str">
        <f t="shared" si="151"/>
        <v>LIC726.3</v>
      </c>
      <c r="F1448" s="158" t="str">
        <f>+VLOOKUP(H1448,'code mapping'!A:C,3,0)</f>
        <v>LIC72</v>
      </c>
      <c r="G1448" s="127" t="s">
        <v>453</v>
      </c>
      <c r="H1448" s="127" t="s">
        <v>641</v>
      </c>
      <c r="I1448" s="127" t="s">
        <v>642</v>
      </c>
      <c r="J1448" s="128">
        <v>550000</v>
      </c>
      <c r="K1448" s="127" t="s">
        <v>550</v>
      </c>
      <c r="L1448" s="151">
        <v>553180</v>
      </c>
      <c r="M1448" s="128">
        <v>0</v>
      </c>
      <c r="N1448" s="127" t="s">
        <v>560</v>
      </c>
      <c r="O1448" s="127" t="s">
        <v>457</v>
      </c>
      <c r="P1448" s="128">
        <v>-74462.44</v>
      </c>
      <c r="Q1448" s="128">
        <v>0</v>
      </c>
      <c r="R1448" s="128">
        <v>0</v>
      </c>
      <c r="S1448" s="128">
        <v>0</v>
      </c>
      <c r="T1448" s="128">
        <v>-74462.44</v>
      </c>
      <c r="U1448" s="128">
        <v>0</v>
      </c>
      <c r="V1448" s="128">
        <v>-74462.44</v>
      </c>
      <c r="W1448" s="128">
        <v>0</v>
      </c>
      <c r="X1448" s="128">
        <v>0</v>
      </c>
      <c r="Y1448" s="128">
        <v>0</v>
      </c>
      <c r="Z1448" s="128">
        <v>-74462.44</v>
      </c>
      <c r="AA1448" s="128">
        <v>0</v>
      </c>
      <c r="AB1448" s="126">
        <f t="shared" si="152"/>
        <v>7.4462440000000003E-3</v>
      </c>
      <c r="AC1448" s="122" t="s">
        <v>1838</v>
      </c>
      <c r="AD1448" s="123">
        <f t="shared" si="155"/>
        <v>2.5662741829999995</v>
      </c>
    </row>
    <row r="1449" spans="1:30" ht="12.75" hidden="1" customHeight="1">
      <c r="A1449" s="125" t="str">
        <f t="shared" si="149"/>
        <v>LIC72Other Expenses</v>
      </c>
      <c r="B1449" s="125">
        <f>+IFERROR(VLOOKUP(L1449,'TB mapping'!A:D,4,0),0)</f>
        <v>0</v>
      </c>
      <c r="C1449" s="125">
        <f>+IFERROR(VLOOKUP(L1449,'TB mapping'!A:C,3,0),0)</f>
        <v>6.3</v>
      </c>
      <c r="D1449" s="125" t="str">
        <f t="shared" si="150"/>
        <v>LIC720</v>
      </c>
      <c r="E1449" s="125" t="str">
        <f t="shared" si="151"/>
        <v>LIC726.3</v>
      </c>
      <c r="F1449" s="158" t="str">
        <f>+VLOOKUP(H1449,'code mapping'!A:C,3,0)</f>
        <v>LIC72</v>
      </c>
      <c r="G1449" s="127" t="s">
        <v>453</v>
      </c>
      <c r="H1449" s="127" t="s">
        <v>641</v>
      </c>
      <c r="I1449" s="127" t="s">
        <v>642</v>
      </c>
      <c r="J1449" s="128">
        <v>550000</v>
      </c>
      <c r="K1449" s="127" t="s">
        <v>550</v>
      </c>
      <c r="L1449" s="151">
        <v>553190</v>
      </c>
      <c r="M1449" s="128">
        <v>0</v>
      </c>
      <c r="N1449" s="127" t="s">
        <v>561</v>
      </c>
      <c r="O1449" s="127" t="s">
        <v>457</v>
      </c>
      <c r="P1449" s="128">
        <v>-76591.72</v>
      </c>
      <c r="Q1449" s="128">
        <v>0</v>
      </c>
      <c r="R1449" s="128">
        <v>0</v>
      </c>
      <c r="S1449" s="128">
        <v>0</v>
      </c>
      <c r="T1449" s="128">
        <v>-76591.72</v>
      </c>
      <c r="U1449" s="128">
        <v>0</v>
      </c>
      <c r="V1449" s="128">
        <v>-76591.72</v>
      </c>
      <c r="W1449" s="128">
        <v>0</v>
      </c>
      <c r="X1449" s="128">
        <v>0</v>
      </c>
      <c r="Y1449" s="128">
        <v>0</v>
      </c>
      <c r="Z1449" s="128">
        <v>-76591.72</v>
      </c>
      <c r="AA1449" s="128">
        <v>0</v>
      </c>
      <c r="AB1449" s="126">
        <f t="shared" si="152"/>
        <v>7.6591720000000005E-3</v>
      </c>
      <c r="AC1449" s="122" t="s">
        <v>1838</v>
      </c>
      <c r="AD1449" s="123">
        <f t="shared" si="155"/>
        <v>2.5662741829999995</v>
      </c>
    </row>
    <row r="1450" spans="1:30" ht="12.75" hidden="1" customHeight="1">
      <c r="A1450" s="125" t="str">
        <f t="shared" si="149"/>
        <v>LIC72Other Expenses-RG</v>
      </c>
      <c r="B1450" s="125">
        <f>+IFERROR(VLOOKUP(L1450,'TB mapping'!A:D,4,0),0)</f>
        <v>0</v>
      </c>
      <c r="C1450" s="125">
        <f>+IFERROR(VLOOKUP(L1450,'TB mapping'!A:C,3,0),0)</f>
        <v>6.3</v>
      </c>
      <c r="D1450" s="125" t="str">
        <f t="shared" si="150"/>
        <v>LIC720</v>
      </c>
      <c r="E1450" s="125" t="str">
        <f t="shared" si="151"/>
        <v>LIC726.3</v>
      </c>
      <c r="F1450" s="158" t="str">
        <f>+VLOOKUP(H1450,'code mapping'!A:C,3,0)</f>
        <v>LIC72</v>
      </c>
      <c r="G1450" s="127" t="s">
        <v>453</v>
      </c>
      <c r="H1450" s="127" t="s">
        <v>641</v>
      </c>
      <c r="I1450" s="127" t="s">
        <v>642</v>
      </c>
      <c r="J1450" s="128">
        <v>550000</v>
      </c>
      <c r="K1450" s="127" t="s">
        <v>550</v>
      </c>
      <c r="L1450" s="151">
        <v>553191</v>
      </c>
      <c r="M1450" s="128">
        <v>0</v>
      </c>
      <c r="N1450" s="127" t="s">
        <v>562</v>
      </c>
      <c r="O1450" s="127" t="s">
        <v>457</v>
      </c>
      <c r="P1450" s="128">
        <v>-624573.82000000007</v>
      </c>
      <c r="Q1450" s="128">
        <v>0</v>
      </c>
      <c r="R1450" s="128">
        <v>0</v>
      </c>
      <c r="S1450" s="128">
        <v>0</v>
      </c>
      <c r="T1450" s="128">
        <v>-624573.82000000007</v>
      </c>
      <c r="U1450" s="128">
        <v>0</v>
      </c>
      <c r="V1450" s="128">
        <v>-624573.82000000007</v>
      </c>
      <c r="W1450" s="128">
        <v>0</v>
      </c>
      <c r="X1450" s="128">
        <v>0</v>
      </c>
      <c r="Y1450" s="128">
        <v>0</v>
      </c>
      <c r="Z1450" s="128">
        <v>-624573.82000000007</v>
      </c>
      <c r="AA1450" s="128">
        <v>0</v>
      </c>
      <c r="AB1450" s="126">
        <f t="shared" si="152"/>
        <v>6.2457382000000006E-2</v>
      </c>
      <c r="AC1450" s="122" t="s">
        <v>1838</v>
      </c>
      <c r="AD1450" s="123">
        <f t="shared" si="155"/>
        <v>2.5662741829999995</v>
      </c>
    </row>
    <row r="1451" spans="1:30" ht="12.75" hidden="1" customHeight="1">
      <c r="A1451" s="125" t="str">
        <f t="shared" si="149"/>
        <v>LIC72Misc Expenses</v>
      </c>
      <c r="B1451" s="125">
        <f>+IFERROR(VLOOKUP(L1451,'TB mapping'!A:D,4,0),0)</f>
        <v>0</v>
      </c>
      <c r="C1451" s="125">
        <f>+IFERROR(VLOOKUP(L1451,'TB mapping'!A:C,3,0),0)</f>
        <v>6.3</v>
      </c>
      <c r="D1451" s="125" t="str">
        <f t="shared" si="150"/>
        <v>LIC720</v>
      </c>
      <c r="E1451" s="125" t="str">
        <f t="shared" si="151"/>
        <v>LIC726.3</v>
      </c>
      <c r="F1451" s="158" t="str">
        <f>+VLOOKUP(H1451,'code mapping'!A:C,3,0)</f>
        <v>LIC72</v>
      </c>
      <c r="G1451" s="127" t="s">
        <v>453</v>
      </c>
      <c r="H1451" s="127" t="s">
        <v>641</v>
      </c>
      <c r="I1451" s="127" t="s">
        <v>642</v>
      </c>
      <c r="J1451" s="128">
        <v>550000</v>
      </c>
      <c r="K1451" s="127" t="s">
        <v>550</v>
      </c>
      <c r="L1451" s="151">
        <v>553197</v>
      </c>
      <c r="M1451" s="128">
        <v>0</v>
      </c>
      <c r="N1451" s="127" t="s">
        <v>675</v>
      </c>
      <c r="O1451" s="127" t="s">
        <v>457</v>
      </c>
      <c r="P1451" s="128">
        <v>0</v>
      </c>
      <c r="Q1451" s="128">
        <v>0.01</v>
      </c>
      <c r="R1451" s="128">
        <v>0</v>
      </c>
      <c r="S1451" s="128">
        <v>0</v>
      </c>
      <c r="T1451" s="128">
        <v>0</v>
      </c>
      <c r="U1451" s="128">
        <v>0.01</v>
      </c>
      <c r="V1451" s="128">
        <v>0</v>
      </c>
      <c r="W1451" s="128">
        <v>0.01</v>
      </c>
      <c r="X1451" s="128">
        <v>0</v>
      </c>
      <c r="Y1451" s="128">
        <v>0</v>
      </c>
      <c r="Z1451" s="128">
        <v>0</v>
      </c>
      <c r="AA1451" s="128">
        <v>0.01</v>
      </c>
      <c r="AB1451" s="126">
        <f t="shared" si="152"/>
        <v>-1.0000000000000001E-9</v>
      </c>
      <c r="AC1451" s="122" t="s">
        <v>1838</v>
      </c>
      <c r="AD1451" s="123">
        <f t="shared" si="155"/>
        <v>2.5662741829999995</v>
      </c>
    </row>
    <row r="1452" spans="1:30" ht="12.75" hidden="1" customHeight="1">
      <c r="A1452" s="125" t="str">
        <f t="shared" si="149"/>
        <v>LIC72Other Exp - Brok - Indirect</v>
      </c>
      <c r="B1452" s="125">
        <f>+IFERROR(VLOOKUP(L1452,'TB mapping'!A:D,4,0),0)</f>
        <v>0</v>
      </c>
      <c r="C1452" s="125">
        <f>+IFERROR(VLOOKUP(L1452,'TB mapping'!A:C,3,0),0)</f>
        <v>6.3</v>
      </c>
      <c r="D1452" s="125" t="str">
        <f t="shared" si="150"/>
        <v>LIC720</v>
      </c>
      <c r="E1452" s="125" t="str">
        <f t="shared" si="151"/>
        <v>LIC726.3</v>
      </c>
      <c r="F1452" s="158" t="str">
        <f>+VLOOKUP(H1452,'code mapping'!A:C,3,0)</f>
        <v>LIC72</v>
      </c>
      <c r="G1452" s="127" t="s">
        <v>453</v>
      </c>
      <c r="H1452" s="127" t="s">
        <v>641</v>
      </c>
      <c r="I1452" s="127" t="s">
        <v>642</v>
      </c>
      <c r="J1452" s="128">
        <v>550000</v>
      </c>
      <c r="K1452" s="127" t="s">
        <v>550</v>
      </c>
      <c r="L1452" s="151">
        <v>553202</v>
      </c>
      <c r="M1452" s="128">
        <v>0</v>
      </c>
      <c r="N1452" s="127" t="s">
        <v>564</v>
      </c>
      <c r="O1452" s="127" t="s">
        <v>457</v>
      </c>
      <c r="P1452" s="128">
        <v>-3984444.93</v>
      </c>
      <c r="Q1452" s="128">
        <v>0</v>
      </c>
      <c r="R1452" s="128">
        <v>0</v>
      </c>
      <c r="S1452" s="128">
        <v>0</v>
      </c>
      <c r="T1452" s="128">
        <v>-3984444.93</v>
      </c>
      <c r="U1452" s="128">
        <v>0</v>
      </c>
      <c r="V1452" s="128">
        <v>-3984444.93</v>
      </c>
      <c r="W1452" s="128">
        <v>0</v>
      </c>
      <c r="X1452" s="128">
        <v>0</v>
      </c>
      <c r="Y1452" s="128">
        <v>0</v>
      </c>
      <c r="Z1452" s="128">
        <v>-3984444.93</v>
      </c>
      <c r="AA1452" s="128">
        <v>0</v>
      </c>
      <c r="AB1452" s="126">
        <f t="shared" si="152"/>
        <v>0.39844449300000001</v>
      </c>
      <c r="AC1452" s="122" t="s">
        <v>1838</v>
      </c>
      <c r="AD1452" s="123">
        <f t="shared" si="155"/>
        <v>2.5662741829999995</v>
      </c>
    </row>
    <row r="1453" spans="1:30" ht="12.75" hidden="1" customHeight="1">
      <c r="A1453" s="125" t="str">
        <f t="shared" si="149"/>
        <v>LIC72Brokerage/Dist Exps</v>
      </c>
      <c r="B1453" s="125">
        <f>+IFERROR(VLOOKUP(L1453,'TB mapping'!A:D,4,0),0)</f>
        <v>0</v>
      </c>
      <c r="C1453" s="125">
        <f>+IFERROR(VLOOKUP(L1453,'TB mapping'!A:C,3,0),0)</f>
        <v>6.3</v>
      </c>
      <c r="D1453" s="125" t="str">
        <f t="shared" si="150"/>
        <v>LIC720</v>
      </c>
      <c r="E1453" s="125" t="str">
        <f t="shared" si="151"/>
        <v>LIC726.3</v>
      </c>
      <c r="F1453" s="158" t="str">
        <f>+VLOOKUP(H1453,'code mapping'!A:C,3,0)</f>
        <v>LIC72</v>
      </c>
      <c r="G1453" s="127" t="s">
        <v>453</v>
      </c>
      <c r="H1453" s="127" t="s">
        <v>641</v>
      </c>
      <c r="I1453" s="127" t="s">
        <v>642</v>
      </c>
      <c r="J1453" s="128">
        <v>550000</v>
      </c>
      <c r="K1453" s="127" t="s">
        <v>550</v>
      </c>
      <c r="L1453" s="151">
        <v>553208</v>
      </c>
      <c r="M1453" s="128">
        <v>0</v>
      </c>
      <c r="N1453" s="127" t="s">
        <v>565</v>
      </c>
      <c r="O1453" s="127" t="s">
        <v>457</v>
      </c>
      <c r="P1453" s="128">
        <v>0</v>
      </c>
      <c r="Q1453" s="128">
        <v>1922094.79</v>
      </c>
      <c r="R1453" s="128">
        <v>0</v>
      </c>
      <c r="S1453" s="128">
        <v>0</v>
      </c>
      <c r="T1453" s="128">
        <v>0</v>
      </c>
      <c r="U1453" s="128">
        <v>1922094.79</v>
      </c>
      <c r="V1453" s="128">
        <v>0</v>
      </c>
      <c r="W1453" s="128">
        <v>1922094.79</v>
      </c>
      <c r="X1453" s="128">
        <v>0</v>
      </c>
      <c r="Y1453" s="128">
        <v>0</v>
      </c>
      <c r="Z1453" s="128">
        <v>0</v>
      </c>
      <c r="AA1453" s="128">
        <v>1922094.79</v>
      </c>
      <c r="AB1453" s="126">
        <f t="shared" si="152"/>
        <v>-0.19220947900000002</v>
      </c>
      <c r="AC1453" s="122" t="s">
        <v>1838</v>
      </c>
      <c r="AD1453" s="123">
        <f t="shared" si="155"/>
        <v>2.5662741829999995</v>
      </c>
    </row>
    <row r="1454" spans="1:30" ht="12.75" hidden="1" customHeight="1">
      <c r="A1454" s="125" t="str">
        <f t="shared" si="149"/>
        <v>LIC72Internal Audit Fee</v>
      </c>
      <c r="B1454" s="125">
        <f>+IFERROR(VLOOKUP(L1454,'TB mapping'!A:D,4,0),0)</f>
        <v>0</v>
      </c>
      <c r="C1454" s="125">
        <f>+IFERROR(VLOOKUP(L1454,'TB mapping'!A:C,3,0),0)</f>
        <v>6.3</v>
      </c>
      <c r="D1454" s="125" t="str">
        <f t="shared" si="150"/>
        <v>LIC720</v>
      </c>
      <c r="E1454" s="125" t="str">
        <f t="shared" si="151"/>
        <v>LIC726.3</v>
      </c>
      <c r="F1454" s="158" t="str">
        <f>+VLOOKUP(H1454,'code mapping'!A:C,3,0)</f>
        <v>LIC72</v>
      </c>
      <c r="G1454" s="127" t="s">
        <v>453</v>
      </c>
      <c r="H1454" s="127" t="s">
        <v>641</v>
      </c>
      <c r="I1454" s="127" t="s">
        <v>642</v>
      </c>
      <c r="J1454" s="128">
        <v>550000</v>
      </c>
      <c r="K1454" s="127" t="s">
        <v>550</v>
      </c>
      <c r="L1454" s="151">
        <v>553213</v>
      </c>
      <c r="M1454" s="128">
        <v>0</v>
      </c>
      <c r="N1454" s="127" t="s">
        <v>566</v>
      </c>
      <c r="O1454" s="127" t="s">
        <v>457</v>
      </c>
      <c r="P1454" s="128">
        <v>-37119.64</v>
      </c>
      <c r="Q1454" s="128">
        <v>0</v>
      </c>
      <c r="R1454" s="128">
        <v>0</v>
      </c>
      <c r="S1454" s="128">
        <v>0</v>
      </c>
      <c r="T1454" s="128">
        <v>-37119.64</v>
      </c>
      <c r="U1454" s="128">
        <v>0</v>
      </c>
      <c r="V1454" s="128">
        <v>-37119.64</v>
      </c>
      <c r="W1454" s="128">
        <v>0</v>
      </c>
      <c r="X1454" s="128">
        <v>0</v>
      </c>
      <c r="Y1454" s="128">
        <v>0</v>
      </c>
      <c r="Z1454" s="128">
        <v>-37119.64</v>
      </c>
      <c r="AA1454" s="128">
        <v>0</v>
      </c>
      <c r="AB1454" s="126">
        <f t="shared" si="152"/>
        <v>3.7119639999999999E-3</v>
      </c>
      <c r="AC1454" s="122" t="s">
        <v>1838</v>
      </c>
      <c r="AD1454" s="123">
        <f t="shared" si="155"/>
        <v>2.5662741829999995</v>
      </c>
    </row>
    <row r="1455" spans="1:30" ht="12.75" hidden="1" customHeight="1">
      <c r="A1455" s="125" t="str">
        <f t="shared" si="149"/>
        <v>LIC72Other Expenses - RDD</v>
      </c>
      <c r="B1455" s="125">
        <f>+IFERROR(VLOOKUP(L1455,'TB mapping'!A:D,4,0),0)</f>
        <v>0</v>
      </c>
      <c r="C1455" s="125">
        <f>+IFERROR(VLOOKUP(L1455,'TB mapping'!A:C,3,0),0)</f>
        <v>6.3</v>
      </c>
      <c r="D1455" s="125" t="str">
        <f t="shared" si="150"/>
        <v>LIC720</v>
      </c>
      <c r="E1455" s="125" t="str">
        <f t="shared" si="151"/>
        <v>LIC726.3</v>
      </c>
      <c r="F1455" s="158" t="str">
        <f>+VLOOKUP(H1455,'code mapping'!A:C,3,0)</f>
        <v>LIC72</v>
      </c>
      <c r="G1455" s="127" t="s">
        <v>453</v>
      </c>
      <c r="H1455" s="127" t="s">
        <v>641</v>
      </c>
      <c r="I1455" s="127" t="s">
        <v>642</v>
      </c>
      <c r="J1455" s="128">
        <v>550000</v>
      </c>
      <c r="K1455" s="127" t="s">
        <v>550</v>
      </c>
      <c r="L1455" s="151">
        <v>553255</v>
      </c>
      <c r="M1455" s="128">
        <v>0</v>
      </c>
      <c r="N1455" s="127" t="s">
        <v>676</v>
      </c>
      <c r="O1455" s="127" t="s">
        <v>457</v>
      </c>
      <c r="P1455" s="128">
        <v>-106153.47</v>
      </c>
      <c r="Q1455" s="128">
        <v>0</v>
      </c>
      <c r="R1455" s="128">
        <v>0</v>
      </c>
      <c r="S1455" s="128">
        <v>0</v>
      </c>
      <c r="T1455" s="128">
        <v>-106153.47</v>
      </c>
      <c r="U1455" s="128">
        <v>0</v>
      </c>
      <c r="V1455" s="128">
        <v>-106153.47</v>
      </c>
      <c r="W1455" s="128">
        <v>0</v>
      </c>
      <c r="X1455" s="128">
        <v>0</v>
      </c>
      <c r="Y1455" s="128">
        <v>0</v>
      </c>
      <c r="Z1455" s="128">
        <v>-106153.47</v>
      </c>
      <c r="AA1455" s="128">
        <v>0</v>
      </c>
      <c r="AB1455" s="126">
        <f t="shared" si="152"/>
        <v>1.0615347000000001E-2</v>
      </c>
      <c r="AC1455" s="122" t="s">
        <v>1838</v>
      </c>
      <c r="AD1455" s="123">
        <f t="shared" si="155"/>
        <v>2.5662741829999995</v>
      </c>
    </row>
    <row r="1456" spans="1:30" ht="12.75" hidden="1" customHeight="1">
      <c r="A1456" s="125" t="str">
        <f t="shared" si="149"/>
        <v>LIC72Other Expenses - RWD</v>
      </c>
      <c r="B1456" s="125">
        <f>+IFERROR(VLOOKUP(L1456,'TB mapping'!A:D,4,0),0)</f>
        <v>0</v>
      </c>
      <c r="C1456" s="125">
        <f>+IFERROR(VLOOKUP(L1456,'TB mapping'!A:C,3,0),0)</f>
        <v>6.3</v>
      </c>
      <c r="D1456" s="125" t="str">
        <f t="shared" si="150"/>
        <v>LIC720</v>
      </c>
      <c r="E1456" s="125" t="str">
        <f t="shared" si="151"/>
        <v>LIC726.3</v>
      </c>
      <c r="F1456" s="158" t="str">
        <f>+VLOOKUP(H1456,'code mapping'!A:C,3,0)</f>
        <v>LIC72</v>
      </c>
      <c r="G1456" s="127" t="s">
        <v>453</v>
      </c>
      <c r="H1456" s="127" t="s">
        <v>641</v>
      </c>
      <c r="I1456" s="127" t="s">
        <v>642</v>
      </c>
      <c r="J1456" s="128">
        <v>550000</v>
      </c>
      <c r="K1456" s="127" t="s">
        <v>550</v>
      </c>
      <c r="L1456" s="151">
        <v>553257</v>
      </c>
      <c r="M1456" s="128">
        <v>0</v>
      </c>
      <c r="N1456" s="127" t="s">
        <v>677</v>
      </c>
      <c r="O1456" s="127" t="s">
        <v>457</v>
      </c>
      <c r="P1456" s="128">
        <v>-19644.920000000002</v>
      </c>
      <c r="Q1456" s="128">
        <v>0</v>
      </c>
      <c r="R1456" s="128">
        <v>0</v>
      </c>
      <c r="S1456" s="128">
        <v>0</v>
      </c>
      <c r="T1456" s="128">
        <v>-19644.920000000002</v>
      </c>
      <c r="U1456" s="128">
        <v>0</v>
      </c>
      <c r="V1456" s="128">
        <v>-19644.920000000002</v>
      </c>
      <c r="W1456" s="128">
        <v>0</v>
      </c>
      <c r="X1456" s="128">
        <v>0</v>
      </c>
      <c r="Y1456" s="128">
        <v>0</v>
      </c>
      <c r="Z1456" s="128">
        <v>-19644.920000000002</v>
      </c>
      <c r="AA1456" s="128">
        <v>0</v>
      </c>
      <c r="AB1456" s="126">
        <f t="shared" si="152"/>
        <v>1.964492E-3</v>
      </c>
      <c r="AC1456" s="122" t="s">
        <v>1838</v>
      </c>
      <c r="AD1456" s="123">
        <f t="shared" si="155"/>
        <v>2.5662741829999995</v>
      </c>
    </row>
    <row r="1457" spans="1:30" ht="12.75" hidden="1" customHeight="1">
      <c r="A1457" s="125" t="str">
        <f t="shared" si="149"/>
        <v>LIC72Other Expenses - RMD</v>
      </c>
      <c r="B1457" s="125">
        <f>+IFERROR(VLOOKUP(L1457,'TB mapping'!A:D,4,0),0)</f>
        <v>0</v>
      </c>
      <c r="C1457" s="125">
        <f>+IFERROR(VLOOKUP(L1457,'TB mapping'!A:C,3,0),0)</f>
        <v>6.3</v>
      </c>
      <c r="D1457" s="125" t="str">
        <f t="shared" si="150"/>
        <v>LIC720</v>
      </c>
      <c r="E1457" s="125" t="str">
        <f t="shared" si="151"/>
        <v>LIC726.3</v>
      </c>
      <c r="F1457" s="158" t="str">
        <f>+VLOOKUP(H1457,'code mapping'!A:C,3,0)</f>
        <v>LIC72</v>
      </c>
      <c r="G1457" s="127" t="s">
        <v>453</v>
      </c>
      <c r="H1457" s="127" t="s">
        <v>641</v>
      </c>
      <c r="I1457" s="127" t="s">
        <v>642</v>
      </c>
      <c r="J1457" s="128">
        <v>550000</v>
      </c>
      <c r="K1457" s="127" t="s">
        <v>550</v>
      </c>
      <c r="L1457" s="151">
        <v>553271</v>
      </c>
      <c r="M1457" s="128">
        <v>0</v>
      </c>
      <c r="N1457" s="127" t="s">
        <v>678</v>
      </c>
      <c r="O1457" s="127" t="s">
        <v>457</v>
      </c>
      <c r="P1457" s="128">
        <v>-13024.4</v>
      </c>
      <c r="Q1457" s="128">
        <v>0</v>
      </c>
      <c r="R1457" s="128">
        <v>0</v>
      </c>
      <c r="S1457" s="128">
        <v>0</v>
      </c>
      <c r="T1457" s="128">
        <v>-13024.4</v>
      </c>
      <c r="U1457" s="128">
        <v>0</v>
      </c>
      <c r="V1457" s="128">
        <v>-13024.4</v>
      </c>
      <c r="W1457" s="128">
        <v>0</v>
      </c>
      <c r="X1457" s="128">
        <v>0</v>
      </c>
      <c r="Y1457" s="128">
        <v>0</v>
      </c>
      <c r="Z1457" s="128">
        <v>-13024.4</v>
      </c>
      <c r="AA1457" s="128">
        <v>0</v>
      </c>
      <c r="AB1457" s="126">
        <f t="shared" si="152"/>
        <v>1.30244E-3</v>
      </c>
      <c r="AC1457" s="122" t="s">
        <v>1838</v>
      </c>
      <c r="AD1457" s="123">
        <f t="shared" si="155"/>
        <v>2.5662741829999995</v>
      </c>
    </row>
    <row r="1458" spans="1:30" ht="12.75" hidden="1" customHeight="1">
      <c r="A1458" s="125" t="str">
        <f t="shared" si="149"/>
        <v>LIC72Other Expenses-GDP</v>
      </c>
      <c r="B1458" s="125">
        <f>+IFERROR(VLOOKUP(L1458,'TB mapping'!A:D,4,0),0)</f>
        <v>0</v>
      </c>
      <c r="C1458" s="125">
        <f>+IFERROR(VLOOKUP(L1458,'TB mapping'!A:C,3,0),0)</f>
        <v>6.3</v>
      </c>
      <c r="D1458" s="125" t="str">
        <f t="shared" si="150"/>
        <v>LIC720</v>
      </c>
      <c r="E1458" s="125" t="str">
        <f t="shared" si="151"/>
        <v>LIC726.3</v>
      </c>
      <c r="F1458" s="158" t="str">
        <f>+VLOOKUP(H1458,'code mapping'!A:C,3,0)</f>
        <v>LIC72</v>
      </c>
      <c r="G1458" s="127" t="s">
        <v>453</v>
      </c>
      <c r="H1458" s="127" t="s">
        <v>641</v>
      </c>
      <c r="I1458" s="127" t="s">
        <v>642</v>
      </c>
      <c r="J1458" s="128">
        <v>550000</v>
      </c>
      <c r="K1458" s="127" t="s">
        <v>550</v>
      </c>
      <c r="L1458" s="151">
        <v>553329</v>
      </c>
      <c r="M1458" s="128">
        <v>0</v>
      </c>
      <c r="N1458" s="127" t="s">
        <v>567</v>
      </c>
      <c r="O1458" s="127" t="s">
        <v>457</v>
      </c>
      <c r="P1458" s="128">
        <v>-1566421.12</v>
      </c>
      <c r="Q1458" s="128">
        <v>0</v>
      </c>
      <c r="R1458" s="128">
        <v>0</v>
      </c>
      <c r="S1458" s="128">
        <v>0</v>
      </c>
      <c r="T1458" s="128">
        <v>-1566421.12</v>
      </c>
      <c r="U1458" s="128">
        <v>0</v>
      </c>
      <c r="V1458" s="128">
        <v>-1566421.12</v>
      </c>
      <c r="W1458" s="128">
        <v>0</v>
      </c>
      <c r="X1458" s="128">
        <v>0</v>
      </c>
      <c r="Y1458" s="128">
        <v>0</v>
      </c>
      <c r="Z1458" s="128">
        <v>-1566421.12</v>
      </c>
      <c r="AA1458" s="128">
        <v>0</v>
      </c>
      <c r="AB1458" s="126">
        <f t="shared" si="152"/>
        <v>0.156642112</v>
      </c>
      <c r="AC1458" s="122" t="s">
        <v>1838</v>
      </c>
      <c r="AD1458" s="123">
        <f t="shared" si="155"/>
        <v>2.5662741829999995</v>
      </c>
    </row>
    <row r="1459" spans="1:30" ht="12.75" hidden="1" customHeight="1">
      <c r="A1459" s="125" t="str">
        <f t="shared" si="149"/>
        <v>LIC72Other Expenses-MDP</v>
      </c>
      <c r="B1459" s="125">
        <f>+IFERROR(VLOOKUP(L1459,'TB mapping'!A:D,4,0),0)</f>
        <v>0</v>
      </c>
      <c r="C1459" s="125">
        <f>+IFERROR(VLOOKUP(L1459,'TB mapping'!A:C,3,0),0)</f>
        <v>6.3</v>
      </c>
      <c r="D1459" s="125" t="str">
        <f t="shared" si="150"/>
        <v>LIC720</v>
      </c>
      <c r="E1459" s="125" t="str">
        <f t="shared" si="151"/>
        <v>LIC726.3</v>
      </c>
      <c r="F1459" s="158" t="str">
        <f>+VLOOKUP(H1459,'code mapping'!A:C,3,0)</f>
        <v>LIC72</v>
      </c>
      <c r="G1459" s="127" t="s">
        <v>453</v>
      </c>
      <c r="H1459" s="127" t="s">
        <v>641</v>
      </c>
      <c r="I1459" s="127" t="s">
        <v>642</v>
      </c>
      <c r="J1459" s="128">
        <v>550000</v>
      </c>
      <c r="K1459" s="127" t="s">
        <v>550</v>
      </c>
      <c r="L1459" s="151">
        <v>553332</v>
      </c>
      <c r="M1459" s="128">
        <v>0</v>
      </c>
      <c r="N1459" s="127" t="s">
        <v>679</v>
      </c>
      <c r="O1459" s="127" t="s">
        <v>457</v>
      </c>
      <c r="P1459" s="128">
        <v>-111.01</v>
      </c>
      <c r="Q1459" s="128">
        <v>0</v>
      </c>
      <c r="R1459" s="128">
        <v>0</v>
      </c>
      <c r="S1459" s="128">
        <v>0</v>
      </c>
      <c r="T1459" s="128">
        <v>-111.01</v>
      </c>
      <c r="U1459" s="128">
        <v>0</v>
      </c>
      <c r="V1459" s="128">
        <v>-111.01</v>
      </c>
      <c r="W1459" s="128">
        <v>0</v>
      </c>
      <c r="X1459" s="128">
        <v>0</v>
      </c>
      <c r="Y1459" s="128">
        <v>0</v>
      </c>
      <c r="Z1459" s="128">
        <v>-111.01</v>
      </c>
      <c r="AA1459" s="128">
        <v>0</v>
      </c>
      <c r="AB1459" s="126">
        <f t="shared" si="152"/>
        <v>1.1101000000000001E-5</v>
      </c>
      <c r="AC1459" s="122" t="s">
        <v>1838</v>
      </c>
      <c r="AD1459" s="123">
        <f t="shared" si="155"/>
        <v>2.5662741829999995</v>
      </c>
    </row>
    <row r="1460" spans="1:30" ht="12.75" hidden="1" customHeight="1">
      <c r="A1460" s="125" t="str">
        <f t="shared" si="149"/>
        <v>LIC72Other Expenses-DPD</v>
      </c>
      <c r="B1460" s="125">
        <f>+IFERROR(VLOOKUP(L1460,'TB mapping'!A:D,4,0),0)</f>
        <v>0</v>
      </c>
      <c r="C1460" s="125">
        <f>+IFERROR(VLOOKUP(L1460,'TB mapping'!A:C,3,0),0)</f>
        <v>6.3</v>
      </c>
      <c r="D1460" s="125" t="str">
        <f t="shared" si="150"/>
        <v>LIC720</v>
      </c>
      <c r="E1460" s="125" t="str">
        <f t="shared" si="151"/>
        <v>LIC726.3</v>
      </c>
      <c r="F1460" s="158" t="str">
        <f>+VLOOKUP(H1460,'code mapping'!A:C,3,0)</f>
        <v>LIC72</v>
      </c>
      <c r="G1460" s="127" t="s">
        <v>453</v>
      </c>
      <c r="H1460" s="127" t="s">
        <v>641</v>
      </c>
      <c r="I1460" s="127" t="s">
        <v>642</v>
      </c>
      <c r="J1460" s="128">
        <v>550000</v>
      </c>
      <c r="K1460" s="127" t="s">
        <v>550</v>
      </c>
      <c r="L1460" s="151">
        <v>553350</v>
      </c>
      <c r="M1460" s="128">
        <v>0</v>
      </c>
      <c r="N1460" s="127" t="s">
        <v>680</v>
      </c>
      <c r="O1460" s="127" t="s">
        <v>457</v>
      </c>
      <c r="P1460" s="128">
        <v>-57749.99</v>
      </c>
      <c r="Q1460" s="128">
        <v>0</v>
      </c>
      <c r="R1460" s="128">
        <v>0</v>
      </c>
      <c r="S1460" s="128">
        <v>0</v>
      </c>
      <c r="T1460" s="128">
        <v>-57749.99</v>
      </c>
      <c r="U1460" s="128">
        <v>0</v>
      </c>
      <c r="V1460" s="128">
        <v>-57749.99</v>
      </c>
      <c r="W1460" s="128">
        <v>0</v>
      </c>
      <c r="X1460" s="128">
        <v>0</v>
      </c>
      <c r="Y1460" s="128">
        <v>0</v>
      </c>
      <c r="Z1460" s="128">
        <v>-57749.99</v>
      </c>
      <c r="AA1460" s="128">
        <v>0</v>
      </c>
      <c r="AB1460" s="126">
        <f t="shared" si="152"/>
        <v>5.7749989999999994E-3</v>
      </c>
      <c r="AC1460" s="122" t="s">
        <v>1838</v>
      </c>
      <c r="AD1460" s="123">
        <f t="shared" si="155"/>
        <v>2.5662741829999995</v>
      </c>
    </row>
    <row r="1461" spans="1:30" ht="12.75" hidden="1" customHeight="1">
      <c r="A1461" s="125" t="str">
        <f t="shared" si="149"/>
        <v>LIC72Other Expenses-WDP</v>
      </c>
      <c r="B1461" s="125">
        <f>+IFERROR(VLOOKUP(L1461,'TB mapping'!A:D,4,0),0)</f>
        <v>0</v>
      </c>
      <c r="C1461" s="125">
        <f>+IFERROR(VLOOKUP(L1461,'TB mapping'!A:C,3,0),0)</f>
        <v>6.3</v>
      </c>
      <c r="D1461" s="125" t="str">
        <f t="shared" si="150"/>
        <v>LIC720</v>
      </c>
      <c r="E1461" s="125" t="str">
        <f t="shared" si="151"/>
        <v>LIC726.3</v>
      </c>
      <c r="F1461" s="158" t="str">
        <f>+VLOOKUP(H1461,'code mapping'!A:C,3,0)</f>
        <v>LIC72</v>
      </c>
      <c r="G1461" s="127" t="s">
        <v>453</v>
      </c>
      <c r="H1461" s="127" t="s">
        <v>641</v>
      </c>
      <c r="I1461" s="127" t="s">
        <v>642</v>
      </c>
      <c r="J1461" s="128">
        <v>550000</v>
      </c>
      <c r="K1461" s="127" t="s">
        <v>550</v>
      </c>
      <c r="L1461" s="151">
        <v>553352</v>
      </c>
      <c r="M1461" s="128">
        <v>0</v>
      </c>
      <c r="N1461" s="127" t="s">
        <v>681</v>
      </c>
      <c r="O1461" s="127" t="s">
        <v>457</v>
      </c>
      <c r="P1461" s="128">
        <v>-28457.65</v>
      </c>
      <c r="Q1461" s="128">
        <v>0</v>
      </c>
      <c r="R1461" s="128">
        <v>0</v>
      </c>
      <c r="S1461" s="128">
        <v>0</v>
      </c>
      <c r="T1461" s="128">
        <v>-28457.65</v>
      </c>
      <c r="U1461" s="128">
        <v>0</v>
      </c>
      <c r="V1461" s="128">
        <v>-28457.65</v>
      </c>
      <c r="W1461" s="128">
        <v>0</v>
      </c>
      <c r="X1461" s="128">
        <v>0</v>
      </c>
      <c r="Y1461" s="128">
        <v>0</v>
      </c>
      <c r="Z1461" s="128">
        <v>-28457.65</v>
      </c>
      <c r="AA1461" s="128">
        <v>0</v>
      </c>
      <c r="AB1461" s="126">
        <f t="shared" si="152"/>
        <v>2.8457650000000001E-3</v>
      </c>
      <c r="AC1461" s="122" t="s">
        <v>1838</v>
      </c>
      <c r="AD1461" s="123">
        <f t="shared" si="155"/>
        <v>2.5662741829999995</v>
      </c>
    </row>
    <row r="1462" spans="1:30" ht="12.75" hidden="1" customHeight="1">
      <c r="A1462" s="125" t="str">
        <f t="shared" si="149"/>
        <v>LIC72Inv Educ Fund Expense - Amfi</v>
      </c>
      <c r="B1462" s="125">
        <f>+IFERROR(VLOOKUP(L1462,'TB mapping'!A:D,4,0),0)</f>
        <v>0</v>
      </c>
      <c r="C1462" s="125">
        <f>+IFERROR(VLOOKUP(L1462,'TB mapping'!A:C,3,0),0)</f>
        <v>6.3</v>
      </c>
      <c r="D1462" s="125" t="str">
        <f t="shared" si="150"/>
        <v>LIC720</v>
      </c>
      <c r="E1462" s="125" t="str">
        <f t="shared" si="151"/>
        <v>LIC726.3</v>
      </c>
      <c r="F1462" s="158" t="str">
        <f>+VLOOKUP(H1462,'code mapping'!A:C,3,0)</f>
        <v>LIC72</v>
      </c>
      <c r="G1462" s="127" t="s">
        <v>453</v>
      </c>
      <c r="H1462" s="127" t="s">
        <v>641</v>
      </c>
      <c r="I1462" s="127" t="s">
        <v>642</v>
      </c>
      <c r="J1462" s="128">
        <v>550000</v>
      </c>
      <c r="K1462" s="127" t="s">
        <v>550</v>
      </c>
      <c r="L1462" s="151">
        <v>554526</v>
      </c>
      <c r="M1462" s="128">
        <v>0</v>
      </c>
      <c r="N1462" s="127" t="s">
        <v>569</v>
      </c>
      <c r="O1462" s="127" t="s">
        <v>457</v>
      </c>
      <c r="P1462" s="128">
        <v>-324727.28000000003</v>
      </c>
      <c r="Q1462" s="128">
        <v>0</v>
      </c>
      <c r="R1462" s="128">
        <v>0</v>
      </c>
      <c r="S1462" s="128">
        <v>0</v>
      </c>
      <c r="T1462" s="128">
        <v>-324727.28000000003</v>
      </c>
      <c r="U1462" s="128">
        <v>0</v>
      </c>
      <c r="V1462" s="128">
        <v>-324727.28000000003</v>
      </c>
      <c r="W1462" s="128">
        <v>0</v>
      </c>
      <c r="X1462" s="128">
        <v>0</v>
      </c>
      <c r="Y1462" s="128">
        <v>0</v>
      </c>
      <c r="Z1462" s="128">
        <v>-324727.28000000003</v>
      </c>
      <c r="AA1462" s="128">
        <v>0</v>
      </c>
      <c r="AB1462" s="126">
        <f t="shared" si="152"/>
        <v>3.2472728000000006E-2</v>
      </c>
      <c r="AC1462" s="122" t="s">
        <v>1838</v>
      </c>
      <c r="AD1462" s="123">
        <f t="shared" si="155"/>
        <v>2.5662741829999995</v>
      </c>
    </row>
    <row r="1463" spans="1:30" ht="12.75" hidden="1" customHeight="1">
      <c r="A1463" s="125" t="str">
        <f t="shared" si="149"/>
        <v>LIC72Transaction Processing Charges</v>
      </c>
      <c r="B1463" s="125">
        <f>+IFERROR(VLOOKUP(L1463,'TB mapping'!A:D,4,0),0)</f>
        <v>0</v>
      </c>
      <c r="C1463" s="125">
        <f>+IFERROR(VLOOKUP(L1463,'TB mapping'!A:C,3,0),0)</f>
        <v>6.3</v>
      </c>
      <c r="D1463" s="125" t="str">
        <f t="shared" si="150"/>
        <v>LIC720</v>
      </c>
      <c r="E1463" s="125" t="str">
        <f t="shared" si="151"/>
        <v>LIC726.3</v>
      </c>
      <c r="F1463" s="158" t="str">
        <f>+VLOOKUP(H1463,'code mapping'!A:C,3,0)</f>
        <v>LIC72</v>
      </c>
      <c r="G1463" s="127" t="s">
        <v>453</v>
      </c>
      <c r="H1463" s="127" t="s">
        <v>641</v>
      </c>
      <c r="I1463" s="127" t="s">
        <v>642</v>
      </c>
      <c r="J1463" s="128">
        <v>550000</v>
      </c>
      <c r="K1463" s="127" t="s">
        <v>550</v>
      </c>
      <c r="L1463" s="151">
        <v>554527</v>
      </c>
      <c r="M1463" s="128">
        <v>0</v>
      </c>
      <c r="N1463" s="127" t="s">
        <v>570</v>
      </c>
      <c r="O1463" s="127" t="s">
        <v>457</v>
      </c>
      <c r="P1463" s="128">
        <v>-4778</v>
      </c>
      <c r="Q1463" s="128">
        <v>0</v>
      </c>
      <c r="R1463" s="128">
        <v>0</v>
      </c>
      <c r="S1463" s="128">
        <v>0</v>
      </c>
      <c r="T1463" s="128">
        <v>-4778</v>
      </c>
      <c r="U1463" s="128">
        <v>0</v>
      </c>
      <c r="V1463" s="128">
        <v>-4778</v>
      </c>
      <c r="W1463" s="128">
        <v>0</v>
      </c>
      <c r="X1463" s="128">
        <v>0</v>
      </c>
      <c r="Y1463" s="128">
        <v>0</v>
      </c>
      <c r="Z1463" s="128">
        <v>-4778</v>
      </c>
      <c r="AA1463" s="128">
        <v>0</v>
      </c>
      <c r="AB1463" s="126">
        <f t="shared" si="152"/>
        <v>4.7780000000000001E-4</v>
      </c>
      <c r="AC1463" s="122" t="s">
        <v>1838</v>
      </c>
      <c r="AD1463" s="123">
        <f t="shared" si="155"/>
        <v>2.5662741829999995</v>
      </c>
    </row>
    <row r="1464" spans="1:30" ht="12.75" hidden="1" customHeight="1">
      <c r="A1464" s="125" t="str">
        <f t="shared" si="149"/>
        <v>LIC72Client Servicing Expenes</v>
      </c>
      <c r="B1464" s="125">
        <f>+IFERROR(VLOOKUP(L1464,'TB mapping'!A:D,4,0),0)</f>
        <v>0</v>
      </c>
      <c r="C1464" s="125">
        <f>+IFERROR(VLOOKUP(L1464,'TB mapping'!A:C,3,0),0)</f>
        <v>6.3</v>
      </c>
      <c r="D1464" s="125" t="str">
        <f t="shared" si="150"/>
        <v>LIC720</v>
      </c>
      <c r="E1464" s="125" t="str">
        <f t="shared" si="151"/>
        <v>LIC726.3</v>
      </c>
      <c r="F1464" s="158" t="str">
        <f>+VLOOKUP(H1464,'code mapping'!A:C,3,0)</f>
        <v>LIC72</v>
      </c>
      <c r="G1464" s="127" t="s">
        <v>453</v>
      </c>
      <c r="H1464" s="127" t="s">
        <v>641</v>
      </c>
      <c r="I1464" s="127" t="s">
        <v>642</v>
      </c>
      <c r="J1464" s="128">
        <v>550000</v>
      </c>
      <c r="K1464" s="127" t="s">
        <v>550</v>
      </c>
      <c r="L1464" s="151">
        <v>555157</v>
      </c>
      <c r="M1464" s="128">
        <v>0</v>
      </c>
      <c r="N1464" s="127" t="s">
        <v>571</v>
      </c>
      <c r="O1464" s="127" t="s">
        <v>457</v>
      </c>
      <c r="P1464" s="128">
        <v>-5353906.57</v>
      </c>
      <c r="Q1464" s="128">
        <v>0</v>
      </c>
      <c r="R1464" s="128">
        <v>0</v>
      </c>
      <c r="S1464" s="128">
        <v>0</v>
      </c>
      <c r="T1464" s="128">
        <v>-5353906.57</v>
      </c>
      <c r="U1464" s="128">
        <v>0</v>
      </c>
      <c r="V1464" s="128">
        <v>-5353906.57</v>
      </c>
      <c r="W1464" s="128">
        <v>0</v>
      </c>
      <c r="X1464" s="128">
        <v>0</v>
      </c>
      <c r="Y1464" s="128">
        <v>0</v>
      </c>
      <c r="Z1464" s="128">
        <v>-5353906.57</v>
      </c>
      <c r="AA1464" s="128">
        <v>0</v>
      </c>
      <c r="AB1464" s="126">
        <f t="shared" si="152"/>
        <v>0.53539065699999999</v>
      </c>
      <c r="AC1464" s="122" t="s">
        <v>1838</v>
      </c>
      <c r="AD1464" s="123">
        <f t="shared" si="155"/>
        <v>2.5662741829999995</v>
      </c>
    </row>
    <row r="1465" spans="1:30" ht="12.75" hidden="1" customHeight="1">
      <c r="A1465" s="125" t="str">
        <f t="shared" ref="A1465:A1528" si="156">+F1465&amp;N1465</f>
        <v>LIC72Management Fees - RDD</v>
      </c>
      <c r="B1465" s="125">
        <f>+IFERROR(VLOOKUP(L1465,'TB mapping'!A:D,4,0),0)</f>
        <v>6.1</v>
      </c>
      <c r="C1465" s="125">
        <f>+IFERROR(VLOOKUP(L1465,'TB mapping'!A:C,3,0),0)</f>
        <v>6.3</v>
      </c>
      <c r="D1465" s="125" t="str">
        <f t="shared" ref="D1465:D1528" si="157">+F1465&amp;B1465</f>
        <v>LIC726.1</v>
      </c>
      <c r="E1465" s="125" t="str">
        <f t="shared" ref="E1465:E1528" si="158">+F1465&amp;C1465</f>
        <v>LIC726.3</v>
      </c>
      <c r="F1465" s="158" t="str">
        <f>+VLOOKUP(H1465,'code mapping'!A:C,3,0)</f>
        <v>LIC72</v>
      </c>
      <c r="G1465" s="127" t="s">
        <v>453</v>
      </c>
      <c r="H1465" s="127" t="s">
        <v>641</v>
      </c>
      <c r="I1465" s="127" t="s">
        <v>642</v>
      </c>
      <c r="J1465" s="128">
        <v>550000</v>
      </c>
      <c r="K1465" s="127" t="s">
        <v>550</v>
      </c>
      <c r="L1465" s="151">
        <v>555255</v>
      </c>
      <c r="M1465" s="128">
        <v>0</v>
      </c>
      <c r="N1465" s="127" t="s">
        <v>682</v>
      </c>
      <c r="O1465" s="127" t="s">
        <v>457</v>
      </c>
      <c r="P1465" s="128">
        <v>-402636.1</v>
      </c>
      <c r="Q1465" s="128">
        <v>0</v>
      </c>
      <c r="R1465" s="128">
        <v>0</v>
      </c>
      <c r="S1465" s="128">
        <v>0</v>
      </c>
      <c r="T1465" s="128">
        <v>-402636.1</v>
      </c>
      <c r="U1465" s="128">
        <v>0</v>
      </c>
      <c r="V1465" s="128">
        <v>-402636.1</v>
      </c>
      <c r="W1465" s="128">
        <v>0</v>
      </c>
      <c r="X1465" s="128">
        <v>0</v>
      </c>
      <c r="Y1465" s="128">
        <v>0</v>
      </c>
      <c r="Z1465" s="128">
        <v>-402636.1</v>
      </c>
      <c r="AA1465" s="128">
        <v>0</v>
      </c>
      <c r="AB1465" s="126">
        <f t="shared" ref="AB1465:AB1528" si="159">SUM(-Z1465-AA1465)/10^7</f>
        <v>4.0263609999999998E-2</v>
      </c>
      <c r="AC1465" s="122" t="s">
        <v>1838</v>
      </c>
      <c r="AD1465" s="123">
        <f t="shared" si="155"/>
        <v>2.5662741829999995</v>
      </c>
    </row>
    <row r="1466" spans="1:30" ht="12.75" hidden="1" customHeight="1">
      <c r="A1466" s="125" t="str">
        <f t="shared" si="156"/>
        <v>LIC72Management Fees - RWD</v>
      </c>
      <c r="B1466" s="125">
        <f>+IFERROR(VLOOKUP(L1466,'TB mapping'!A:D,4,0),0)</f>
        <v>6.1</v>
      </c>
      <c r="C1466" s="125">
        <f>+IFERROR(VLOOKUP(L1466,'TB mapping'!A:C,3,0),0)</f>
        <v>6.3</v>
      </c>
      <c r="D1466" s="125" t="str">
        <f t="shared" si="157"/>
        <v>LIC726.1</v>
      </c>
      <c r="E1466" s="125" t="str">
        <f t="shared" si="158"/>
        <v>LIC726.3</v>
      </c>
      <c r="F1466" s="158" t="str">
        <f>+VLOOKUP(H1466,'code mapping'!A:C,3,0)</f>
        <v>LIC72</v>
      </c>
      <c r="G1466" s="127" t="s">
        <v>453</v>
      </c>
      <c r="H1466" s="127" t="s">
        <v>641</v>
      </c>
      <c r="I1466" s="127" t="s">
        <v>642</v>
      </c>
      <c r="J1466" s="128">
        <v>550000</v>
      </c>
      <c r="K1466" s="127" t="s">
        <v>550</v>
      </c>
      <c r="L1466" s="151">
        <v>555257</v>
      </c>
      <c r="M1466" s="128">
        <v>0</v>
      </c>
      <c r="N1466" s="127" t="s">
        <v>683</v>
      </c>
      <c r="O1466" s="127" t="s">
        <v>457</v>
      </c>
      <c r="P1466" s="128">
        <v>-74479.27</v>
      </c>
      <c r="Q1466" s="128">
        <v>0</v>
      </c>
      <c r="R1466" s="128">
        <v>0</v>
      </c>
      <c r="S1466" s="128">
        <v>0</v>
      </c>
      <c r="T1466" s="128">
        <v>-74479.27</v>
      </c>
      <c r="U1466" s="128">
        <v>0</v>
      </c>
      <c r="V1466" s="128">
        <v>-74479.27</v>
      </c>
      <c r="W1466" s="128">
        <v>0</v>
      </c>
      <c r="X1466" s="128">
        <v>0</v>
      </c>
      <c r="Y1466" s="128">
        <v>0</v>
      </c>
      <c r="Z1466" s="128">
        <v>-74479.27</v>
      </c>
      <c r="AA1466" s="128">
        <v>0</v>
      </c>
      <c r="AB1466" s="126">
        <f t="shared" si="159"/>
        <v>7.447927E-3</v>
      </c>
      <c r="AC1466" s="122" t="s">
        <v>1838</v>
      </c>
      <c r="AD1466" s="123">
        <f t="shared" si="155"/>
        <v>2.5662741829999995</v>
      </c>
    </row>
    <row r="1467" spans="1:30" ht="12.75" hidden="1" customHeight="1">
      <c r="A1467" s="125" t="str">
        <f t="shared" si="156"/>
        <v>LIC72Management Fees - RMD</v>
      </c>
      <c r="B1467" s="125">
        <f>+IFERROR(VLOOKUP(L1467,'TB mapping'!A:D,4,0),0)</f>
        <v>6.1</v>
      </c>
      <c r="C1467" s="125">
        <f>+IFERROR(VLOOKUP(L1467,'TB mapping'!A:C,3,0),0)</f>
        <v>6.3</v>
      </c>
      <c r="D1467" s="125" t="str">
        <f t="shared" si="157"/>
        <v>LIC726.1</v>
      </c>
      <c r="E1467" s="125" t="str">
        <f t="shared" si="158"/>
        <v>LIC726.3</v>
      </c>
      <c r="F1467" s="158" t="str">
        <f>+VLOOKUP(H1467,'code mapping'!A:C,3,0)</f>
        <v>LIC72</v>
      </c>
      <c r="G1467" s="127" t="s">
        <v>453</v>
      </c>
      <c r="H1467" s="127" t="s">
        <v>641</v>
      </c>
      <c r="I1467" s="127" t="s">
        <v>642</v>
      </c>
      <c r="J1467" s="128">
        <v>550000</v>
      </c>
      <c r="K1467" s="127" t="s">
        <v>550</v>
      </c>
      <c r="L1467" s="151">
        <v>555271</v>
      </c>
      <c r="M1467" s="128">
        <v>0</v>
      </c>
      <c r="N1467" s="127" t="s">
        <v>684</v>
      </c>
      <c r="O1467" s="127" t="s">
        <v>457</v>
      </c>
      <c r="P1467" s="128">
        <v>-49320.86</v>
      </c>
      <c r="Q1467" s="128">
        <v>0</v>
      </c>
      <c r="R1467" s="128">
        <v>0</v>
      </c>
      <c r="S1467" s="128">
        <v>0</v>
      </c>
      <c r="T1467" s="128">
        <v>-49320.86</v>
      </c>
      <c r="U1467" s="128">
        <v>0</v>
      </c>
      <c r="V1467" s="128">
        <v>-49320.86</v>
      </c>
      <c r="W1467" s="128">
        <v>0</v>
      </c>
      <c r="X1467" s="128">
        <v>0</v>
      </c>
      <c r="Y1467" s="128">
        <v>0</v>
      </c>
      <c r="Z1467" s="128">
        <v>-49320.86</v>
      </c>
      <c r="AA1467" s="128">
        <v>0</v>
      </c>
      <c r="AB1467" s="126">
        <f t="shared" si="159"/>
        <v>4.9320860000000005E-3</v>
      </c>
      <c r="AC1467" s="122" t="s">
        <v>1838</v>
      </c>
      <c r="AD1467" s="123">
        <f t="shared" si="155"/>
        <v>2.5662741829999995</v>
      </c>
    </row>
    <row r="1468" spans="1:30" ht="12.75" hidden="1" customHeight="1">
      <c r="A1468" s="125" t="str">
        <f t="shared" si="156"/>
        <v>LIC72Management Fee-Reclassfication</v>
      </c>
      <c r="B1468" s="125">
        <f>+IFERROR(VLOOKUP(L1468,'TB mapping'!A:D,4,0),0)</f>
        <v>6.1</v>
      </c>
      <c r="C1468" s="125">
        <f>+IFERROR(VLOOKUP(L1468,'TB mapping'!A:C,3,0),0)</f>
        <v>6.3</v>
      </c>
      <c r="D1468" s="125" t="str">
        <f t="shared" si="157"/>
        <v>LIC726.1</v>
      </c>
      <c r="E1468" s="125" t="str">
        <f t="shared" si="158"/>
        <v>LIC726.3</v>
      </c>
      <c r="F1468" s="158" t="str">
        <f>+VLOOKUP(H1468,'code mapping'!A:C,3,0)</f>
        <v>LIC72</v>
      </c>
      <c r="G1468" s="127" t="s">
        <v>453</v>
      </c>
      <c r="H1468" s="127" t="s">
        <v>641</v>
      </c>
      <c r="I1468" s="127" t="s">
        <v>642</v>
      </c>
      <c r="J1468" s="128">
        <v>550000</v>
      </c>
      <c r="K1468" s="127" t="s">
        <v>550</v>
      </c>
      <c r="L1468" s="151">
        <v>555274</v>
      </c>
      <c r="M1468" s="128">
        <v>0</v>
      </c>
      <c r="N1468" s="127" t="s">
        <v>583</v>
      </c>
      <c r="O1468" s="127" t="s">
        <v>457</v>
      </c>
      <c r="P1468" s="128">
        <v>-1144064.93</v>
      </c>
      <c r="Q1468" s="128">
        <v>0</v>
      </c>
      <c r="R1468" s="128">
        <v>0</v>
      </c>
      <c r="S1468" s="128">
        <v>0</v>
      </c>
      <c r="T1468" s="128">
        <v>-1144064.93</v>
      </c>
      <c r="U1468" s="128">
        <v>0</v>
      </c>
      <c r="V1468" s="128">
        <v>-1144064.93</v>
      </c>
      <c r="W1468" s="128">
        <v>0</v>
      </c>
      <c r="X1468" s="128">
        <v>0</v>
      </c>
      <c r="Y1468" s="128">
        <v>0</v>
      </c>
      <c r="Z1468" s="128">
        <v>-1144064.93</v>
      </c>
      <c r="AA1468" s="128">
        <v>0</v>
      </c>
      <c r="AB1468" s="126">
        <f t="shared" si="159"/>
        <v>0.114406493</v>
      </c>
      <c r="AC1468" s="122" t="s">
        <v>1838</v>
      </c>
      <c r="AD1468" s="123">
        <f t="shared" si="155"/>
        <v>2.5662741829999995</v>
      </c>
    </row>
    <row r="1469" spans="1:30" ht="12.75" hidden="1" customHeight="1">
      <c r="A1469" s="125" t="str">
        <f t="shared" si="156"/>
        <v>LIC72CGST on Reclassify of Exp</v>
      </c>
      <c r="B1469" s="125">
        <f>+IFERROR(VLOOKUP(L1469,'TB mapping'!A:D,4,0),0)</f>
        <v>0</v>
      </c>
      <c r="C1469" s="125">
        <f>+IFERROR(VLOOKUP(L1469,'TB mapping'!A:C,3,0),0)</f>
        <v>6.3</v>
      </c>
      <c r="D1469" s="125" t="str">
        <f t="shared" si="157"/>
        <v>LIC720</v>
      </c>
      <c r="E1469" s="125" t="str">
        <f t="shared" si="158"/>
        <v>LIC726.3</v>
      </c>
      <c r="F1469" s="158" t="str">
        <f>+VLOOKUP(H1469,'code mapping'!A:C,3,0)</f>
        <v>LIC72</v>
      </c>
      <c r="G1469" s="127" t="s">
        <v>453</v>
      </c>
      <c r="H1469" s="127" t="s">
        <v>641</v>
      </c>
      <c r="I1469" s="127" t="s">
        <v>642</v>
      </c>
      <c r="J1469" s="128">
        <v>550000</v>
      </c>
      <c r="K1469" s="127" t="s">
        <v>550</v>
      </c>
      <c r="L1469" s="151">
        <v>555276</v>
      </c>
      <c r="M1469" s="128">
        <v>0</v>
      </c>
      <c r="N1469" s="127" t="s">
        <v>572</v>
      </c>
      <c r="O1469" s="127" t="s">
        <v>457</v>
      </c>
      <c r="P1469" s="128">
        <v>-34322.04</v>
      </c>
      <c r="Q1469" s="128">
        <v>0</v>
      </c>
      <c r="R1469" s="128">
        <v>0</v>
      </c>
      <c r="S1469" s="128">
        <v>0</v>
      </c>
      <c r="T1469" s="128">
        <v>-34322.04</v>
      </c>
      <c r="U1469" s="128">
        <v>0</v>
      </c>
      <c r="V1469" s="128">
        <v>-34322.04</v>
      </c>
      <c r="W1469" s="128">
        <v>0</v>
      </c>
      <c r="X1469" s="128">
        <v>0</v>
      </c>
      <c r="Y1469" s="128">
        <v>0</v>
      </c>
      <c r="Z1469" s="128">
        <v>-34322.04</v>
      </c>
      <c r="AA1469" s="128">
        <v>0</v>
      </c>
      <c r="AB1469" s="126">
        <f t="shared" si="159"/>
        <v>3.4322039999999999E-3</v>
      </c>
      <c r="AC1469" s="122" t="s">
        <v>1838</v>
      </c>
      <c r="AD1469" s="123">
        <f t="shared" si="155"/>
        <v>2.5662741829999995</v>
      </c>
    </row>
    <row r="1470" spans="1:30" ht="12.75" hidden="1" customHeight="1">
      <c r="A1470" s="125" t="str">
        <f t="shared" si="156"/>
        <v>LIC72SGST on Reclassify of Exp</v>
      </c>
      <c r="B1470" s="125">
        <f>+IFERROR(VLOOKUP(L1470,'TB mapping'!A:D,4,0),0)</f>
        <v>0</v>
      </c>
      <c r="C1470" s="125">
        <f>+IFERROR(VLOOKUP(L1470,'TB mapping'!A:C,3,0),0)</f>
        <v>6.3</v>
      </c>
      <c r="D1470" s="125" t="str">
        <f t="shared" si="157"/>
        <v>LIC720</v>
      </c>
      <c r="E1470" s="125" t="str">
        <f t="shared" si="158"/>
        <v>LIC726.3</v>
      </c>
      <c r="F1470" s="158" t="str">
        <f>+VLOOKUP(H1470,'code mapping'!A:C,3,0)</f>
        <v>LIC72</v>
      </c>
      <c r="G1470" s="127" t="s">
        <v>453</v>
      </c>
      <c r="H1470" s="127" t="s">
        <v>641</v>
      </c>
      <c r="I1470" s="127" t="s">
        <v>642</v>
      </c>
      <c r="J1470" s="128">
        <v>550000</v>
      </c>
      <c r="K1470" s="127" t="s">
        <v>550</v>
      </c>
      <c r="L1470" s="151">
        <v>555277</v>
      </c>
      <c r="M1470" s="128">
        <v>0</v>
      </c>
      <c r="N1470" s="127" t="s">
        <v>573</v>
      </c>
      <c r="O1470" s="127" t="s">
        <v>457</v>
      </c>
      <c r="P1470" s="128">
        <v>-34322.04</v>
      </c>
      <c r="Q1470" s="128">
        <v>0</v>
      </c>
      <c r="R1470" s="128">
        <v>0</v>
      </c>
      <c r="S1470" s="128">
        <v>0</v>
      </c>
      <c r="T1470" s="128">
        <v>-34322.04</v>
      </c>
      <c r="U1470" s="128">
        <v>0</v>
      </c>
      <c r="V1470" s="128">
        <v>-34322.04</v>
      </c>
      <c r="W1470" s="128">
        <v>0</v>
      </c>
      <c r="X1470" s="128">
        <v>0</v>
      </c>
      <c r="Y1470" s="128">
        <v>0</v>
      </c>
      <c r="Z1470" s="128">
        <v>-34322.04</v>
      </c>
      <c r="AA1470" s="128">
        <v>0</v>
      </c>
      <c r="AB1470" s="126">
        <f t="shared" si="159"/>
        <v>3.4322039999999999E-3</v>
      </c>
      <c r="AC1470" s="122" t="s">
        <v>1838</v>
      </c>
      <c r="AD1470" s="123">
        <f t="shared" si="155"/>
        <v>2.5662741829999995</v>
      </c>
    </row>
    <row r="1471" spans="1:30" ht="12.75" hidden="1" customHeight="1">
      <c r="A1471" s="125" t="str">
        <f t="shared" si="156"/>
        <v>LIC72Other Expense-Reclassfication</v>
      </c>
      <c r="B1471" s="125">
        <f>+IFERROR(VLOOKUP(L1471,'TB mapping'!A:D,4,0),0)</f>
        <v>0</v>
      </c>
      <c r="C1471" s="125">
        <f>+IFERROR(VLOOKUP(L1471,'TB mapping'!A:C,3,0),0)</f>
        <v>0</v>
      </c>
      <c r="D1471" s="125" t="str">
        <f t="shared" si="157"/>
        <v>LIC720</v>
      </c>
      <c r="E1471" s="125" t="str">
        <f t="shared" si="158"/>
        <v>LIC720</v>
      </c>
      <c r="F1471" s="158" t="str">
        <f>+VLOOKUP(H1471,'code mapping'!A:C,3,0)</f>
        <v>LIC72</v>
      </c>
      <c r="G1471" s="127" t="s">
        <v>453</v>
      </c>
      <c r="H1471" s="127" t="s">
        <v>641</v>
      </c>
      <c r="I1471" s="127" t="s">
        <v>642</v>
      </c>
      <c r="J1471" s="128">
        <v>550000</v>
      </c>
      <c r="K1471" s="127" t="s">
        <v>550</v>
      </c>
      <c r="L1471" s="151">
        <v>555280</v>
      </c>
      <c r="M1471" s="128">
        <v>0</v>
      </c>
      <c r="N1471" s="127" t="s">
        <v>1590</v>
      </c>
      <c r="O1471" s="127" t="s">
        <v>457</v>
      </c>
      <c r="P1471" s="128">
        <v>0</v>
      </c>
      <c r="Q1471" s="128">
        <v>200000.01</v>
      </c>
      <c r="R1471" s="128">
        <v>0</v>
      </c>
      <c r="S1471" s="128">
        <v>0</v>
      </c>
      <c r="T1471" s="128">
        <v>0</v>
      </c>
      <c r="U1471" s="128">
        <v>200000.01</v>
      </c>
      <c r="V1471" s="128">
        <v>0</v>
      </c>
      <c r="W1471" s="128">
        <v>200000.01</v>
      </c>
      <c r="X1471" s="128">
        <v>0</v>
      </c>
      <c r="Y1471" s="128">
        <v>0</v>
      </c>
      <c r="Z1471" s="128">
        <v>0</v>
      </c>
      <c r="AA1471" s="128">
        <v>200000.01</v>
      </c>
      <c r="AB1471" s="126">
        <f t="shared" si="159"/>
        <v>-2.0000001E-2</v>
      </c>
      <c r="AC1471" s="122" t="s">
        <v>1838</v>
      </c>
      <c r="AD1471" s="123">
        <f>SUMIF(C:C,C1471,AB:AB)</f>
        <v>1983.9723217250009</v>
      </c>
    </row>
    <row r="1472" spans="1:30" ht="12.75" hidden="1" customHeight="1">
      <c r="A1472" s="125" t="str">
        <f t="shared" si="156"/>
        <v>LIC72CGST on Mfees</v>
      </c>
      <c r="B1472" s="125">
        <f>+IFERROR(VLOOKUP(L1472,'TB mapping'!A:D,4,0),0)</f>
        <v>6.1</v>
      </c>
      <c r="C1472" s="125">
        <f>+IFERROR(VLOOKUP(L1472,'TB mapping'!A:C,3,0),0)</f>
        <v>6.3</v>
      </c>
      <c r="D1472" s="125" t="str">
        <f t="shared" si="157"/>
        <v>LIC726.1</v>
      </c>
      <c r="E1472" s="125" t="str">
        <f t="shared" si="158"/>
        <v>LIC726.3</v>
      </c>
      <c r="F1472" s="158" t="str">
        <f>+VLOOKUP(H1472,'code mapping'!A:C,3,0)</f>
        <v>LIC72</v>
      </c>
      <c r="G1472" s="127" t="s">
        <v>453</v>
      </c>
      <c r="H1472" s="127" t="s">
        <v>641</v>
      </c>
      <c r="I1472" s="127" t="s">
        <v>642</v>
      </c>
      <c r="J1472" s="128">
        <v>550000</v>
      </c>
      <c r="K1472" s="127" t="s">
        <v>550</v>
      </c>
      <c r="L1472" s="151">
        <v>555597</v>
      </c>
      <c r="M1472" s="128">
        <v>0</v>
      </c>
      <c r="N1472" s="127" t="s">
        <v>574</v>
      </c>
      <c r="O1472" s="127" t="s">
        <v>457</v>
      </c>
      <c r="P1472" s="128">
        <v>-691215.19</v>
      </c>
      <c r="Q1472" s="128">
        <v>0</v>
      </c>
      <c r="R1472" s="128">
        <v>0</v>
      </c>
      <c r="S1472" s="128">
        <v>0</v>
      </c>
      <c r="T1472" s="128">
        <v>-691215.19</v>
      </c>
      <c r="U1472" s="128">
        <v>0</v>
      </c>
      <c r="V1472" s="128">
        <v>-691215.19</v>
      </c>
      <c r="W1472" s="128">
        <v>0</v>
      </c>
      <c r="X1472" s="128">
        <v>0</v>
      </c>
      <c r="Y1472" s="128">
        <v>0</v>
      </c>
      <c r="Z1472" s="128">
        <v>-691215.19</v>
      </c>
      <c r="AA1472" s="128">
        <v>0</v>
      </c>
      <c r="AB1472" s="126">
        <f t="shared" si="159"/>
        <v>6.9121518999999992E-2</v>
      </c>
      <c r="AC1472" s="122" t="s">
        <v>1838</v>
      </c>
      <c r="AD1472" s="123">
        <f t="shared" ref="AD1472:AD1482" si="160">SUMIF(E:E,E1472,AB:AB)</f>
        <v>2.5662741829999995</v>
      </c>
    </row>
    <row r="1473" spans="1:30" ht="12.75" hidden="1" customHeight="1">
      <c r="A1473" s="125" t="str">
        <f t="shared" si="156"/>
        <v>LIC72SGST on Mfees</v>
      </c>
      <c r="B1473" s="125">
        <f>+IFERROR(VLOOKUP(L1473,'TB mapping'!A:D,4,0),0)</f>
        <v>6.1</v>
      </c>
      <c r="C1473" s="125">
        <f>+IFERROR(VLOOKUP(L1473,'TB mapping'!A:C,3,0),0)</f>
        <v>6.3</v>
      </c>
      <c r="D1473" s="125" t="str">
        <f t="shared" si="157"/>
        <v>LIC726.1</v>
      </c>
      <c r="E1473" s="125" t="str">
        <f t="shared" si="158"/>
        <v>LIC726.3</v>
      </c>
      <c r="F1473" s="158" t="str">
        <f>+VLOOKUP(H1473,'code mapping'!A:C,3,0)</f>
        <v>LIC72</v>
      </c>
      <c r="G1473" s="127" t="s">
        <v>453</v>
      </c>
      <c r="H1473" s="127" t="s">
        <v>641</v>
      </c>
      <c r="I1473" s="127" t="s">
        <v>642</v>
      </c>
      <c r="J1473" s="128">
        <v>550000</v>
      </c>
      <c r="K1473" s="127" t="s">
        <v>550</v>
      </c>
      <c r="L1473" s="151">
        <v>555598</v>
      </c>
      <c r="M1473" s="128">
        <v>0</v>
      </c>
      <c r="N1473" s="127" t="s">
        <v>575</v>
      </c>
      <c r="O1473" s="127" t="s">
        <v>457</v>
      </c>
      <c r="P1473" s="128">
        <v>-691215.17</v>
      </c>
      <c r="Q1473" s="128">
        <v>0</v>
      </c>
      <c r="R1473" s="128">
        <v>0</v>
      </c>
      <c r="S1473" s="128">
        <v>0</v>
      </c>
      <c r="T1473" s="128">
        <v>-691215.17</v>
      </c>
      <c r="U1473" s="128">
        <v>0</v>
      </c>
      <c r="V1473" s="128">
        <v>-691215.17</v>
      </c>
      <c r="W1473" s="128">
        <v>0</v>
      </c>
      <c r="X1473" s="128">
        <v>0</v>
      </c>
      <c r="Y1473" s="128">
        <v>0</v>
      </c>
      <c r="Z1473" s="128">
        <v>-691215.17</v>
      </c>
      <c r="AA1473" s="128">
        <v>0</v>
      </c>
      <c r="AB1473" s="126">
        <f t="shared" si="159"/>
        <v>6.9121517000000007E-2</v>
      </c>
      <c r="AC1473" s="122" t="s">
        <v>1838</v>
      </c>
      <c r="AD1473" s="123">
        <f t="shared" si="160"/>
        <v>2.5662741829999995</v>
      </c>
    </row>
    <row r="1474" spans="1:30" ht="12.75" hidden="1" customHeight="1">
      <c r="A1474" s="125" t="str">
        <f t="shared" si="156"/>
        <v>LIC72CGST on Mfees -GDP</v>
      </c>
      <c r="B1474" s="125">
        <f>+IFERROR(VLOOKUP(L1474,'TB mapping'!A:D,4,0),0)</f>
        <v>6.1</v>
      </c>
      <c r="C1474" s="125">
        <f>+IFERROR(VLOOKUP(L1474,'TB mapping'!A:C,3,0),0)</f>
        <v>6.3</v>
      </c>
      <c r="D1474" s="125" t="str">
        <f t="shared" si="157"/>
        <v>LIC726.1</v>
      </c>
      <c r="E1474" s="125" t="str">
        <f t="shared" si="158"/>
        <v>LIC726.3</v>
      </c>
      <c r="F1474" s="158" t="str">
        <f>+VLOOKUP(H1474,'code mapping'!A:C,3,0)</f>
        <v>LIC72</v>
      </c>
      <c r="G1474" s="127" t="s">
        <v>453</v>
      </c>
      <c r="H1474" s="127" t="s">
        <v>641</v>
      </c>
      <c r="I1474" s="127" t="s">
        <v>642</v>
      </c>
      <c r="J1474" s="128">
        <v>550000</v>
      </c>
      <c r="K1474" s="127" t="s">
        <v>550</v>
      </c>
      <c r="L1474" s="151">
        <v>555599</v>
      </c>
      <c r="M1474" s="128">
        <v>0</v>
      </c>
      <c r="N1474" s="127" t="s">
        <v>576</v>
      </c>
      <c r="O1474" s="127" t="s">
        <v>457</v>
      </c>
      <c r="P1474" s="128">
        <v>0</v>
      </c>
      <c r="Q1474" s="128">
        <v>775.46</v>
      </c>
      <c r="R1474" s="128">
        <v>0</v>
      </c>
      <c r="S1474" s="128">
        <v>0</v>
      </c>
      <c r="T1474" s="128">
        <v>0</v>
      </c>
      <c r="U1474" s="128">
        <v>775.46</v>
      </c>
      <c r="V1474" s="128">
        <v>0</v>
      </c>
      <c r="W1474" s="128">
        <v>775.46</v>
      </c>
      <c r="X1474" s="128">
        <v>0</v>
      </c>
      <c r="Y1474" s="128">
        <v>0</v>
      </c>
      <c r="Z1474" s="128">
        <v>0</v>
      </c>
      <c r="AA1474" s="128">
        <v>775.46</v>
      </c>
      <c r="AB1474" s="126">
        <f t="shared" si="159"/>
        <v>-7.7546000000000006E-5</v>
      </c>
      <c r="AC1474" s="122" t="s">
        <v>1838</v>
      </c>
      <c r="AD1474" s="123">
        <f t="shared" si="160"/>
        <v>2.5662741829999995</v>
      </c>
    </row>
    <row r="1475" spans="1:30" ht="12.75" hidden="1" customHeight="1">
      <c r="A1475" s="125" t="str">
        <f t="shared" si="156"/>
        <v>LIC72SGST on Mfees -GDP</v>
      </c>
      <c r="B1475" s="125">
        <f>+IFERROR(VLOOKUP(L1475,'TB mapping'!A:D,4,0),0)</f>
        <v>6.1</v>
      </c>
      <c r="C1475" s="125">
        <f>+IFERROR(VLOOKUP(L1475,'TB mapping'!A:C,3,0),0)</f>
        <v>6.3</v>
      </c>
      <c r="D1475" s="125" t="str">
        <f t="shared" si="157"/>
        <v>LIC726.1</v>
      </c>
      <c r="E1475" s="125" t="str">
        <f t="shared" si="158"/>
        <v>LIC726.3</v>
      </c>
      <c r="F1475" s="158" t="str">
        <f>+VLOOKUP(H1475,'code mapping'!A:C,3,0)</f>
        <v>LIC72</v>
      </c>
      <c r="G1475" s="127" t="s">
        <v>453</v>
      </c>
      <c r="H1475" s="127" t="s">
        <v>641</v>
      </c>
      <c r="I1475" s="127" t="s">
        <v>642</v>
      </c>
      <c r="J1475" s="128">
        <v>550000</v>
      </c>
      <c r="K1475" s="127" t="s">
        <v>550</v>
      </c>
      <c r="L1475" s="151">
        <v>555600</v>
      </c>
      <c r="M1475" s="128">
        <v>0</v>
      </c>
      <c r="N1475" s="127" t="s">
        <v>577</v>
      </c>
      <c r="O1475" s="127" t="s">
        <v>457</v>
      </c>
      <c r="P1475" s="128">
        <v>0</v>
      </c>
      <c r="Q1475" s="128">
        <v>775.44</v>
      </c>
      <c r="R1475" s="128">
        <v>0</v>
      </c>
      <c r="S1475" s="128">
        <v>0</v>
      </c>
      <c r="T1475" s="128">
        <v>0</v>
      </c>
      <c r="U1475" s="128">
        <v>775.44</v>
      </c>
      <c r="V1475" s="128">
        <v>0</v>
      </c>
      <c r="W1475" s="128">
        <v>775.44</v>
      </c>
      <c r="X1475" s="128">
        <v>0</v>
      </c>
      <c r="Y1475" s="128">
        <v>0</v>
      </c>
      <c r="Z1475" s="128">
        <v>0</v>
      </c>
      <c r="AA1475" s="128">
        <v>775.44</v>
      </c>
      <c r="AB1475" s="126">
        <f t="shared" si="159"/>
        <v>-7.7544000000000002E-5</v>
      </c>
      <c r="AC1475" s="122" t="s">
        <v>1838</v>
      </c>
      <c r="AD1475" s="123">
        <f t="shared" si="160"/>
        <v>2.5662741829999995</v>
      </c>
    </row>
    <row r="1476" spans="1:30" ht="12.75" hidden="1" customHeight="1">
      <c r="A1476" s="125" t="str">
        <f t="shared" si="156"/>
        <v>LIC72Operating Expenses</v>
      </c>
      <c r="B1476" s="125">
        <f>+IFERROR(VLOOKUP(L1476,'TB mapping'!A:D,4,0),0)</f>
        <v>0</v>
      </c>
      <c r="C1476" s="125">
        <f>+IFERROR(VLOOKUP(L1476,'TB mapping'!A:C,3,0),0)</f>
        <v>6.3</v>
      </c>
      <c r="D1476" s="125" t="str">
        <f t="shared" si="157"/>
        <v>LIC720</v>
      </c>
      <c r="E1476" s="125" t="str">
        <f t="shared" si="158"/>
        <v>LIC726.3</v>
      </c>
      <c r="F1476" s="158" t="str">
        <f>+VLOOKUP(H1476,'code mapping'!A:C,3,0)</f>
        <v>LIC72</v>
      </c>
      <c r="G1476" s="127" t="s">
        <v>453</v>
      </c>
      <c r="H1476" s="127" t="s">
        <v>641</v>
      </c>
      <c r="I1476" s="127" t="s">
        <v>642</v>
      </c>
      <c r="J1476" s="128">
        <v>550000</v>
      </c>
      <c r="K1476" s="127" t="s">
        <v>550</v>
      </c>
      <c r="L1476" s="151">
        <v>556421</v>
      </c>
      <c r="M1476" s="128">
        <v>0</v>
      </c>
      <c r="N1476" s="127" t="s">
        <v>578</v>
      </c>
      <c r="O1476" s="127" t="s">
        <v>457</v>
      </c>
      <c r="P1476" s="128">
        <v>-47554.38</v>
      </c>
      <c r="Q1476" s="128">
        <v>0</v>
      </c>
      <c r="R1476" s="128">
        <v>0</v>
      </c>
      <c r="S1476" s="128">
        <v>0</v>
      </c>
      <c r="T1476" s="128">
        <v>-47554.38</v>
      </c>
      <c r="U1476" s="128">
        <v>0</v>
      </c>
      <c r="V1476" s="128">
        <v>-47554.38</v>
      </c>
      <c r="W1476" s="128">
        <v>0</v>
      </c>
      <c r="X1476" s="128">
        <v>0</v>
      </c>
      <c r="Y1476" s="128">
        <v>0</v>
      </c>
      <c r="Z1476" s="128">
        <v>-47554.38</v>
      </c>
      <c r="AA1476" s="128">
        <v>0</v>
      </c>
      <c r="AB1476" s="126">
        <f t="shared" si="159"/>
        <v>4.7554379999999999E-3</v>
      </c>
      <c r="AC1476" s="122" t="s">
        <v>1838</v>
      </c>
      <c r="AD1476" s="123">
        <f t="shared" si="160"/>
        <v>2.5662741829999995</v>
      </c>
    </row>
    <row r="1477" spans="1:30" ht="12.75" hidden="1" customHeight="1">
      <c r="A1477" s="125" t="str">
        <f t="shared" si="156"/>
        <v>LIC72Management Fee</v>
      </c>
      <c r="B1477" s="125">
        <f>+IFERROR(VLOOKUP(L1477,'TB mapping'!A:D,4,0),0)</f>
        <v>6.1</v>
      </c>
      <c r="C1477" s="125">
        <f>+IFERROR(VLOOKUP(L1477,'TB mapping'!A:C,3,0),0)</f>
        <v>6.3</v>
      </c>
      <c r="D1477" s="125" t="str">
        <f t="shared" si="157"/>
        <v>LIC726.1</v>
      </c>
      <c r="E1477" s="125" t="str">
        <f t="shared" si="158"/>
        <v>LIC726.3</v>
      </c>
      <c r="F1477" s="158" t="str">
        <f>+VLOOKUP(H1477,'code mapping'!A:C,3,0)</f>
        <v>LIC72</v>
      </c>
      <c r="G1477" s="127" t="s">
        <v>453</v>
      </c>
      <c r="H1477" s="127" t="s">
        <v>641</v>
      </c>
      <c r="I1477" s="127" t="s">
        <v>642</v>
      </c>
      <c r="J1477" s="128">
        <v>555100</v>
      </c>
      <c r="K1477" s="127" t="s">
        <v>579</v>
      </c>
      <c r="L1477" s="151">
        <v>555100</v>
      </c>
      <c r="M1477" s="128">
        <v>0</v>
      </c>
      <c r="N1477" s="127" t="s">
        <v>580</v>
      </c>
      <c r="O1477" s="127" t="s">
        <v>457</v>
      </c>
      <c r="P1477" s="128">
        <v>-3107795.37</v>
      </c>
      <c r="Q1477" s="128">
        <v>0</v>
      </c>
      <c r="R1477" s="128">
        <v>0</v>
      </c>
      <c r="S1477" s="128">
        <v>0</v>
      </c>
      <c r="T1477" s="128">
        <v>-3107795.37</v>
      </c>
      <c r="U1477" s="128">
        <v>0</v>
      </c>
      <c r="V1477" s="128">
        <v>-3107795.37</v>
      </c>
      <c r="W1477" s="128">
        <v>0</v>
      </c>
      <c r="X1477" s="128">
        <v>0</v>
      </c>
      <c r="Y1477" s="128">
        <v>0</v>
      </c>
      <c r="Z1477" s="128">
        <v>-3107795.37</v>
      </c>
      <c r="AA1477" s="128">
        <v>0</v>
      </c>
      <c r="AB1477" s="126">
        <f t="shared" si="159"/>
        <v>0.31077953699999999</v>
      </c>
      <c r="AC1477" s="122" t="s">
        <v>1838</v>
      </c>
      <c r="AD1477" s="123">
        <f t="shared" si="160"/>
        <v>2.5662741829999995</v>
      </c>
    </row>
    <row r="1478" spans="1:30" ht="12.75" hidden="1" customHeight="1">
      <c r="A1478" s="125" t="str">
        <f t="shared" si="156"/>
        <v>LIC72Management Fees-RG</v>
      </c>
      <c r="B1478" s="125">
        <f>+IFERROR(VLOOKUP(L1478,'TB mapping'!A:D,4,0),0)</f>
        <v>6.1</v>
      </c>
      <c r="C1478" s="125">
        <f>+IFERROR(VLOOKUP(L1478,'TB mapping'!A:C,3,0),0)</f>
        <v>6.3</v>
      </c>
      <c r="D1478" s="125" t="str">
        <f t="shared" si="157"/>
        <v>LIC726.1</v>
      </c>
      <c r="E1478" s="125" t="str">
        <f t="shared" si="158"/>
        <v>LIC726.3</v>
      </c>
      <c r="F1478" s="158" t="str">
        <f>+VLOOKUP(H1478,'code mapping'!A:C,3,0)</f>
        <v>LIC72</v>
      </c>
      <c r="G1478" s="127" t="s">
        <v>453</v>
      </c>
      <c r="H1478" s="127" t="s">
        <v>641</v>
      </c>
      <c r="I1478" s="127" t="s">
        <v>642</v>
      </c>
      <c r="J1478" s="128">
        <v>555100</v>
      </c>
      <c r="K1478" s="127" t="s">
        <v>579</v>
      </c>
      <c r="L1478" s="151">
        <v>555191</v>
      </c>
      <c r="M1478" s="128">
        <v>0</v>
      </c>
      <c r="N1478" s="127" t="s">
        <v>581</v>
      </c>
      <c r="O1478" s="127" t="s">
        <v>457</v>
      </c>
      <c r="P1478" s="128">
        <v>-2368459.64</v>
      </c>
      <c r="Q1478" s="128">
        <v>0</v>
      </c>
      <c r="R1478" s="128">
        <v>0</v>
      </c>
      <c r="S1478" s="128">
        <v>0</v>
      </c>
      <c r="T1478" s="128">
        <v>-2368459.64</v>
      </c>
      <c r="U1478" s="128">
        <v>0</v>
      </c>
      <c r="V1478" s="128">
        <v>-2368459.64</v>
      </c>
      <c r="W1478" s="128">
        <v>0</v>
      </c>
      <c r="X1478" s="128">
        <v>0</v>
      </c>
      <c r="Y1478" s="128">
        <v>0</v>
      </c>
      <c r="Z1478" s="128">
        <v>-2368459.64</v>
      </c>
      <c r="AA1478" s="128">
        <v>0</v>
      </c>
      <c r="AB1478" s="126">
        <f t="shared" si="159"/>
        <v>0.23684596400000002</v>
      </c>
      <c r="AC1478" s="122" t="s">
        <v>1838</v>
      </c>
      <c r="AD1478" s="123">
        <f t="shared" si="160"/>
        <v>2.5662741829999995</v>
      </c>
    </row>
    <row r="1479" spans="1:30" ht="12.75" hidden="1" customHeight="1">
      <c r="A1479" s="125" t="str">
        <f t="shared" si="156"/>
        <v>LIC72Management Fees-GDP</v>
      </c>
      <c r="B1479" s="125">
        <f>+IFERROR(VLOOKUP(L1479,'TB mapping'!A:D,4,0),0)</f>
        <v>6.1</v>
      </c>
      <c r="C1479" s="125">
        <f>+IFERROR(VLOOKUP(L1479,'TB mapping'!A:C,3,0),0)</f>
        <v>6.3</v>
      </c>
      <c r="D1479" s="125" t="str">
        <f t="shared" si="157"/>
        <v>LIC726.1</v>
      </c>
      <c r="E1479" s="125" t="str">
        <f t="shared" si="158"/>
        <v>LIC726.3</v>
      </c>
      <c r="F1479" s="158" t="str">
        <f>+VLOOKUP(H1479,'code mapping'!A:C,3,0)</f>
        <v>LIC72</v>
      </c>
      <c r="G1479" s="127" t="s">
        <v>453</v>
      </c>
      <c r="H1479" s="127" t="s">
        <v>641</v>
      </c>
      <c r="I1479" s="127" t="s">
        <v>642</v>
      </c>
      <c r="J1479" s="128">
        <v>555100</v>
      </c>
      <c r="K1479" s="127" t="s">
        <v>579</v>
      </c>
      <c r="L1479" s="151">
        <v>555329</v>
      </c>
      <c r="M1479" s="128">
        <v>0</v>
      </c>
      <c r="N1479" s="127" t="s">
        <v>584</v>
      </c>
      <c r="O1479" s="127" t="s">
        <v>457</v>
      </c>
      <c r="P1479" s="128">
        <v>-5924077.8799999999</v>
      </c>
      <c r="Q1479" s="128">
        <v>0</v>
      </c>
      <c r="R1479" s="128">
        <v>0</v>
      </c>
      <c r="S1479" s="128">
        <v>0</v>
      </c>
      <c r="T1479" s="128">
        <v>-5924077.8799999999</v>
      </c>
      <c r="U1479" s="128">
        <v>0</v>
      </c>
      <c r="V1479" s="128">
        <v>-5924077.8799999999</v>
      </c>
      <c r="W1479" s="128">
        <v>0</v>
      </c>
      <c r="X1479" s="128">
        <v>0</v>
      </c>
      <c r="Y1479" s="128">
        <v>0</v>
      </c>
      <c r="Z1479" s="128">
        <v>-5924077.8799999999</v>
      </c>
      <c r="AA1479" s="128">
        <v>0</v>
      </c>
      <c r="AB1479" s="126">
        <f t="shared" si="159"/>
        <v>0.59240778799999994</v>
      </c>
      <c r="AC1479" s="122" t="s">
        <v>1838</v>
      </c>
      <c r="AD1479" s="123">
        <f t="shared" si="160"/>
        <v>2.5662741829999995</v>
      </c>
    </row>
    <row r="1480" spans="1:30" ht="12.75" hidden="1" customHeight="1">
      <c r="A1480" s="125" t="str">
        <f t="shared" si="156"/>
        <v>LIC72Management Fees-MDP</v>
      </c>
      <c r="B1480" s="125">
        <f>+IFERROR(VLOOKUP(L1480,'TB mapping'!A:D,4,0),0)</f>
        <v>6.1</v>
      </c>
      <c r="C1480" s="125">
        <f>+IFERROR(VLOOKUP(L1480,'TB mapping'!A:C,3,0),0)</f>
        <v>6.3</v>
      </c>
      <c r="D1480" s="125" t="str">
        <f t="shared" si="157"/>
        <v>LIC726.1</v>
      </c>
      <c r="E1480" s="125" t="str">
        <f t="shared" si="158"/>
        <v>LIC726.3</v>
      </c>
      <c r="F1480" s="158" t="str">
        <f>+VLOOKUP(H1480,'code mapping'!A:C,3,0)</f>
        <v>LIC72</v>
      </c>
      <c r="G1480" s="127" t="s">
        <v>453</v>
      </c>
      <c r="H1480" s="127" t="s">
        <v>641</v>
      </c>
      <c r="I1480" s="127" t="s">
        <v>642</v>
      </c>
      <c r="J1480" s="128">
        <v>555100</v>
      </c>
      <c r="K1480" s="127" t="s">
        <v>579</v>
      </c>
      <c r="L1480" s="151">
        <v>555332</v>
      </c>
      <c r="M1480" s="128">
        <v>0</v>
      </c>
      <c r="N1480" s="127" t="s">
        <v>685</v>
      </c>
      <c r="O1480" s="127" t="s">
        <v>457</v>
      </c>
      <c r="P1480" s="128">
        <v>-420.72</v>
      </c>
      <c r="Q1480" s="128">
        <v>0</v>
      </c>
      <c r="R1480" s="128">
        <v>0</v>
      </c>
      <c r="S1480" s="128">
        <v>0</v>
      </c>
      <c r="T1480" s="128">
        <v>-420.72</v>
      </c>
      <c r="U1480" s="128">
        <v>0</v>
      </c>
      <c r="V1480" s="128">
        <v>-420.72</v>
      </c>
      <c r="W1480" s="128">
        <v>0</v>
      </c>
      <c r="X1480" s="128">
        <v>0</v>
      </c>
      <c r="Y1480" s="128">
        <v>0</v>
      </c>
      <c r="Z1480" s="128">
        <v>-420.72</v>
      </c>
      <c r="AA1480" s="128">
        <v>0</v>
      </c>
      <c r="AB1480" s="126">
        <f t="shared" si="159"/>
        <v>4.2072E-5</v>
      </c>
      <c r="AC1480" s="122" t="s">
        <v>1838</v>
      </c>
      <c r="AD1480" s="123">
        <f t="shared" si="160"/>
        <v>2.5662741829999995</v>
      </c>
    </row>
    <row r="1481" spans="1:30" ht="12.75" hidden="1" customHeight="1">
      <c r="A1481" s="125" t="str">
        <f t="shared" si="156"/>
        <v>LIC72Management Fees-DPD</v>
      </c>
      <c r="B1481" s="125">
        <f>+IFERROR(VLOOKUP(L1481,'TB mapping'!A:D,4,0),0)</f>
        <v>6.1</v>
      </c>
      <c r="C1481" s="125">
        <f>+IFERROR(VLOOKUP(L1481,'TB mapping'!A:C,3,0),0)</f>
        <v>6.3</v>
      </c>
      <c r="D1481" s="125" t="str">
        <f t="shared" si="157"/>
        <v>LIC726.1</v>
      </c>
      <c r="E1481" s="125" t="str">
        <f t="shared" si="158"/>
        <v>LIC726.3</v>
      </c>
      <c r="F1481" s="158" t="str">
        <f>+VLOOKUP(H1481,'code mapping'!A:C,3,0)</f>
        <v>LIC72</v>
      </c>
      <c r="G1481" s="127" t="s">
        <v>453</v>
      </c>
      <c r="H1481" s="127" t="s">
        <v>641</v>
      </c>
      <c r="I1481" s="127" t="s">
        <v>642</v>
      </c>
      <c r="J1481" s="128">
        <v>555100</v>
      </c>
      <c r="K1481" s="127" t="s">
        <v>579</v>
      </c>
      <c r="L1481" s="151">
        <v>555350</v>
      </c>
      <c r="M1481" s="128">
        <v>0</v>
      </c>
      <c r="N1481" s="127" t="s">
        <v>686</v>
      </c>
      <c r="O1481" s="127" t="s">
        <v>457</v>
      </c>
      <c r="P1481" s="128">
        <v>-218962.41</v>
      </c>
      <c r="Q1481" s="128">
        <v>0</v>
      </c>
      <c r="R1481" s="128">
        <v>0</v>
      </c>
      <c r="S1481" s="128">
        <v>0</v>
      </c>
      <c r="T1481" s="128">
        <v>-218962.41</v>
      </c>
      <c r="U1481" s="128">
        <v>0</v>
      </c>
      <c r="V1481" s="128">
        <v>-218962.41</v>
      </c>
      <c r="W1481" s="128">
        <v>0</v>
      </c>
      <c r="X1481" s="128">
        <v>0</v>
      </c>
      <c r="Y1481" s="128">
        <v>0</v>
      </c>
      <c r="Z1481" s="128">
        <v>-218962.41</v>
      </c>
      <c r="AA1481" s="128">
        <v>0</v>
      </c>
      <c r="AB1481" s="126">
        <f t="shared" si="159"/>
        <v>2.1896241E-2</v>
      </c>
      <c r="AC1481" s="122" t="s">
        <v>1838</v>
      </c>
      <c r="AD1481" s="123">
        <f t="shared" si="160"/>
        <v>2.5662741829999995</v>
      </c>
    </row>
    <row r="1482" spans="1:30" ht="12.75" hidden="1" customHeight="1">
      <c r="A1482" s="125" t="str">
        <f t="shared" si="156"/>
        <v>LIC72Management Fees-WDP</v>
      </c>
      <c r="B1482" s="125">
        <f>+IFERROR(VLOOKUP(L1482,'TB mapping'!A:D,4,0),0)</f>
        <v>6.1</v>
      </c>
      <c r="C1482" s="125">
        <f>+IFERROR(VLOOKUP(L1482,'TB mapping'!A:C,3,0),0)</f>
        <v>6.3</v>
      </c>
      <c r="D1482" s="125" t="str">
        <f t="shared" si="157"/>
        <v>LIC726.1</v>
      </c>
      <c r="E1482" s="125" t="str">
        <f t="shared" si="158"/>
        <v>LIC726.3</v>
      </c>
      <c r="F1482" s="158" t="str">
        <f>+VLOOKUP(H1482,'code mapping'!A:C,3,0)</f>
        <v>LIC72</v>
      </c>
      <c r="G1482" s="127" t="s">
        <v>453</v>
      </c>
      <c r="H1482" s="127" t="s">
        <v>641</v>
      </c>
      <c r="I1482" s="127" t="s">
        <v>642</v>
      </c>
      <c r="J1482" s="128">
        <v>555100</v>
      </c>
      <c r="K1482" s="127" t="s">
        <v>579</v>
      </c>
      <c r="L1482" s="151">
        <v>555352</v>
      </c>
      <c r="M1482" s="128">
        <v>0</v>
      </c>
      <c r="N1482" s="127" t="s">
        <v>687</v>
      </c>
      <c r="O1482" s="127" t="s">
        <v>457</v>
      </c>
      <c r="P1482" s="128">
        <v>-107718.07</v>
      </c>
      <c r="Q1482" s="128">
        <v>0</v>
      </c>
      <c r="R1482" s="128">
        <v>0</v>
      </c>
      <c r="S1482" s="128">
        <v>0</v>
      </c>
      <c r="T1482" s="128">
        <v>-107718.07</v>
      </c>
      <c r="U1482" s="128">
        <v>0</v>
      </c>
      <c r="V1482" s="128">
        <v>-107718.07</v>
      </c>
      <c r="W1482" s="128">
        <v>0</v>
      </c>
      <c r="X1482" s="128">
        <v>0</v>
      </c>
      <c r="Y1482" s="128">
        <v>0</v>
      </c>
      <c r="Z1482" s="128">
        <v>-107718.07</v>
      </c>
      <c r="AA1482" s="128">
        <v>0</v>
      </c>
      <c r="AB1482" s="126">
        <f t="shared" si="159"/>
        <v>1.0771807000000001E-2</v>
      </c>
      <c r="AC1482" s="122" t="s">
        <v>1838</v>
      </c>
      <c r="AD1482" s="123">
        <f t="shared" si="160"/>
        <v>2.5662741829999995</v>
      </c>
    </row>
    <row r="1483" spans="1:30" ht="12.75" hidden="1" customHeight="1">
      <c r="A1483" s="125" t="str">
        <f t="shared" si="156"/>
        <v>LIC72Dividend Dist - RWD</v>
      </c>
      <c r="B1483" s="125">
        <f>+IFERROR(VLOOKUP(L1483,'TB mapping'!A:D,4,0),0)</f>
        <v>0</v>
      </c>
      <c r="C1483" s="125" t="str">
        <f>+IFERROR(VLOOKUP(L1483,'TB mapping'!A:C,3,0),0)</f>
        <v>ignore</v>
      </c>
      <c r="D1483" s="125" t="str">
        <f t="shared" si="157"/>
        <v>LIC720</v>
      </c>
      <c r="E1483" s="125" t="str">
        <f t="shared" si="158"/>
        <v>LIC72ignore</v>
      </c>
      <c r="F1483" s="158" t="str">
        <f>+VLOOKUP(H1483,'code mapping'!A:C,3,0)</f>
        <v>LIC72</v>
      </c>
      <c r="G1483" s="127" t="s">
        <v>453</v>
      </c>
      <c r="H1483" s="127" t="s">
        <v>641</v>
      </c>
      <c r="I1483" s="127" t="s">
        <v>642</v>
      </c>
      <c r="J1483" s="128">
        <v>555300</v>
      </c>
      <c r="K1483" s="127" t="s">
        <v>586</v>
      </c>
      <c r="L1483" s="151">
        <v>553303</v>
      </c>
      <c r="M1483" s="128">
        <v>0</v>
      </c>
      <c r="N1483" s="127" t="s">
        <v>688</v>
      </c>
      <c r="O1483" s="127" t="s">
        <v>457</v>
      </c>
      <c r="P1483" s="128">
        <v>-1253266.58</v>
      </c>
      <c r="Q1483" s="128">
        <v>0</v>
      </c>
      <c r="R1483" s="128">
        <v>0</v>
      </c>
      <c r="S1483" s="128">
        <v>0</v>
      </c>
      <c r="T1483" s="128">
        <v>-1253266.58</v>
      </c>
      <c r="U1483" s="128">
        <v>0</v>
      </c>
      <c r="V1483" s="128">
        <v>-1253266.58</v>
      </c>
      <c r="W1483" s="128">
        <v>0</v>
      </c>
      <c r="X1483" s="128">
        <v>0</v>
      </c>
      <c r="Y1483" s="128">
        <v>0</v>
      </c>
      <c r="Z1483" s="128">
        <v>-1253266.58</v>
      </c>
      <c r="AA1483" s="128">
        <v>0</v>
      </c>
      <c r="AB1483" s="126">
        <f t="shared" si="159"/>
        <v>0.12532665800000001</v>
      </c>
      <c r="AC1483" s="122" t="s">
        <v>1838</v>
      </c>
      <c r="AD1483" s="123">
        <f t="shared" ref="AD1483:AD1514" si="161">SUMIF(C:C,C1483,AB:AB)</f>
        <v>-291.7660984179999</v>
      </c>
    </row>
    <row r="1484" spans="1:30" ht="12.75" hidden="1" customHeight="1">
      <c r="A1484" s="125" t="str">
        <f t="shared" si="156"/>
        <v>LIC72Dividend Dist - RDD</v>
      </c>
      <c r="B1484" s="125">
        <f>+IFERROR(VLOOKUP(L1484,'TB mapping'!A:D,4,0),0)</f>
        <v>0</v>
      </c>
      <c r="C1484" s="125" t="str">
        <f>+IFERROR(VLOOKUP(L1484,'TB mapping'!A:C,3,0),0)</f>
        <v>ignore</v>
      </c>
      <c r="D1484" s="125" t="str">
        <f t="shared" si="157"/>
        <v>LIC720</v>
      </c>
      <c r="E1484" s="125" t="str">
        <f t="shared" si="158"/>
        <v>LIC72ignore</v>
      </c>
      <c r="F1484" s="158" t="str">
        <f>+VLOOKUP(H1484,'code mapping'!A:C,3,0)</f>
        <v>LIC72</v>
      </c>
      <c r="G1484" s="127" t="s">
        <v>453</v>
      </c>
      <c r="H1484" s="127" t="s">
        <v>641</v>
      </c>
      <c r="I1484" s="127" t="s">
        <v>642</v>
      </c>
      <c r="J1484" s="128">
        <v>555300</v>
      </c>
      <c r="K1484" s="127" t="s">
        <v>586</v>
      </c>
      <c r="L1484" s="151">
        <v>553304</v>
      </c>
      <c r="M1484" s="128">
        <v>0</v>
      </c>
      <c r="N1484" s="127" t="s">
        <v>689</v>
      </c>
      <c r="O1484" s="127" t="s">
        <v>457</v>
      </c>
      <c r="P1484" s="128">
        <v>-6484359.6200000001</v>
      </c>
      <c r="Q1484" s="128">
        <v>0</v>
      </c>
      <c r="R1484" s="128">
        <v>0</v>
      </c>
      <c r="S1484" s="128">
        <v>0</v>
      </c>
      <c r="T1484" s="128">
        <v>-6484359.6200000001</v>
      </c>
      <c r="U1484" s="128">
        <v>0</v>
      </c>
      <c r="V1484" s="128">
        <v>-6484359.6200000001</v>
      </c>
      <c r="W1484" s="128">
        <v>0</v>
      </c>
      <c r="X1484" s="128">
        <v>0</v>
      </c>
      <c r="Y1484" s="128">
        <v>0</v>
      </c>
      <c r="Z1484" s="128">
        <v>-6484359.6200000001</v>
      </c>
      <c r="AA1484" s="128">
        <v>0</v>
      </c>
      <c r="AB1484" s="126">
        <f t="shared" si="159"/>
        <v>0.64843596199999998</v>
      </c>
      <c r="AC1484" s="122" t="s">
        <v>1838</v>
      </c>
      <c r="AD1484" s="123">
        <f t="shared" si="161"/>
        <v>-291.7660984179999</v>
      </c>
    </row>
    <row r="1485" spans="1:30" ht="12.75" hidden="1" customHeight="1">
      <c r="A1485" s="125" t="str">
        <f t="shared" si="156"/>
        <v>LIC72Dividend Dist - RMD</v>
      </c>
      <c r="B1485" s="125">
        <f>+IFERROR(VLOOKUP(L1485,'TB mapping'!A:D,4,0),0)</f>
        <v>0</v>
      </c>
      <c r="C1485" s="125" t="str">
        <f>+IFERROR(VLOOKUP(L1485,'TB mapping'!A:C,3,0),0)</f>
        <v>ignore</v>
      </c>
      <c r="D1485" s="125" t="str">
        <f t="shared" si="157"/>
        <v>LIC720</v>
      </c>
      <c r="E1485" s="125" t="str">
        <f t="shared" si="158"/>
        <v>LIC72ignore</v>
      </c>
      <c r="F1485" s="158" t="str">
        <f>+VLOOKUP(H1485,'code mapping'!A:C,3,0)</f>
        <v>LIC72</v>
      </c>
      <c r="G1485" s="127" t="s">
        <v>453</v>
      </c>
      <c r="H1485" s="127" t="s">
        <v>641</v>
      </c>
      <c r="I1485" s="127" t="s">
        <v>642</v>
      </c>
      <c r="J1485" s="128">
        <v>555300</v>
      </c>
      <c r="K1485" s="127" t="s">
        <v>586</v>
      </c>
      <c r="L1485" s="151">
        <v>553306</v>
      </c>
      <c r="M1485" s="128">
        <v>0</v>
      </c>
      <c r="N1485" s="127" t="s">
        <v>690</v>
      </c>
      <c r="O1485" s="127" t="s">
        <v>457</v>
      </c>
      <c r="P1485" s="128">
        <v>-947137.28</v>
      </c>
      <c r="Q1485" s="128">
        <v>0</v>
      </c>
      <c r="R1485" s="128">
        <v>0</v>
      </c>
      <c r="S1485" s="128">
        <v>0</v>
      </c>
      <c r="T1485" s="128">
        <v>-947137.28</v>
      </c>
      <c r="U1485" s="128">
        <v>0</v>
      </c>
      <c r="V1485" s="128">
        <v>-947137.28</v>
      </c>
      <c r="W1485" s="128">
        <v>0</v>
      </c>
      <c r="X1485" s="128">
        <v>0</v>
      </c>
      <c r="Y1485" s="128">
        <v>0</v>
      </c>
      <c r="Z1485" s="128">
        <v>-947137.28</v>
      </c>
      <c r="AA1485" s="128">
        <v>0</v>
      </c>
      <c r="AB1485" s="126">
        <f t="shared" si="159"/>
        <v>9.4713727999999997E-2</v>
      </c>
      <c r="AC1485" s="122" t="s">
        <v>1838</v>
      </c>
      <c r="AD1485" s="123">
        <f t="shared" si="161"/>
        <v>-291.7660984179999</v>
      </c>
    </row>
    <row r="1486" spans="1:30" ht="12.75" hidden="1" customHeight="1">
      <c r="A1486" s="125" t="str">
        <f t="shared" si="156"/>
        <v>LIC72Dividend Distribution-MDP</v>
      </c>
      <c r="B1486" s="125">
        <f>+IFERROR(VLOOKUP(L1486,'TB mapping'!A:D,4,0),0)</f>
        <v>0</v>
      </c>
      <c r="C1486" s="125" t="str">
        <f>+IFERROR(VLOOKUP(L1486,'TB mapping'!A:C,3,0),0)</f>
        <v>ignore</v>
      </c>
      <c r="D1486" s="125" t="str">
        <f t="shared" si="157"/>
        <v>LIC720</v>
      </c>
      <c r="E1486" s="125" t="str">
        <f t="shared" si="158"/>
        <v>LIC72ignore</v>
      </c>
      <c r="F1486" s="158" t="str">
        <f>+VLOOKUP(H1486,'code mapping'!A:C,3,0)</f>
        <v>LIC72</v>
      </c>
      <c r="G1486" s="127" t="s">
        <v>453</v>
      </c>
      <c r="H1486" s="127" t="s">
        <v>641</v>
      </c>
      <c r="I1486" s="127" t="s">
        <v>642</v>
      </c>
      <c r="J1486" s="128">
        <v>555300</v>
      </c>
      <c r="K1486" s="127" t="s">
        <v>586</v>
      </c>
      <c r="L1486" s="151">
        <v>554348</v>
      </c>
      <c r="M1486" s="128">
        <v>0</v>
      </c>
      <c r="N1486" s="127" t="s">
        <v>691</v>
      </c>
      <c r="O1486" s="127" t="s">
        <v>457</v>
      </c>
      <c r="P1486" s="128">
        <v>-5119.12</v>
      </c>
      <c r="Q1486" s="128">
        <v>0</v>
      </c>
      <c r="R1486" s="128">
        <v>0</v>
      </c>
      <c r="S1486" s="128">
        <v>0</v>
      </c>
      <c r="T1486" s="128">
        <v>-5119.12</v>
      </c>
      <c r="U1486" s="128">
        <v>0</v>
      </c>
      <c r="V1486" s="128">
        <v>-5119.12</v>
      </c>
      <c r="W1486" s="128">
        <v>0</v>
      </c>
      <c r="X1486" s="128">
        <v>0</v>
      </c>
      <c r="Y1486" s="128">
        <v>0</v>
      </c>
      <c r="Z1486" s="128">
        <v>-5119.12</v>
      </c>
      <c r="AA1486" s="128">
        <v>0</v>
      </c>
      <c r="AB1486" s="126">
        <f t="shared" si="159"/>
        <v>5.11912E-4</v>
      </c>
      <c r="AC1486" s="122" t="s">
        <v>1838</v>
      </c>
      <c r="AD1486" s="123">
        <f t="shared" si="161"/>
        <v>-291.7660984179999</v>
      </c>
    </row>
    <row r="1487" spans="1:30" ht="12.75" hidden="1" customHeight="1">
      <c r="A1487" s="125" t="str">
        <f t="shared" si="156"/>
        <v>LIC72Dividend Distribution-DPD</v>
      </c>
      <c r="B1487" s="125">
        <f>+IFERROR(VLOOKUP(L1487,'TB mapping'!A:D,4,0),0)</f>
        <v>0</v>
      </c>
      <c r="C1487" s="125" t="str">
        <f>+IFERROR(VLOOKUP(L1487,'TB mapping'!A:C,3,0),0)</f>
        <v>ignore</v>
      </c>
      <c r="D1487" s="125" t="str">
        <f t="shared" si="157"/>
        <v>LIC720</v>
      </c>
      <c r="E1487" s="125" t="str">
        <f t="shared" si="158"/>
        <v>LIC72ignore</v>
      </c>
      <c r="F1487" s="158" t="str">
        <f>+VLOOKUP(H1487,'code mapping'!A:C,3,0)</f>
        <v>LIC72</v>
      </c>
      <c r="G1487" s="127" t="s">
        <v>453</v>
      </c>
      <c r="H1487" s="127" t="s">
        <v>641</v>
      </c>
      <c r="I1487" s="127" t="s">
        <v>642</v>
      </c>
      <c r="J1487" s="128">
        <v>555300</v>
      </c>
      <c r="K1487" s="127" t="s">
        <v>586</v>
      </c>
      <c r="L1487" s="151">
        <v>554366</v>
      </c>
      <c r="M1487" s="128">
        <v>0</v>
      </c>
      <c r="N1487" s="127" t="s">
        <v>692</v>
      </c>
      <c r="O1487" s="127" t="s">
        <v>457</v>
      </c>
      <c r="P1487" s="128">
        <v>-5308252.5599999996</v>
      </c>
      <c r="Q1487" s="128">
        <v>0</v>
      </c>
      <c r="R1487" s="128">
        <v>0</v>
      </c>
      <c r="S1487" s="128">
        <v>0</v>
      </c>
      <c r="T1487" s="128">
        <v>-5308252.5599999996</v>
      </c>
      <c r="U1487" s="128">
        <v>0</v>
      </c>
      <c r="V1487" s="128">
        <v>-5308252.5599999996</v>
      </c>
      <c r="W1487" s="128">
        <v>0</v>
      </c>
      <c r="X1487" s="128">
        <v>0</v>
      </c>
      <c r="Y1487" s="128">
        <v>0</v>
      </c>
      <c r="Z1487" s="128">
        <v>-5308252.5599999996</v>
      </c>
      <c r="AA1487" s="128">
        <v>0</v>
      </c>
      <c r="AB1487" s="126">
        <f t="shared" si="159"/>
        <v>0.53082525599999997</v>
      </c>
      <c r="AC1487" s="122" t="s">
        <v>1838</v>
      </c>
      <c r="AD1487" s="123">
        <f t="shared" si="161"/>
        <v>-291.7660984179999</v>
      </c>
    </row>
    <row r="1488" spans="1:30" ht="12.75" hidden="1" customHeight="1">
      <c r="A1488" s="125" t="str">
        <f t="shared" si="156"/>
        <v>LIC72Dividend Distribution-WDP</v>
      </c>
      <c r="B1488" s="125">
        <f>+IFERROR(VLOOKUP(L1488,'TB mapping'!A:D,4,0),0)</f>
        <v>0</v>
      </c>
      <c r="C1488" s="125" t="str">
        <f>+IFERROR(VLOOKUP(L1488,'TB mapping'!A:C,3,0),0)</f>
        <v>ignore</v>
      </c>
      <c r="D1488" s="125" t="str">
        <f t="shared" si="157"/>
        <v>LIC720</v>
      </c>
      <c r="E1488" s="125" t="str">
        <f t="shared" si="158"/>
        <v>LIC72ignore</v>
      </c>
      <c r="F1488" s="158" t="str">
        <f>+VLOOKUP(H1488,'code mapping'!A:C,3,0)</f>
        <v>LIC72</v>
      </c>
      <c r="G1488" s="127" t="s">
        <v>453</v>
      </c>
      <c r="H1488" s="127" t="s">
        <v>641</v>
      </c>
      <c r="I1488" s="127" t="s">
        <v>642</v>
      </c>
      <c r="J1488" s="128">
        <v>555300</v>
      </c>
      <c r="K1488" s="127" t="s">
        <v>586</v>
      </c>
      <c r="L1488" s="151">
        <v>554368</v>
      </c>
      <c r="M1488" s="128">
        <v>0</v>
      </c>
      <c r="N1488" s="127" t="s">
        <v>693</v>
      </c>
      <c r="O1488" s="127" t="s">
        <v>457</v>
      </c>
      <c r="P1488" s="128">
        <v>-1267483.6099999999</v>
      </c>
      <c r="Q1488" s="128">
        <v>0</v>
      </c>
      <c r="R1488" s="128">
        <v>0</v>
      </c>
      <c r="S1488" s="128">
        <v>0</v>
      </c>
      <c r="T1488" s="128">
        <v>-1267483.6099999999</v>
      </c>
      <c r="U1488" s="128">
        <v>0</v>
      </c>
      <c r="V1488" s="128">
        <v>-1267483.6099999999</v>
      </c>
      <c r="W1488" s="128">
        <v>0</v>
      </c>
      <c r="X1488" s="128">
        <v>0</v>
      </c>
      <c r="Y1488" s="128">
        <v>0</v>
      </c>
      <c r="Z1488" s="128">
        <v>-1267483.6099999999</v>
      </c>
      <c r="AA1488" s="128">
        <v>0</v>
      </c>
      <c r="AB1488" s="126">
        <f t="shared" si="159"/>
        <v>0.12674836099999998</v>
      </c>
      <c r="AC1488" s="122" t="s">
        <v>1838</v>
      </c>
      <c r="AD1488" s="123">
        <f t="shared" si="161"/>
        <v>-291.7660984179999</v>
      </c>
    </row>
    <row r="1489" spans="1:30" ht="12.75" hidden="1" customHeight="1">
      <c r="A1489" s="125" t="str">
        <f t="shared" si="156"/>
        <v>LIC72DDT Expense-RWD</v>
      </c>
      <c r="B1489" s="125">
        <f>+IFERROR(VLOOKUP(L1489,'TB mapping'!A:D,4,0),0)</f>
        <v>0</v>
      </c>
      <c r="C1489" s="125" t="str">
        <f>+IFERROR(VLOOKUP(L1489,'TB mapping'!A:C,3,0),0)</f>
        <v>ignore</v>
      </c>
      <c r="D1489" s="125" t="str">
        <f t="shared" si="157"/>
        <v>LIC720</v>
      </c>
      <c r="E1489" s="125" t="str">
        <f t="shared" si="158"/>
        <v>LIC72ignore</v>
      </c>
      <c r="F1489" s="158" t="str">
        <f>+VLOOKUP(H1489,'code mapping'!A:C,3,0)</f>
        <v>LIC72</v>
      </c>
      <c r="G1489" s="127" t="s">
        <v>453</v>
      </c>
      <c r="H1489" s="127" t="s">
        <v>641</v>
      </c>
      <c r="I1489" s="127" t="s">
        <v>642</v>
      </c>
      <c r="J1489" s="128">
        <v>555300</v>
      </c>
      <c r="K1489" s="127" t="s">
        <v>586</v>
      </c>
      <c r="L1489" s="151">
        <v>556303</v>
      </c>
      <c r="M1489" s="128">
        <v>0</v>
      </c>
      <c r="N1489" s="127" t="s">
        <v>694</v>
      </c>
      <c r="O1489" s="127" t="s">
        <v>457</v>
      </c>
      <c r="P1489" s="128">
        <v>-494204.68</v>
      </c>
      <c r="Q1489" s="128">
        <v>0</v>
      </c>
      <c r="R1489" s="128">
        <v>0</v>
      </c>
      <c r="S1489" s="128">
        <v>0</v>
      </c>
      <c r="T1489" s="128">
        <v>-494204.68</v>
      </c>
      <c r="U1489" s="128">
        <v>0</v>
      </c>
      <c r="V1489" s="128">
        <v>-494204.68</v>
      </c>
      <c r="W1489" s="128">
        <v>0</v>
      </c>
      <c r="X1489" s="128">
        <v>0</v>
      </c>
      <c r="Y1489" s="128">
        <v>0</v>
      </c>
      <c r="Z1489" s="128">
        <v>-494204.68</v>
      </c>
      <c r="AA1489" s="128">
        <v>0</v>
      </c>
      <c r="AB1489" s="126">
        <f t="shared" si="159"/>
        <v>4.9420468000000002E-2</v>
      </c>
      <c r="AC1489" s="122" t="s">
        <v>1838</v>
      </c>
      <c r="AD1489" s="123">
        <f t="shared" si="161"/>
        <v>-291.7660984179999</v>
      </c>
    </row>
    <row r="1490" spans="1:30" ht="12.75" hidden="1" customHeight="1">
      <c r="A1490" s="125" t="str">
        <f t="shared" si="156"/>
        <v>LIC72DDT Expense-RDD</v>
      </c>
      <c r="B1490" s="125">
        <f>+IFERROR(VLOOKUP(L1490,'TB mapping'!A:D,4,0),0)</f>
        <v>0</v>
      </c>
      <c r="C1490" s="125" t="str">
        <f>+IFERROR(VLOOKUP(L1490,'TB mapping'!A:C,3,0),0)</f>
        <v>ignore</v>
      </c>
      <c r="D1490" s="125" t="str">
        <f t="shared" si="157"/>
        <v>LIC720</v>
      </c>
      <c r="E1490" s="125" t="str">
        <f t="shared" si="158"/>
        <v>LIC72ignore</v>
      </c>
      <c r="F1490" s="158" t="str">
        <f>+VLOOKUP(H1490,'code mapping'!A:C,3,0)</f>
        <v>LIC72</v>
      </c>
      <c r="G1490" s="127" t="s">
        <v>453</v>
      </c>
      <c r="H1490" s="127" t="s">
        <v>641</v>
      </c>
      <c r="I1490" s="127" t="s">
        <v>642</v>
      </c>
      <c r="J1490" s="128">
        <v>555300</v>
      </c>
      <c r="K1490" s="127" t="s">
        <v>586</v>
      </c>
      <c r="L1490" s="151">
        <v>556304</v>
      </c>
      <c r="M1490" s="128">
        <v>0</v>
      </c>
      <c r="N1490" s="127" t="s">
        <v>695</v>
      </c>
      <c r="O1490" s="127" t="s">
        <v>457</v>
      </c>
      <c r="P1490" s="128">
        <v>-2586923.4300000002</v>
      </c>
      <c r="Q1490" s="128">
        <v>0</v>
      </c>
      <c r="R1490" s="128">
        <v>0</v>
      </c>
      <c r="S1490" s="128">
        <v>0</v>
      </c>
      <c r="T1490" s="128">
        <v>-2586923.4300000002</v>
      </c>
      <c r="U1490" s="128">
        <v>0</v>
      </c>
      <c r="V1490" s="128">
        <v>-2586923.4300000002</v>
      </c>
      <c r="W1490" s="128">
        <v>0</v>
      </c>
      <c r="X1490" s="128">
        <v>0</v>
      </c>
      <c r="Y1490" s="128">
        <v>0</v>
      </c>
      <c r="Z1490" s="128">
        <v>-2586923.4300000002</v>
      </c>
      <c r="AA1490" s="128">
        <v>0</v>
      </c>
      <c r="AB1490" s="126">
        <f t="shared" si="159"/>
        <v>0.25869234299999999</v>
      </c>
      <c r="AC1490" s="122" t="s">
        <v>1838</v>
      </c>
      <c r="AD1490" s="123">
        <f t="shared" si="161"/>
        <v>-291.7660984179999</v>
      </c>
    </row>
    <row r="1491" spans="1:30" ht="12.75" hidden="1" customHeight="1">
      <c r="A1491" s="125" t="str">
        <f t="shared" si="156"/>
        <v>LIC72DDT Expense-RMD</v>
      </c>
      <c r="B1491" s="125">
        <f>+IFERROR(VLOOKUP(L1491,'TB mapping'!A:D,4,0),0)</f>
        <v>0</v>
      </c>
      <c r="C1491" s="125" t="str">
        <f>+IFERROR(VLOOKUP(L1491,'TB mapping'!A:C,3,0),0)</f>
        <v>ignore</v>
      </c>
      <c r="D1491" s="125" t="str">
        <f t="shared" si="157"/>
        <v>LIC720</v>
      </c>
      <c r="E1491" s="125" t="str">
        <f t="shared" si="158"/>
        <v>LIC72ignore</v>
      </c>
      <c r="F1491" s="158" t="str">
        <f>+VLOOKUP(H1491,'code mapping'!A:C,3,0)</f>
        <v>LIC72</v>
      </c>
      <c r="G1491" s="127" t="s">
        <v>453</v>
      </c>
      <c r="H1491" s="127" t="s">
        <v>641</v>
      </c>
      <c r="I1491" s="127" t="s">
        <v>642</v>
      </c>
      <c r="J1491" s="128">
        <v>555300</v>
      </c>
      <c r="K1491" s="127" t="s">
        <v>586</v>
      </c>
      <c r="L1491" s="151">
        <v>556306</v>
      </c>
      <c r="M1491" s="128">
        <v>0</v>
      </c>
      <c r="N1491" s="127" t="s">
        <v>696</v>
      </c>
      <c r="O1491" s="127" t="s">
        <v>457</v>
      </c>
      <c r="P1491" s="128">
        <v>-392470.45</v>
      </c>
      <c r="Q1491" s="128">
        <v>0</v>
      </c>
      <c r="R1491" s="128">
        <v>0</v>
      </c>
      <c r="S1491" s="128">
        <v>0</v>
      </c>
      <c r="T1491" s="128">
        <v>-392470.45</v>
      </c>
      <c r="U1491" s="128">
        <v>0</v>
      </c>
      <c r="V1491" s="128">
        <v>-392470.45</v>
      </c>
      <c r="W1491" s="128">
        <v>0</v>
      </c>
      <c r="X1491" s="128">
        <v>0</v>
      </c>
      <c r="Y1491" s="128">
        <v>0</v>
      </c>
      <c r="Z1491" s="128">
        <v>-392470.45</v>
      </c>
      <c r="AA1491" s="128">
        <v>0</v>
      </c>
      <c r="AB1491" s="126">
        <f t="shared" si="159"/>
        <v>3.9247045000000001E-2</v>
      </c>
      <c r="AC1491" s="122" t="s">
        <v>1838</v>
      </c>
      <c r="AD1491" s="123">
        <f t="shared" si="161"/>
        <v>-291.7660984179999</v>
      </c>
    </row>
    <row r="1492" spans="1:30" ht="12.75" hidden="1" customHeight="1">
      <c r="A1492" s="125" t="str">
        <f t="shared" si="156"/>
        <v>LIC72DDT Expense-MDP</v>
      </c>
      <c r="B1492" s="125">
        <f>+IFERROR(VLOOKUP(L1492,'TB mapping'!A:D,4,0),0)</f>
        <v>0</v>
      </c>
      <c r="C1492" s="125" t="str">
        <f>+IFERROR(VLOOKUP(L1492,'TB mapping'!A:C,3,0),0)</f>
        <v>ignore</v>
      </c>
      <c r="D1492" s="125" t="str">
        <f t="shared" si="157"/>
        <v>LIC720</v>
      </c>
      <c r="E1492" s="125" t="str">
        <f t="shared" si="158"/>
        <v>LIC72ignore</v>
      </c>
      <c r="F1492" s="158" t="str">
        <f>+VLOOKUP(H1492,'code mapping'!A:C,3,0)</f>
        <v>LIC72</v>
      </c>
      <c r="G1492" s="127" t="s">
        <v>453</v>
      </c>
      <c r="H1492" s="127" t="s">
        <v>641</v>
      </c>
      <c r="I1492" s="127" t="s">
        <v>642</v>
      </c>
      <c r="J1492" s="128">
        <v>555300</v>
      </c>
      <c r="K1492" s="127" t="s">
        <v>586</v>
      </c>
      <c r="L1492" s="151">
        <v>556348</v>
      </c>
      <c r="M1492" s="128">
        <v>0</v>
      </c>
      <c r="N1492" s="127" t="s">
        <v>697</v>
      </c>
      <c r="O1492" s="127" t="s">
        <v>457</v>
      </c>
      <c r="P1492" s="128">
        <v>-1969.38</v>
      </c>
      <c r="Q1492" s="128">
        <v>0</v>
      </c>
      <c r="R1492" s="128">
        <v>0</v>
      </c>
      <c r="S1492" s="128">
        <v>0</v>
      </c>
      <c r="T1492" s="128">
        <v>-1969.38</v>
      </c>
      <c r="U1492" s="128">
        <v>0</v>
      </c>
      <c r="V1492" s="128">
        <v>-1969.38</v>
      </c>
      <c r="W1492" s="128">
        <v>0</v>
      </c>
      <c r="X1492" s="128">
        <v>0</v>
      </c>
      <c r="Y1492" s="128">
        <v>0</v>
      </c>
      <c r="Z1492" s="128">
        <v>-1969.38</v>
      </c>
      <c r="AA1492" s="128">
        <v>0</v>
      </c>
      <c r="AB1492" s="126">
        <f t="shared" si="159"/>
        <v>1.9693800000000002E-4</v>
      </c>
      <c r="AC1492" s="122" t="s">
        <v>1838</v>
      </c>
      <c r="AD1492" s="123">
        <f t="shared" si="161"/>
        <v>-291.7660984179999</v>
      </c>
    </row>
    <row r="1493" spans="1:30" ht="12.75" hidden="1" customHeight="1">
      <c r="A1493" s="125" t="str">
        <f t="shared" si="156"/>
        <v>LIC72DDT Expense-DPD</v>
      </c>
      <c r="B1493" s="125">
        <f>+IFERROR(VLOOKUP(L1493,'TB mapping'!A:D,4,0),0)</f>
        <v>0</v>
      </c>
      <c r="C1493" s="125" t="str">
        <f>+IFERROR(VLOOKUP(L1493,'TB mapping'!A:C,3,0),0)</f>
        <v>ignore</v>
      </c>
      <c r="D1493" s="125" t="str">
        <f t="shared" si="157"/>
        <v>LIC720</v>
      </c>
      <c r="E1493" s="125" t="str">
        <f t="shared" si="158"/>
        <v>LIC72ignore</v>
      </c>
      <c r="F1493" s="158" t="str">
        <f>+VLOOKUP(H1493,'code mapping'!A:C,3,0)</f>
        <v>LIC72</v>
      </c>
      <c r="G1493" s="127" t="s">
        <v>453</v>
      </c>
      <c r="H1493" s="127" t="s">
        <v>641</v>
      </c>
      <c r="I1493" s="127" t="s">
        <v>642</v>
      </c>
      <c r="J1493" s="128">
        <v>555300</v>
      </c>
      <c r="K1493" s="127" t="s">
        <v>586</v>
      </c>
      <c r="L1493" s="151">
        <v>556366</v>
      </c>
      <c r="M1493" s="128">
        <v>0</v>
      </c>
      <c r="N1493" s="127" t="s">
        <v>698</v>
      </c>
      <c r="O1493" s="127" t="s">
        <v>457</v>
      </c>
      <c r="P1493" s="128">
        <v>-2319688.0699999998</v>
      </c>
      <c r="Q1493" s="128">
        <v>0</v>
      </c>
      <c r="R1493" s="128">
        <v>0</v>
      </c>
      <c r="S1493" s="128">
        <v>0</v>
      </c>
      <c r="T1493" s="128">
        <v>-2319688.0699999998</v>
      </c>
      <c r="U1493" s="128">
        <v>0</v>
      </c>
      <c r="V1493" s="128">
        <v>-2319688.0699999998</v>
      </c>
      <c r="W1493" s="128">
        <v>0</v>
      </c>
      <c r="X1493" s="128">
        <v>0</v>
      </c>
      <c r="Y1493" s="128">
        <v>0</v>
      </c>
      <c r="Z1493" s="128">
        <v>-2319688.0699999998</v>
      </c>
      <c r="AA1493" s="128">
        <v>0</v>
      </c>
      <c r="AB1493" s="126">
        <f t="shared" si="159"/>
        <v>0.23196880699999997</v>
      </c>
      <c r="AC1493" s="122" t="s">
        <v>1838</v>
      </c>
      <c r="AD1493" s="123">
        <f t="shared" si="161"/>
        <v>-291.7660984179999</v>
      </c>
    </row>
    <row r="1494" spans="1:30" ht="12.75" hidden="1" customHeight="1">
      <c r="A1494" s="125" t="str">
        <f t="shared" si="156"/>
        <v>LIC72DDT Expense-WDP</v>
      </c>
      <c r="B1494" s="125">
        <f>+IFERROR(VLOOKUP(L1494,'TB mapping'!A:D,4,0),0)</f>
        <v>0</v>
      </c>
      <c r="C1494" s="125" t="str">
        <f>+IFERROR(VLOOKUP(L1494,'TB mapping'!A:C,3,0),0)</f>
        <v>ignore</v>
      </c>
      <c r="D1494" s="125" t="str">
        <f t="shared" si="157"/>
        <v>LIC720</v>
      </c>
      <c r="E1494" s="125" t="str">
        <f t="shared" si="158"/>
        <v>LIC72ignore</v>
      </c>
      <c r="F1494" s="158" t="str">
        <f>+VLOOKUP(H1494,'code mapping'!A:C,3,0)</f>
        <v>LIC72</v>
      </c>
      <c r="G1494" s="127" t="s">
        <v>453</v>
      </c>
      <c r="H1494" s="127" t="s">
        <v>641</v>
      </c>
      <c r="I1494" s="127" t="s">
        <v>642</v>
      </c>
      <c r="J1494" s="128">
        <v>555300</v>
      </c>
      <c r="K1494" s="127" t="s">
        <v>586</v>
      </c>
      <c r="L1494" s="151">
        <v>556368</v>
      </c>
      <c r="M1494" s="128">
        <v>0</v>
      </c>
      <c r="N1494" s="127" t="s">
        <v>699</v>
      </c>
      <c r="O1494" s="127" t="s">
        <v>457</v>
      </c>
      <c r="P1494" s="128">
        <v>-487390.46</v>
      </c>
      <c r="Q1494" s="128">
        <v>0</v>
      </c>
      <c r="R1494" s="128">
        <v>0</v>
      </c>
      <c r="S1494" s="128">
        <v>0</v>
      </c>
      <c r="T1494" s="128">
        <v>-487390.46</v>
      </c>
      <c r="U1494" s="128">
        <v>0</v>
      </c>
      <c r="V1494" s="128">
        <v>-487390.46</v>
      </c>
      <c r="W1494" s="128">
        <v>0</v>
      </c>
      <c r="X1494" s="128">
        <v>0</v>
      </c>
      <c r="Y1494" s="128">
        <v>0</v>
      </c>
      <c r="Z1494" s="128">
        <v>-487390.46</v>
      </c>
      <c r="AA1494" s="128">
        <v>0</v>
      </c>
      <c r="AB1494" s="126">
        <f t="shared" si="159"/>
        <v>4.8739046000000001E-2</v>
      </c>
      <c r="AC1494" s="122" t="s">
        <v>1838</v>
      </c>
      <c r="AD1494" s="123">
        <f t="shared" si="161"/>
        <v>-291.7660984179999</v>
      </c>
    </row>
    <row r="1495" spans="1:30" ht="12.75" hidden="1" customHeight="1">
      <c r="A1495" s="125" t="str">
        <f t="shared" si="156"/>
        <v>LIC31Investment - Equities</v>
      </c>
      <c r="B1495" s="125">
        <f>+IFERROR(VLOOKUP(L1495,'TB mapping'!A:D,4,0),0)</f>
        <v>0</v>
      </c>
      <c r="C1495" s="125">
        <f>+IFERROR(VLOOKUP(L1495,'TB mapping'!A:C,3,0),0)</f>
        <v>0</v>
      </c>
      <c r="D1495" s="125" t="str">
        <f t="shared" si="157"/>
        <v>LIC310</v>
      </c>
      <c r="E1495" s="125" t="str">
        <f t="shared" si="158"/>
        <v>LIC310</v>
      </c>
      <c r="F1495" s="158" t="str">
        <f>+VLOOKUP(H1495,'code mapping'!A:C,3,0)</f>
        <v>LIC31</v>
      </c>
      <c r="G1495" s="127" t="s">
        <v>453</v>
      </c>
      <c r="H1495" s="127" t="s">
        <v>700</v>
      </c>
      <c r="I1495" s="127" t="s">
        <v>56</v>
      </c>
      <c r="J1495" s="128">
        <v>101000</v>
      </c>
      <c r="K1495" s="127" t="s">
        <v>591</v>
      </c>
      <c r="L1495" s="151">
        <v>101100</v>
      </c>
      <c r="M1495" s="128">
        <v>0</v>
      </c>
      <c r="N1495" s="127" t="s">
        <v>592</v>
      </c>
      <c r="O1495" s="127" t="s">
        <v>457</v>
      </c>
      <c r="P1495" s="128">
        <v>-185972488.22999999</v>
      </c>
      <c r="Q1495" s="128">
        <v>0</v>
      </c>
      <c r="R1495" s="128">
        <v>0</v>
      </c>
      <c r="S1495" s="128">
        <v>0</v>
      </c>
      <c r="T1495" s="128">
        <v>-185972488.22999999</v>
      </c>
      <c r="U1495" s="128">
        <v>0</v>
      </c>
      <c r="V1495" s="128">
        <v>-185972488.22999999</v>
      </c>
      <c r="W1495" s="128">
        <v>0</v>
      </c>
      <c r="X1495" s="128">
        <v>0</v>
      </c>
      <c r="Y1495" s="128">
        <v>0</v>
      </c>
      <c r="Z1495" s="128">
        <v>-185972488.22999999</v>
      </c>
      <c r="AA1495" s="128">
        <v>0</v>
      </c>
      <c r="AB1495" s="126">
        <f t="shared" si="159"/>
        <v>18.597248822999997</v>
      </c>
      <c r="AC1495" s="122" t="s">
        <v>1838</v>
      </c>
      <c r="AD1495" s="123">
        <f t="shared" si="161"/>
        <v>1983.9723217250009</v>
      </c>
    </row>
    <row r="1496" spans="1:30" ht="12.75" hidden="1" customHeight="1">
      <c r="A1496" s="125" t="str">
        <f t="shared" si="156"/>
        <v>LIC31Investment - Treasury Bills</v>
      </c>
      <c r="B1496" s="125">
        <f>+IFERROR(VLOOKUP(L1496,'TB mapping'!A:D,4,0),0)</f>
        <v>0</v>
      </c>
      <c r="C1496" s="125">
        <f>+IFERROR(VLOOKUP(L1496,'TB mapping'!A:C,3,0),0)</f>
        <v>0</v>
      </c>
      <c r="D1496" s="125" t="str">
        <f t="shared" si="157"/>
        <v>LIC310</v>
      </c>
      <c r="E1496" s="125" t="str">
        <f t="shared" si="158"/>
        <v>LIC310</v>
      </c>
      <c r="F1496" s="158" t="str">
        <f>+VLOOKUP(H1496,'code mapping'!A:C,3,0)</f>
        <v>LIC31</v>
      </c>
      <c r="G1496" s="127" t="s">
        <v>453</v>
      </c>
      <c r="H1496" s="127" t="s">
        <v>700</v>
      </c>
      <c r="I1496" s="127" t="s">
        <v>56</v>
      </c>
      <c r="J1496" s="128">
        <v>102000</v>
      </c>
      <c r="K1496" s="127" t="s">
        <v>455</v>
      </c>
      <c r="L1496" s="151">
        <v>102110</v>
      </c>
      <c r="M1496" s="128">
        <v>0</v>
      </c>
      <c r="N1496" s="127" t="s">
        <v>643</v>
      </c>
      <c r="O1496" s="127" t="s">
        <v>457</v>
      </c>
      <c r="P1496" s="128">
        <v>-97077500</v>
      </c>
      <c r="Q1496" s="128">
        <v>0</v>
      </c>
      <c r="R1496" s="128">
        <v>0</v>
      </c>
      <c r="S1496" s="128">
        <v>0</v>
      </c>
      <c r="T1496" s="128">
        <v>-97077500</v>
      </c>
      <c r="U1496" s="128">
        <v>0</v>
      </c>
      <c r="V1496" s="128">
        <v>-97077500</v>
      </c>
      <c r="W1496" s="128">
        <v>0</v>
      </c>
      <c r="X1496" s="128">
        <v>0</v>
      </c>
      <c r="Y1496" s="128">
        <v>0</v>
      </c>
      <c r="Z1496" s="128">
        <v>-97077500</v>
      </c>
      <c r="AA1496" s="128">
        <v>0</v>
      </c>
      <c r="AB1496" s="126">
        <f t="shared" si="159"/>
        <v>9.7077500000000008</v>
      </c>
      <c r="AC1496" s="122" t="s">
        <v>1838</v>
      </c>
      <c r="AD1496" s="123">
        <f t="shared" si="161"/>
        <v>1983.9723217250009</v>
      </c>
    </row>
    <row r="1497" spans="1:30" ht="12.75" hidden="1" customHeight="1">
      <c r="A1497" s="125" t="str">
        <f t="shared" si="156"/>
        <v>LIC31Investment - Corp Bond/Debent.</v>
      </c>
      <c r="B1497" s="125">
        <f>+IFERROR(VLOOKUP(L1497,'TB mapping'!A:D,4,0),0)</f>
        <v>0</v>
      </c>
      <c r="C1497" s="125">
        <f>+IFERROR(VLOOKUP(L1497,'TB mapping'!A:C,3,0),0)</f>
        <v>0</v>
      </c>
      <c r="D1497" s="125" t="str">
        <f t="shared" si="157"/>
        <v>LIC310</v>
      </c>
      <c r="E1497" s="125" t="str">
        <f t="shared" si="158"/>
        <v>LIC310</v>
      </c>
      <c r="F1497" s="158" t="str">
        <f>+VLOOKUP(H1497,'code mapping'!A:C,3,0)</f>
        <v>LIC31</v>
      </c>
      <c r="G1497" s="127" t="s">
        <v>453</v>
      </c>
      <c r="H1497" s="127" t="s">
        <v>700</v>
      </c>
      <c r="I1497" s="127" t="s">
        <v>56</v>
      </c>
      <c r="J1497" s="128">
        <v>102000</v>
      </c>
      <c r="K1497" s="127" t="s">
        <v>455</v>
      </c>
      <c r="L1497" s="151">
        <v>102120</v>
      </c>
      <c r="M1497" s="128">
        <v>0</v>
      </c>
      <c r="N1497" s="127" t="s">
        <v>456</v>
      </c>
      <c r="O1497" s="127" t="s">
        <v>457</v>
      </c>
      <c r="P1497" s="128">
        <v>-581520447.83000004</v>
      </c>
      <c r="Q1497" s="128">
        <v>0</v>
      </c>
      <c r="R1497" s="128">
        <v>0</v>
      </c>
      <c r="S1497" s="128">
        <v>0</v>
      </c>
      <c r="T1497" s="128">
        <v>-581520447.83000004</v>
      </c>
      <c r="U1497" s="128">
        <v>0</v>
      </c>
      <c r="V1497" s="128">
        <v>-581520447.83000004</v>
      </c>
      <c r="W1497" s="128">
        <v>0</v>
      </c>
      <c r="X1497" s="128">
        <v>0</v>
      </c>
      <c r="Y1497" s="128">
        <v>0</v>
      </c>
      <c r="Z1497" s="128">
        <v>-581520447.83000004</v>
      </c>
      <c r="AA1497" s="128">
        <v>0</v>
      </c>
      <c r="AB1497" s="126">
        <f t="shared" si="159"/>
        <v>58.152044783000001</v>
      </c>
      <c r="AC1497" s="122" t="s">
        <v>1838</v>
      </c>
      <c r="AD1497" s="123">
        <f t="shared" si="161"/>
        <v>1983.9723217250009</v>
      </c>
    </row>
    <row r="1498" spans="1:30" ht="12.75" hidden="1" customHeight="1">
      <c r="A1498" s="125" t="str">
        <f t="shared" si="156"/>
        <v>LIC31Investment - Government Bonds</v>
      </c>
      <c r="B1498" s="125">
        <f>+IFERROR(VLOOKUP(L1498,'TB mapping'!A:D,4,0),0)</f>
        <v>0</v>
      </c>
      <c r="C1498" s="125">
        <f>+IFERROR(VLOOKUP(L1498,'TB mapping'!A:C,3,0),0)</f>
        <v>0</v>
      </c>
      <c r="D1498" s="125" t="str">
        <f t="shared" si="157"/>
        <v>LIC310</v>
      </c>
      <c r="E1498" s="125" t="str">
        <f t="shared" si="158"/>
        <v>LIC310</v>
      </c>
      <c r="F1498" s="158" t="str">
        <f>+VLOOKUP(H1498,'code mapping'!A:C,3,0)</f>
        <v>LIC31</v>
      </c>
      <c r="G1498" s="127" t="s">
        <v>453</v>
      </c>
      <c r="H1498" s="127" t="s">
        <v>700</v>
      </c>
      <c r="I1498" s="127" t="s">
        <v>56</v>
      </c>
      <c r="J1498" s="128">
        <v>102000</v>
      </c>
      <c r="K1498" s="127" t="s">
        <v>455</v>
      </c>
      <c r="L1498" s="151">
        <v>102130</v>
      </c>
      <c r="M1498" s="128">
        <v>0</v>
      </c>
      <c r="N1498" s="127" t="s">
        <v>458</v>
      </c>
      <c r="O1498" s="127" t="s">
        <v>457</v>
      </c>
      <c r="P1498" s="128">
        <v>-30434511.390000001</v>
      </c>
      <c r="Q1498" s="128">
        <v>0</v>
      </c>
      <c r="R1498" s="128">
        <v>0</v>
      </c>
      <c r="S1498" s="128">
        <v>0</v>
      </c>
      <c r="T1498" s="128">
        <v>-30434511.390000001</v>
      </c>
      <c r="U1498" s="128">
        <v>0</v>
      </c>
      <c r="V1498" s="128">
        <v>-30434511.390000001</v>
      </c>
      <c r="W1498" s="128">
        <v>0</v>
      </c>
      <c r="X1498" s="128">
        <v>0</v>
      </c>
      <c r="Y1498" s="128">
        <v>0</v>
      </c>
      <c r="Z1498" s="128">
        <v>-30434511.390000001</v>
      </c>
      <c r="AA1498" s="128">
        <v>0</v>
      </c>
      <c r="AB1498" s="126">
        <f t="shared" si="159"/>
        <v>3.0434511390000001</v>
      </c>
      <c r="AC1498" s="122" t="s">
        <v>1838</v>
      </c>
      <c r="AD1498" s="123">
        <f t="shared" si="161"/>
        <v>1983.9723217250009</v>
      </c>
    </row>
    <row r="1499" spans="1:30" ht="12.75" hidden="1" customHeight="1">
      <c r="A1499" s="125" t="str">
        <f t="shared" si="156"/>
        <v>LIC31Investment Mutual Fund</v>
      </c>
      <c r="B1499" s="125">
        <f>+IFERROR(VLOOKUP(L1499,'TB mapping'!A:D,4,0),0)</f>
        <v>0</v>
      </c>
      <c r="C1499" s="125">
        <f>+IFERROR(VLOOKUP(L1499,'TB mapping'!A:C,3,0),0)</f>
        <v>0</v>
      </c>
      <c r="D1499" s="125" t="str">
        <f t="shared" si="157"/>
        <v>LIC310</v>
      </c>
      <c r="E1499" s="125" t="str">
        <f t="shared" si="158"/>
        <v>LIC310</v>
      </c>
      <c r="F1499" s="158" t="str">
        <f>+VLOOKUP(H1499,'code mapping'!A:C,3,0)</f>
        <v>LIC31</v>
      </c>
      <c r="G1499" s="127" t="s">
        <v>453</v>
      </c>
      <c r="H1499" s="127" t="s">
        <v>700</v>
      </c>
      <c r="I1499" s="127" t="s">
        <v>56</v>
      </c>
      <c r="J1499" s="128">
        <v>105000</v>
      </c>
      <c r="K1499" s="127" t="s">
        <v>460</v>
      </c>
      <c r="L1499" s="151">
        <v>105100</v>
      </c>
      <c r="M1499" s="128">
        <v>0</v>
      </c>
      <c r="N1499" s="127" t="s">
        <v>461</v>
      </c>
      <c r="O1499" s="127" t="s">
        <v>457</v>
      </c>
      <c r="P1499" s="128">
        <v>-0.04</v>
      </c>
      <c r="Q1499" s="128">
        <v>0</v>
      </c>
      <c r="R1499" s="128">
        <v>0</v>
      </c>
      <c r="S1499" s="128">
        <v>0</v>
      </c>
      <c r="T1499" s="128">
        <v>-0.04</v>
      </c>
      <c r="U1499" s="128">
        <v>0</v>
      </c>
      <c r="V1499" s="128">
        <v>-0.04</v>
      </c>
      <c r="W1499" s="128">
        <v>0</v>
      </c>
      <c r="X1499" s="128">
        <v>0</v>
      </c>
      <c r="Y1499" s="128">
        <v>0</v>
      </c>
      <c r="Z1499" s="128">
        <v>-0.04</v>
      </c>
      <c r="AA1499" s="128">
        <v>0</v>
      </c>
      <c r="AB1499" s="126">
        <f t="shared" si="159"/>
        <v>4.0000000000000002E-9</v>
      </c>
      <c r="AC1499" s="122" t="s">
        <v>1838</v>
      </c>
      <c r="AD1499" s="123">
        <f t="shared" si="161"/>
        <v>1983.9723217250009</v>
      </c>
    </row>
    <row r="1500" spans="1:30" ht="12.75" hidden="1" customHeight="1">
      <c r="A1500" s="125" t="str">
        <f t="shared" si="156"/>
        <v>LIC31Investment - CBLO</v>
      </c>
      <c r="B1500" s="125">
        <f>+IFERROR(VLOOKUP(L1500,'TB mapping'!A:D,4,0),0)</f>
        <v>0</v>
      </c>
      <c r="C1500" s="125">
        <f>+IFERROR(VLOOKUP(L1500,'TB mapping'!A:C,3,0),0)</f>
        <v>0</v>
      </c>
      <c r="D1500" s="125" t="str">
        <f t="shared" si="157"/>
        <v>LIC310</v>
      </c>
      <c r="E1500" s="125" t="str">
        <f t="shared" si="158"/>
        <v>LIC310</v>
      </c>
      <c r="F1500" s="158" t="str">
        <f>+VLOOKUP(H1500,'code mapping'!A:C,3,0)</f>
        <v>LIC31</v>
      </c>
      <c r="G1500" s="127" t="s">
        <v>453</v>
      </c>
      <c r="H1500" s="127" t="s">
        <v>700</v>
      </c>
      <c r="I1500" s="127" t="s">
        <v>56</v>
      </c>
      <c r="J1500" s="128">
        <v>110000</v>
      </c>
      <c r="K1500" s="127" t="s">
        <v>462</v>
      </c>
      <c r="L1500" s="151">
        <v>110100</v>
      </c>
      <c r="M1500" s="128">
        <v>0</v>
      </c>
      <c r="N1500" s="127" t="s">
        <v>463</v>
      </c>
      <c r="O1500" s="127" t="s">
        <v>457</v>
      </c>
      <c r="P1500" s="128">
        <v>-154348310.31999999</v>
      </c>
      <c r="Q1500" s="128">
        <v>0</v>
      </c>
      <c r="R1500" s="128">
        <v>0</v>
      </c>
      <c r="S1500" s="128">
        <v>0</v>
      </c>
      <c r="T1500" s="128">
        <v>-154348310.31999999</v>
      </c>
      <c r="U1500" s="128">
        <v>0</v>
      </c>
      <c r="V1500" s="128">
        <v>-154348310.31999999</v>
      </c>
      <c r="W1500" s="128">
        <v>0</v>
      </c>
      <c r="X1500" s="128">
        <v>0</v>
      </c>
      <c r="Y1500" s="128">
        <v>0</v>
      </c>
      <c r="Z1500" s="128">
        <v>-154348310.31999999</v>
      </c>
      <c r="AA1500" s="128">
        <v>0</v>
      </c>
      <c r="AB1500" s="126">
        <f t="shared" si="159"/>
        <v>15.434831032</v>
      </c>
      <c r="AC1500" s="122" t="s">
        <v>1838</v>
      </c>
      <c r="AD1500" s="123">
        <f t="shared" si="161"/>
        <v>1983.9723217250009</v>
      </c>
    </row>
    <row r="1501" spans="1:30" ht="12.75" hidden="1" customHeight="1">
      <c r="A1501" s="125" t="str">
        <f t="shared" si="156"/>
        <v>LIC31Margin Money Deposits</v>
      </c>
      <c r="B1501" s="125">
        <f>+IFERROR(VLOOKUP(L1501,'TB mapping'!A:D,4,0),0)</f>
        <v>0</v>
      </c>
      <c r="C1501" s="125">
        <f>+IFERROR(VLOOKUP(L1501,'TB mapping'!A:C,3,0),0)</f>
        <v>0</v>
      </c>
      <c r="D1501" s="125" t="str">
        <f t="shared" si="157"/>
        <v>LIC310</v>
      </c>
      <c r="E1501" s="125" t="str">
        <f t="shared" si="158"/>
        <v>LIC310</v>
      </c>
      <c r="F1501" s="158" t="str">
        <f>+VLOOKUP(H1501,'code mapping'!A:C,3,0)</f>
        <v>LIC31</v>
      </c>
      <c r="G1501" s="127" t="s">
        <v>453</v>
      </c>
      <c r="H1501" s="127" t="s">
        <v>700</v>
      </c>
      <c r="I1501" s="127" t="s">
        <v>56</v>
      </c>
      <c r="J1501" s="128">
        <v>110000</v>
      </c>
      <c r="K1501" s="127" t="s">
        <v>462</v>
      </c>
      <c r="L1501" s="151">
        <v>110110</v>
      </c>
      <c r="M1501" s="128">
        <v>0</v>
      </c>
      <c r="N1501" s="127" t="s">
        <v>464</v>
      </c>
      <c r="O1501" s="127" t="s">
        <v>457</v>
      </c>
      <c r="P1501" s="128">
        <v>-128969.99</v>
      </c>
      <c r="Q1501" s="128">
        <v>0</v>
      </c>
      <c r="R1501" s="128">
        <v>0</v>
      </c>
      <c r="S1501" s="128">
        <v>0</v>
      </c>
      <c r="T1501" s="128">
        <v>-128969.99</v>
      </c>
      <c r="U1501" s="128">
        <v>0</v>
      </c>
      <c r="V1501" s="128">
        <v>-128969.99</v>
      </c>
      <c r="W1501" s="128">
        <v>0</v>
      </c>
      <c r="X1501" s="128">
        <v>0</v>
      </c>
      <c r="Y1501" s="128">
        <v>0</v>
      </c>
      <c r="Z1501" s="128">
        <v>-128969.99</v>
      </c>
      <c r="AA1501" s="128">
        <v>0</v>
      </c>
      <c r="AB1501" s="126">
        <f t="shared" si="159"/>
        <v>1.2896999000000001E-2</v>
      </c>
      <c r="AC1501" s="122" t="s">
        <v>1838</v>
      </c>
      <c r="AD1501" s="123">
        <f t="shared" si="161"/>
        <v>1983.9723217250009</v>
      </c>
    </row>
    <row r="1502" spans="1:30" ht="12.75" hidden="1" customHeight="1">
      <c r="A1502" s="125" t="str">
        <f t="shared" si="156"/>
        <v>LIC31Margin Deposit For CCIL</v>
      </c>
      <c r="B1502" s="125">
        <f>+IFERROR(VLOOKUP(L1502,'TB mapping'!A:D,4,0),0)</f>
        <v>0</v>
      </c>
      <c r="C1502" s="125">
        <f>+IFERROR(VLOOKUP(L1502,'TB mapping'!A:C,3,0),0)</f>
        <v>0</v>
      </c>
      <c r="D1502" s="125" t="str">
        <f t="shared" si="157"/>
        <v>LIC310</v>
      </c>
      <c r="E1502" s="125" t="str">
        <f t="shared" si="158"/>
        <v>LIC310</v>
      </c>
      <c r="F1502" s="158" t="str">
        <f>+VLOOKUP(H1502,'code mapping'!A:C,3,0)</f>
        <v>LIC31</v>
      </c>
      <c r="G1502" s="127" t="s">
        <v>453</v>
      </c>
      <c r="H1502" s="127" t="s">
        <v>700</v>
      </c>
      <c r="I1502" s="127" t="s">
        <v>56</v>
      </c>
      <c r="J1502" s="128">
        <v>110000</v>
      </c>
      <c r="K1502" s="127" t="s">
        <v>462</v>
      </c>
      <c r="L1502" s="151">
        <v>110116</v>
      </c>
      <c r="M1502" s="128">
        <v>0</v>
      </c>
      <c r="N1502" s="127" t="s">
        <v>465</v>
      </c>
      <c r="O1502" s="127" t="s">
        <v>457</v>
      </c>
      <c r="P1502" s="128">
        <v>-51886.55</v>
      </c>
      <c r="Q1502" s="128">
        <v>0</v>
      </c>
      <c r="R1502" s="128">
        <v>0</v>
      </c>
      <c r="S1502" s="128">
        <v>0</v>
      </c>
      <c r="T1502" s="128">
        <v>-51886.55</v>
      </c>
      <c r="U1502" s="128">
        <v>0</v>
      </c>
      <c r="V1502" s="128">
        <v>-51886.55</v>
      </c>
      <c r="W1502" s="128">
        <v>0</v>
      </c>
      <c r="X1502" s="128">
        <v>0</v>
      </c>
      <c r="Y1502" s="128">
        <v>0</v>
      </c>
      <c r="Z1502" s="128">
        <v>-51886.55</v>
      </c>
      <c r="AA1502" s="128">
        <v>0</v>
      </c>
      <c r="AB1502" s="126">
        <f t="shared" si="159"/>
        <v>5.1886550000000004E-3</v>
      </c>
      <c r="AC1502" s="122" t="s">
        <v>1838</v>
      </c>
      <c r="AD1502" s="123">
        <f t="shared" si="161"/>
        <v>1983.9723217250009</v>
      </c>
    </row>
    <row r="1503" spans="1:30" ht="12.75" hidden="1" customHeight="1">
      <c r="A1503" s="125" t="str">
        <f t="shared" si="156"/>
        <v>LIC31Sub. Rec. Control Account</v>
      </c>
      <c r="B1503" s="125">
        <f>+IFERROR(VLOOKUP(L1503,'TB mapping'!A:D,4,0),0)</f>
        <v>0</v>
      </c>
      <c r="C1503" s="125">
        <f>+IFERROR(VLOOKUP(L1503,'TB mapping'!A:C,3,0),0)</f>
        <v>0</v>
      </c>
      <c r="D1503" s="125" t="str">
        <f t="shared" si="157"/>
        <v>LIC310</v>
      </c>
      <c r="E1503" s="125" t="str">
        <f t="shared" si="158"/>
        <v>LIC310</v>
      </c>
      <c r="F1503" s="158" t="str">
        <f>+VLOOKUP(H1503,'code mapping'!A:C,3,0)</f>
        <v>LIC31</v>
      </c>
      <c r="G1503" s="127" t="s">
        <v>453</v>
      </c>
      <c r="H1503" s="127" t="s">
        <v>700</v>
      </c>
      <c r="I1503" s="127" t="s">
        <v>56</v>
      </c>
      <c r="J1503" s="128">
        <v>132000</v>
      </c>
      <c r="K1503" s="127" t="s">
        <v>466</v>
      </c>
      <c r="L1503" s="151">
        <v>132121</v>
      </c>
      <c r="M1503" s="128">
        <v>0</v>
      </c>
      <c r="N1503" s="127" t="s">
        <v>467</v>
      </c>
      <c r="O1503" s="127" t="s">
        <v>457</v>
      </c>
      <c r="P1503" s="128">
        <v>-280089.26</v>
      </c>
      <c r="Q1503" s="128">
        <v>0</v>
      </c>
      <c r="R1503" s="128">
        <v>0</v>
      </c>
      <c r="S1503" s="128">
        <v>0</v>
      </c>
      <c r="T1503" s="128">
        <v>-280089.26</v>
      </c>
      <c r="U1503" s="128">
        <v>0</v>
      </c>
      <c r="V1503" s="128">
        <v>-280089.26</v>
      </c>
      <c r="W1503" s="128">
        <v>0</v>
      </c>
      <c r="X1503" s="128">
        <v>0</v>
      </c>
      <c r="Y1503" s="128">
        <v>0</v>
      </c>
      <c r="Z1503" s="128">
        <v>-280089.26</v>
      </c>
      <c r="AA1503" s="128">
        <v>0</v>
      </c>
      <c r="AB1503" s="126">
        <f t="shared" si="159"/>
        <v>2.8008926E-2</v>
      </c>
      <c r="AC1503" s="122" t="s">
        <v>1838</v>
      </c>
      <c r="AD1503" s="123">
        <f t="shared" si="161"/>
        <v>1983.9723217250009</v>
      </c>
    </row>
    <row r="1504" spans="1:30" ht="12.75" hidden="1" customHeight="1">
      <c r="A1504" s="125" t="str">
        <f t="shared" si="156"/>
        <v>LIC31Switch in Receivable Ct</v>
      </c>
      <c r="B1504" s="125">
        <f>+IFERROR(VLOOKUP(L1504,'TB mapping'!A:D,4,0),0)</f>
        <v>0</v>
      </c>
      <c r="C1504" s="125">
        <f>+IFERROR(VLOOKUP(L1504,'TB mapping'!A:C,3,0),0)</f>
        <v>0</v>
      </c>
      <c r="D1504" s="125" t="str">
        <f t="shared" si="157"/>
        <v>LIC310</v>
      </c>
      <c r="E1504" s="125" t="str">
        <f t="shared" si="158"/>
        <v>LIC310</v>
      </c>
      <c r="F1504" s="158" t="str">
        <f>+VLOOKUP(H1504,'code mapping'!A:C,3,0)</f>
        <v>LIC31</v>
      </c>
      <c r="G1504" s="127" t="s">
        <v>453</v>
      </c>
      <c r="H1504" s="127" t="s">
        <v>700</v>
      </c>
      <c r="I1504" s="127" t="s">
        <v>56</v>
      </c>
      <c r="J1504" s="128">
        <v>132000</v>
      </c>
      <c r="K1504" s="127" t="s">
        <v>466</v>
      </c>
      <c r="L1504" s="151">
        <v>132124</v>
      </c>
      <c r="M1504" s="128">
        <v>0</v>
      </c>
      <c r="N1504" s="127" t="s">
        <v>468</v>
      </c>
      <c r="O1504" s="127" t="s">
        <v>457</v>
      </c>
      <c r="P1504" s="128">
        <v>-165000.59</v>
      </c>
      <c r="Q1504" s="128">
        <v>0</v>
      </c>
      <c r="R1504" s="128">
        <v>0</v>
      </c>
      <c r="S1504" s="128">
        <v>0</v>
      </c>
      <c r="T1504" s="128">
        <v>-165000.59</v>
      </c>
      <c r="U1504" s="128">
        <v>0</v>
      </c>
      <c r="V1504" s="128">
        <v>-165000.59</v>
      </c>
      <c r="W1504" s="128">
        <v>0</v>
      </c>
      <c r="X1504" s="128">
        <v>0</v>
      </c>
      <c r="Y1504" s="128">
        <v>0</v>
      </c>
      <c r="Z1504" s="128">
        <v>-165000.59</v>
      </c>
      <c r="AA1504" s="128">
        <v>0</v>
      </c>
      <c r="AB1504" s="126">
        <f t="shared" si="159"/>
        <v>1.6500059000000001E-2</v>
      </c>
      <c r="AC1504" s="122" t="s">
        <v>1838</v>
      </c>
      <c r="AD1504" s="123">
        <f t="shared" si="161"/>
        <v>1983.9723217250009</v>
      </c>
    </row>
    <row r="1505" spans="1:30" ht="12.75" hidden="1" customHeight="1">
      <c r="A1505" s="125" t="str">
        <f t="shared" si="156"/>
        <v>LIC31Due From Broker</v>
      </c>
      <c r="B1505" s="125">
        <f>+IFERROR(VLOOKUP(L1505,'TB mapping'!A:D,4,0),0)</f>
        <v>0</v>
      </c>
      <c r="C1505" s="125">
        <f>+IFERROR(VLOOKUP(L1505,'TB mapping'!A:C,3,0),0)</f>
        <v>0</v>
      </c>
      <c r="D1505" s="125" t="str">
        <f t="shared" si="157"/>
        <v>LIC310</v>
      </c>
      <c r="E1505" s="125" t="str">
        <f t="shared" si="158"/>
        <v>LIC310</v>
      </c>
      <c r="F1505" s="158" t="str">
        <f>+VLOOKUP(H1505,'code mapping'!A:C,3,0)</f>
        <v>LIC31</v>
      </c>
      <c r="G1505" s="127" t="s">
        <v>453</v>
      </c>
      <c r="H1505" s="127" t="s">
        <v>700</v>
      </c>
      <c r="I1505" s="127" t="s">
        <v>56</v>
      </c>
      <c r="J1505" s="128">
        <v>132000</v>
      </c>
      <c r="K1505" s="127" t="s">
        <v>466</v>
      </c>
      <c r="L1505" s="151">
        <v>132153</v>
      </c>
      <c r="M1505" s="128">
        <v>0</v>
      </c>
      <c r="N1505" s="127" t="s">
        <v>625</v>
      </c>
      <c r="O1505" s="127" t="s">
        <v>457</v>
      </c>
      <c r="P1505" s="128">
        <v>-48516444.439999998</v>
      </c>
      <c r="Q1505" s="128">
        <v>0</v>
      </c>
      <c r="R1505" s="128">
        <v>0</v>
      </c>
      <c r="S1505" s="128">
        <v>0</v>
      </c>
      <c r="T1505" s="128">
        <v>-48516444.439999998</v>
      </c>
      <c r="U1505" s="128">
        <v>0</v>
      </c>
      <c r="V1505" s="128">
        <v>-48516444.439999998</v>
      </c>
      <c r="W1505" s="128">
        <v>0</v>
      </c>
      <c r="X1505" s="128">
        <v>0</v>
      </c>
      <c r="Y1505" s="128">
        <v>0</v>
      </c>
      <c r="Z1505" s="128">
        <v>-48516444.439999998</v>
      </c>
      <c r="AA1505" s="128">
        <v>0</v>
      </c>
      <c r="AB1505" s="126">
        <f t="shared" si="159"/>
        <v>4.8516444439999997</v>
      </c>
      <c r="AC1505" s="122" t="s">
        <v>1838</v>
      </c>
      <c r="AD1505" s="123">
        <f t="shared" si="161"/>
        <v>1983.9723217250009</v>
      </c>
    </row>
    <row r="1506" spans="1:30" ht="12.75" hidden="1" customHeight="1">
      <c r="A1506" s="125" t="str">
        <f t="shared" si="156"/>
        <v>LIC31Due From Broker - Bonds</v>
      </c>
      <c r="B1506" s="125">
        <f>+IFERROR(VLOOKUP(L1506,'TB mapping'!A:D,4,0),0)</f>
        <v>0</v>
      </c>
      <c r="C1506" s="125">
        <f>+IFERROR(VLOOKUP(L1506,'TB mapping'!A:C,3,0),0)</f>
        <v>0</v>
      </c>
      <c r="D1506" s="125" t="str">
        <f t="shared" si="157"/>
        <v>LIC310</v>
      </c>
      <c r="E1506" s="125" t="str">
        <f t="shared" si="158"/>
        <v>LIC310</v>
      </c>
      <c r="F1506" s="158" t="str">
        <f>+VLOOKUP(H1506,'code mapping'!A:C,3,0)</f>
        <v>LIC31</v>
      </c>
      <c r="G1506" s="127" t="s">
        <v>453</v>
      </c>
      <c r="H1506" s="127" t="s">
        <v>700</v>
      </c>
      <c r="I1506" s="127" t="s">
        <v>56</v>
      </c>
      <c r="J1506" s="128">
        <v>132000</v>
      </c>
      <c r="K1506" s="127" t="s">
        <v>466</v>
      </c>
      <c r="L1506" s="151">
        <v>132160</v>
      </c>
      <c r="M1506" s="128">
        <v>0</v>
      </c>
      <c r="N1506" s="127" t="s">
        <v>469</v>
      </c>
      <c r="O1506" s="127" t="s">
        <v>457</v>
      </c>
      <c r="P1506" s="128">
        <v>0</v>
      </c>
      <c r="Q1506" s="128">
        <v>48516444.439999998</v>
      </c>
      <c r="R1506" s="128">
        <v>0</v>
      </c>
      <c r="S1506" s="128">
        <v>0</v>
      </c>
      <c r="T1506" s="128">
        <v>0</v>
      </c>
      <c r="U1506" s="128">
        <v>48516444.439999998</v>
      </c>
      <c r="V1506" s="128">
        <v>0</v>
      </c>
      <c r="W1506" s="128">
        <v>48516444.439999998</v>
      </c>
      <c r="X1506" s="128">
        <v>0</v>
      </c>
      <c r="Y1506" s="128">
        <v>0</v>
      </c>
      <c r="Z1506" s="128">
        <v>0</v>
      </c>
      <c r="AA1506" s="128">
        <v>48516444.439999998</v>
      </c>
      <c r="AB1506" s="126">
        <f t="shared" si="159"/>
        <v>-4.8516444439999997</v>
      </c>
      <c r="AC1506" s="122" t="s">
        <v>1838</v>
      </c>
      <c r="AD1506" s="123">
        <f t="shared" si="161"/>
        <v>1983.9723217250009</v>
      </c>
    </row>
    <row r="1507" spans="1:30" ht="12.75" hidden="1" customHeight="1">
      <c r="A1507" s="125" t="str">
        <f t="shared" si="156"/>
        <v>LIC31Receivable from AMC</v>
      </c>
      <c r="B1507" s="125">
        <f>+IFERROR(VLOOKUP(L1507,'TB mapping'!A:D,4,0),0)</f>
        <v>0</v>
      </c>
      <c r="C1507" s="125">
        <f>+IFERROR(VLOOKUP(L1507,'TB mapping'!A:C,3,0),0)</f>
        <v>0</v>
      </c>
      <c r="D1507" s="125" t="str">
        <f t="shared" si="157"/>
        <v>LIC310</v>
      </c>
      <c r="E1507" s="125" t="str">
        <f t="shared" si="158"/>
        <v>LIC310</v>
      </c>
      <c r="F1507" s="158" t="str">
        <f>+VLOOKUP(H1507,'code mapping'!A:C,3,0)</f>
        <v>LIC31</v>
      </c>
      <c r="G1507" s="127" t="s">
        <v>453</v>
      </c>
      <c r="H1507" s="127" t="s">
        <v>700</v>
      </c>
      <c r="I1507" s="127" t="s">
        <v>56</v>
      </c>
      <c r="J1507" s="128">
        <v>132000</v>
      </c>
      <c r="K1507" s="127" t="s">
        <v>466</v>
      </c>
      <c r="L1507" s="151">
        <v>152400</v>
      </c>
      <c r="M1507" s="128">
        <v>0</v>
      </c>
      <c r="N1507" s="127" t="s">
        <v>471</v>
      </c>
      <c r="O1507" s="127" t="s">
        <v>457</v>
      </c>
      <c r="P1507" s="128">
        <v>-181.44</v>
      </c>
      <c r="Q1507" s="128">
        <v>0</v>
      </c>
      <c r="R1507" s="128">
        <v>0</v>
      </c>
      <c r="S1507" s="128">
        <v>0</v>
      </c>
      <c r="T1507" s="128">
        <v>-181.44</v>
      </c>
      <c r="U1507" s="128">
        <v>0</v>
      </c>
      <c r="V1507" s="128">
        <v>-181.44</v>
      </c>
      <c r="W1507" s="128">
        <v>0</v>
      </c>
      <c r="X1507" s="128">
        <v>0</v>
      </c>
      <c r="Y1507" s="128">
        <v>0</v>
      </c>
      <c r="Z1507" s="128">
        <v>-181.44</v>
      </c>
      <c r="AA1507" s="128">
        <v>0</v>
      </c>
      <c r="AB1507" s="126">
        <f t="shared" si="159"/>
        <v>1.8144000000000001E-5</v>
      </c>
      <c r="AC1507" s="122" t="s">
        <v>1838</v>
      </c>
      <c r="AD1507" s="123">
        <f t="shared" si="161"/>
        <v>1983.9723217250009</v>
      </c>
    </row>
    <row r="1508" spans="1:30" ht="12.75" hidden="1" customHeight="1">
      <c r="A1508" s="125" t="str">
        <f t="shared" si="156"/>
        <v>LIC31CCIL Settlement A/C</v>
      </c>
      <c r="B1508" s="125">
        <f>+IFERROR(VLOOKUP(L1508,'TB mapping'!A:D,4,0),0)</f>
        <v>0</v>
      </c>
      <c r="C1508" s="125">
        <f>+IFERROR(VLOOKUP(L1508,'TB mapping'!A:C,3,0),0)</f>
        <v>0</v>
      </c>
      <c r="D1508" s="125" t="str">
        <f t="shared" si="157"/>
        <v>LIC310</v>
      </c>
      <c r="E1508" s="125" t="str">
        <f t="shared" si="158"/>
        <v>LIC310</v>
      </c>
      <c r="F1508" s="158" t="str">
        <f>+VLOOKUP(H1508,'code mapping'!A:C,3,0)</f>
        <v>LIC31</v>
      </c>
      <c r="G1508" s="127" t="s">
        <v>453</v>
      </c>
      <c r="H1508" s="127" t="s">
        <v>700</v>
      </c>
      <c r="I1508" s="127" t="s">
        <v>56</v>
      </c>
      <c r="J1508" s="128">
        <v>140000</v>
      </c>
      <c r="K1508" s="127" t="s">
        <v>472</v>
      </c>
      <c r="L1508" s="151">
        <v>132237</v>
      </c>
      <c r="M1508" s="128">
        <v>0</v>
      </c>
      <c r="N1508" s="127" t="s">
        <v>473</v>
      </c>
      <c r="O1508" s="127" t="s">
        <v>457</v>
      </c>
      <c r="P1508" s="128">
        <v>0</v>
      </c>
      <c r="Q1508" s="128">
        <v>7.0000000000000007E-2</v>
      </c>
      <c r="R1508" s="128">
        <v>0</v>
      </c>
      <c r="S1508" s="128">
        <v>0</v>
      </c>
      <c r="T1508" s="128">
        <v>0</v>
      </c>
      <c r="U1508" s="128">
        <v>7.0000000000000007E-2</v>
      </c>
      <c r="V1508" s="128">
        <v>0</v>
      </c>
      <c r="W1508" s="128">
        <v>7.0000000000000007E-2</v>
      </c>
      <c r="X1508" s="128">
        <v>0</v>
      </c>
      <c r="Y1508" s="128">
        <v>0</v>
      </c>
      <c r="Z1508" s="128">
        <v>0</v>
      </c>
      <c r="AA1508" s="128">
        <v>7.0000000000000007E-2</v>
      </c>
      <c r="AB1508" s="126">
        <f t="shared" si="159"/>
        <v>-7.0000000000000006E-9</v>
      </c>
      <c r="AC1508" s="122" t="s">
        <v>1838</v>
      </c>
      <c r="AD1508" s="123">
        <f t="shared" si="161"/>
        <v>1983.9723217250009</v>
      </c>
    </row>
    <row r="1509" spans="1:30" ht="12.75" hidden="1" customHeight="1">
      <c r="A1509" s="125" t="str">
        <f t="shared" si="156"/>
        <v>LIC31Cash in Bank</v>
      </c>
      <c r="B1509" s="125">
        <f>+IFERROR(VLOOKUP(L1509,'TB mapping'!A:D,4,0),0)</f>
        <v>0</v>
      </c>
      <c r="C1509" s="125">
        <f>+IFERROR(VLOOKUP(L1509,'TB mapping'!A:C,3,0),0)</f>
        <v>0</v>
      </c>
      <c r="D1509" s="125" t="str">
        <f t="shared" si="157"/>
        <v>LIC310</v>
      </c>
      <c r="E1509" s="125" t="str">
        <f t="shared" si="158"/>
        <v>LIC310</v>
      </c>
      <c r="F1509" s="158" t="str">
        <f>+VLOOKUP(H1509,'code mapping'!A:C,3,0)</f>
        <v>LIC31</v>
      </c>
      <c r="G1509" s="127" t="s">
        <v>453</v>
      </c>
      <c r="H1509" s="127" t="s">
        <v>700</v>
      </c>
      <c r="I1509" s="127" t="s">
        <v>56</v>
      </c>
      <c r="J1509" s="128">
        <v>140000</v>
      </c>
      <c r="K1509" s="127" t="s">
        <v>472</v>
      </c>
      <c r="L1509" s="151">
        <v>140130</v>
      </c>
      <c r="M1509" s="128">
        <v>0</v>
      </c>
      <c r="N1509" s="127" t="s">
        <v>474</v>
      </c>
      <c r="O1509" s="127" t="s">
        <v>457</v>
      </c>
      <c r="P1509" s="128">
        <v>0</v>
      </c>
      <c r="Q1509" s="128">
        <v>4133643.84</v>
      </c>
      <c r="R1509" s="128">
        <v>0</v>
      </c>
      <c r="S1509" s="128">
        <v>0</v>
      </c>
      <c r="T1509" s="128">
        <v>0</v>
      </c>
      <c r="U1509" s="128">
        <v>4133643.84</v>
      </c>
      <c r="V1509" s="128">
        <v>0</v>
      </c>
      <c r="W1509" s="128">
        <v>4133643.84</v>
      </c>
      <c r="X1509" s="128">
        <v>0</v>
      </c>
      <c r="Y1509" s="128">
        <v>0</v>
      </c>
      <c r="Z1509" s="128">
        <v>0</v>
      </c>
      <c r="AA1509" s="128">
        <v>4133643.84</v>
      </c>
      <c r="AB1509" s="126">
        <f t="shared" si="159"/>
        <v>-0.41336438399999997</v>
      </c>
      <c r="AC1509" s="122" t="s">
        <v>1838</v>
      </c>
      <c r="AD1509" s="123">
        <f t="shared" si="161"/>
        <v>1983.9723217250009</v>
      </c>
    </row>
    <row r="1510" spans="1:30" ht="12.75" hidden="1" customHeight="1">
      <c r="A1510" s="125" t="str">
        <f t="shared" si="156"/>
        <v>LIC31Cash in Bank</v>
      </c>
      <c r="B1510" s="125">
        <f>+IFERROR(VLOOKUP(L1510,'TB mapping'!A:D,4,0),0)</f>
        <v>0</v>
      </c>
      <c r="C1510" s="125">
        <f>+IFERROR(VLOOKUP(L1510,'TB mapping'!A:C,3,0),0)</f>
        <v>0</v>
      </c>
      <c r="D1510" s="125" t="str">
        <f t="shared" si="157"/>
        <v>LIC310</v>
      </c>
      <c r="E1510" s="125" t="str">
        <f t="shared" si="158"/>
        <v>LIC310</v>
      </c>
      <c r="F1510" s="158" t="str">
        <f>+VLOOKUP(H1510,'code mapping'!A:C,3,0)</f>
        <v>LIC31</v>
      </c>
      <c r="G1510" s="127" t="s">
        <v>453</v>
      </c>
      <c r="H1510" s="127" t="s">
        <v>700</v>
      </c>
      <c r="I1510" s="127" t="s">
        <v>56</v>
      </c>
      <c r="J1510" s="128">
        <v>140000</v>
      </c>
      <c r="K1510" s="127" t="s">
        <v>472</v>
      </c>
      <c r="L1510" s="151">
        <v>140130</v>
      </c>
      <c r="M1510" s="128">
        <v>3</v>
      </c>
      <c r="N1510" s="127" t="s">
        <v>474</v>
      </c>
      <c r="O1510" s="127" t="s">
        <v>457</v>
      </c>
      <c r="P1510" s="128">
        <v>-4133643.84</v>
      </c>
      <c r="Q1510" s="128">
        <v>0</v>
      </c>
      <c r="R1510" s="128">
        <v>0</v>
      </c>
      <c r="S1510" s="128">
        <v>0</v>
      </c>
      <c r="T1510" s="128">
        <v>-4133643.84</v>
      </c>
      <c r="U1510" s="128">
        <v>0</v>
      </c>
      <c r="V1510" s="128">
        <v>-4133643.84</v>
      </c>
      <c r="W1510" s="128">
        <v>0</v>
      </c>
      <c r="X1510" s="128">
        <v>0</v>
      </c>
      <c r="Y1510" s="128">
        <v>0</v>
      </c>
      <c r="Z1510" s="128">
        <v>-4133643.84</v>
      </c>
      <c r="AA1510" s="128">
        <v>0</v>
      </c>
      <c r="AB1510" s="126">
        <f t="shared" si="159"/>
        <v>0.41336438399999997</v>
      </c>
      <c r="AC1510" s="122" t="s">
        <v>1838</v>
      </c>
      <c r="AD1510" s="123">
        <f t="shared" si="161"/>
        <v>1983.9723217250009</v>
      </c>
    </row>
    <row r="1511" spans="1:30" ht="12.75" hidden="1" customHeight="1">
      <c r="A1511" s="125" t="str">
        <f t="shared" si="156"/>
        <v>LIC31HDFC Current Account</v>
      </c>
      <c r="B1511" s="125">
        <f>+IFERROR(VLOOKUP(L1511,'TB mapping'!A:D,4,0),0)</f>
        <v>0</v>
      </c>
      <c r="C1511" s="125">
        <f>+IFERROR(VLOOKUP(L1511,'TB mapping'!A:C,3,0),0)</f>
        <v>0</v>
      </c>
      <c r="D1511" s="125" t="str">
        <f t="shared" si="157"/>
        <v>LIC310</v>
      </c>
      <c r="E1511" s="125" t="str">
        <f t="shared" si="158"/>
        <v>LIC310</v>
      </c>
      <c r="F1511" s="158" t="str">
        <f>+VLOOKUP(H1511,'code mapping'!A:C,3,0)</f>
        <v>LIC31</v>
      </c>
      <c r="G1511" s="127" t="s">
        <v>453</v>
      </c>
      <c r="H1511" s="127" t="s">
        <v>700</v>
      </c>
      <c r="I1511" s="127" t="s">
        <v>56</v>
      </c>
      <c r="J1511" s="128">
        <v>140000</v>
      </c>
      <c r="K1511" s="127" t="s">
        <v>472</v>
      </c>
      <c r="L1511" s="151">
        <v>140330</v>
      </c>
      <c r="M1511" s="128">
        <v>0</v>
      </c>
      <c r="N1511" s="127" t="s">
        <v>475</v>
      </c>
      <c r="O1511" s="127" t="s">
        <v>457</v>
      </c>
      <c r="P1511" s="128">
        <v>-0.19</v>
      </c>
      <c r="Q1511" s="128">
        <v>0</v>
      </c>
      <c r="R1511" s="128">
        <v>0</v>
      </c>
      <c r="S1511" s="128">
        <v>0</v>
      </c>
      <c r="T1511" s="128">
        <v>-0.19</v>
      </c>
      <c r="U1511" s="128">
        <v>0</v>
      </c>
      <c r="V1511" s="128">
        <v>-0.19</v>
      </c>
      <c r="W1511" s="128">
        <v>0</v>
      </c>
      <c r="X1511" s="128">
        <v>0</v>
      </c>
      <c r="Y1511" s="128">
        <v>0</v>
      </c>
      <c r="Z1511" s="128">
        <v>-0.19</v>
      </c>
      <c r="AA1511" s="128">
        <v>0</v>
      </c>
      <c r="AB1511" s="126">
        <f t="shared" si="159"/>
        <v>1.9000000000000001E-8</v>
      </c>
      <c r="AC1511" s="122" t="s">
        <v>1838</v>
      </c>
      <c r="AD1511" s="123">
        <f t="shared" si="161"/>
        <v>1983.9723217250009</v>
      </c>
    </row>
    <row r="1512" spans="1:30" ht="12.75" hidden="1" customHeight="1">
      <c r="A1512" s="125" t="str">
        <f t="shared" si="156"/>
        <v>LIC31HDFC Bank Ltd</v>
      </c>
      <c r="B1512" s="125">
        <f>+IFERROR(VLOOKUP(L1512,'TB mapping'!A:D,4,0),0)</f>
        <v>0</v>
      </c>
      <c r="C1512" s="125">
        <f>+IFERROR(VLOOKUP(L1512,'TB mapping'!A:C,3,0),0)</f>
        <v>0</v>
      </c>
      <c r="D1512" s="125" t="str">
        <f t="shared" si="157"/>
        <v>LIC310</v>
      </c>
      <c r="E1512" s="125" t="str">
        <f t="shared" si="158"/>
        <v>LIC310</v>
      </c>
      <c r="F1512" s="158" t="str">
        <f>+VLOOKUP(H1512,'code mapping'!A:C,3,0)</f>
        <v>LIC31</v>
      </c>
      <c r="G1512" s="127" t="s">
        <v>453</v>
      </c>
      <c r="H1512" s="127" t="s">
        <v>700</v>
      </c>
      <c r="I1512" s="127" t="s">
        <v>56</v>
      </c>
      <c r="J1512" s="128">
        <v>140000</v>
      </c>
      <c r="K1512" s="127" t="s">
        <v>472</v>
      </c>
      <c r="L1512" s="151">
        <v>140372</v>
      </c>
      <c r="M1512" s="128">
        <v>0</v>
      </c>
      <c r="N1512" s="127" t="s">
        <v>476</v>
      </c>
      <c r="O1512" s="127" t="s">
        <v>457</v>
      </c>
      <c r="P1512" s="128">
        <v>0</v>
      </c>
      <c r="Q1512" s="128">
        <v>16.7</v>
      </c>
      <c r="R1512" s="128">
        <v>0</v>
      </c>
      <c r="S1512" s="128">
        <v>0</v>
      </c>
      <c r="T1512" s="128">
        <v>0</v>
      </c>
      <c r="U1512" s="128">
        <v>16.7</v>
      </c>
      <c r="V1512" s="128">
        <v>0</v>
      </c>
      <c r="W1512" s="128">
        <v>16.7</v>
      </c>
      <c r="X1512" s="128">
        <v>0</v>
      </c>
      <c r="Y1512" s="128">
        <v>0</v>
      </c>
      <c r="Z1512" s="128">
        <v>0</v>
      </c>
      <c r="AA1512" s="128">
        <v>16.7</v>
      </c>
      <c r="AB1512" s="126">
        <f t="shared" si="159"/>
        <v>-1.6699999999999999E-6</v>
      </c>
      <c r="AC1512" s="122" t="s">
        <v>1838</v>
      </c>
      <c r="AD1512" s="123">
        <f t="shared" si="161"/>
        <v>1983.9723217250009</v>
      </c>
    </row>
    <row r="1513" spans="1:30" ht="12.75" hidden="1" customHeight="1">
      <c r="A1513" s="125" t="str">
        <f t="shared" si="156"/>
        <v>LIC31Standard Chartered Bank- India</v>
      </c>
      <c r="B1513" s="125">
        <f>+IFERROR(VLOOKUP(L1513,'TB mapping'!A:D,4,0),0)</f>
        <v>0</v>
      </c>
      <c r="C1513" s="125">
        <f>+IFERROR(VLOOKUP(L1513,'TB mapping'!A:C,3,0),0)</f>
        <v>0</v>
      </c>
      <c r="D1513" s="125" t="str">
        <f t="shared" si="157"/>
        <v>LIC310</v>
      </c>
      <c r="E1513" s="125" t="str">
        <f t="shared" si="158"/>
        <v>LIC310</v>
      </c>
      <c r="F1513" s="158" t="str">
        <f>+VLOOKUP(H1513,'code mapping'!A:C,3,0)</f>
        <v>LIC31</v>
      </c>
      <c r="G1513" s="127" t="s">
        <v>453</v>
      </c>
      <c r="H1513" s="127" t="s">
        <v>700</v>
      </c>
      <c r="I1513" s="127" t="s">
        <v>56</v>
      </c>
      <c r="J1513" s="128">
        <v>140000</v>
      </c>
      <c r="K1513" s="127" t="s">
        <v>472</v>
      </c>
      <c r="L1513" s="151">
        <v>140500</v>
      </c>
      <c r="M1513" s="128">
        <v>0</v>
      </c>
      <c r="N1513" s="127" t="s">
        <v>477</v>
      </c>
      <c r="O1513" s="127" t="s">
        <v>457</v>
      </c>
      <c r="P1513" s="128">
        <v>-103572.31</v>
      </c>
      <c r="Q1513" s="128">
        <v>0</v>
      </c>
      <c r="R1513" s="128">
        <v>0</v>
      </c>
      <c r="S1513" s="128">
        <v>0</v>
      </c>
      <c r="T1513" s="128">
        <v>-103572.31</v>
      </c>
      <c r="U1513" s="128">
        <v>0</v>
      </c>
      <c r="V1513" s="128">
        <v>-103572.31</v>
      </c>
      <c r="W1513" s="128">
        <v>0</v>
      </c>
      <c r="X1513" s="128">
        <v>0</v>
      </c>
      <c r="Y1513" s="128">
        <v>0</v>
      </c>
      <c r="Z1513" s="128">
        <v>-103572.31</v>
      </c>
      <c r="AA1513" s="128">
        <v>0</v>
      </c>
      <c r="AB1513" s="126">
        <f t="shared" si="159"/>
        <v>1.0357231E-2</v>
      </c>
      <c r="AC1513" s="122" t="s">
        <v>1838</v>
      </c>
      <c r="AD1513" s="123">
        <f t="shared" si="161"/>
        <v>1983.9723217250009</v>
      </c>
    </row>
    <row r="1514" spans="1:30" ht="12.75" hidden="1" customHeight="1">
      <c r="A1514" s="125" t="str">
        <f t="shared" si="156"/>
        <v>LIC31Int Accrual - Corporate Bonds</v>
      </c>
      <c r="B1514" s="125">
        <f>+IFERROR(VLOOKUP(L1514,'TB mapping'!A:D,4,0),0)</f>
        <v>0</v>
      </c>
      <c r="C1514" s="125">
        <f>+IFERROR(VLOOKUP(L1514,'TB mapping'!A:C,3,0),0)</f>
        <v>0</v>
      </c>
      <c r="D1514" s="125" t="str">
        <f t="shared" si="157"/>
        <v>LIC310</v>
      </c>
      <c r="E1514" s="125" t="str">
        <f t="shared" si="158"/>
        <v>LIC310</v>
      </c>
      <c r="F1514" s="158" t="str">
        <f>+VLOOKUP(H1514,'code mapping'!A:C,3,0)</f>
        <v>LIC31</v>
      </c>
      <c r="G1514" s="127" t="s">
        <v>453</v>
      </c>
      <c r="H1514" s="127" t="s">
        <v>700</v>
      </c>
      <c r="I1514" s="127" t="s">
        <v>56</v>
      </c>
      <c r="J1514" s="128">
        <v>152000</v>
      </c>
      <c r="K1514" s="127" t="s">
        <v>478</v>
      </c>
      <c r="L1514" s="151">
        <v>152120</v>
      </c>
      <c r="M1514" s="128">
        <v>0</v>
      </c>
      <c r="N1514" s="127" t="s">
        <v>479</v>
      </c>
      <c r="O1514" s="127" t="s">
        <v>457</v>
      </c>
      <c r="P1514" s="128">
        <v>-13597027.42</v>
      </c>
      <c r="Q1514" s="128">
        <v>0</v>
      </c>
      <c r="R1514" s="128">
        <v>0</v>
      </c>
      <c r="S1514" s="128">
        <v>0</v>
      </c>
      <c r="T1514" s="128">
        <v>-13597027.42</v>
      </c>
      <c r="U1514" s="128">
        <v>0</v>
      </c>
      <c r="V1514" s="128">
        <v>-13597027.42</v>
      </c>
      <c r="W1514" s="128">
        <v>0</v>
      </c>
      <c r="X1514" s="128">
        <v>0</v>
      </c>
      <c r="Y1514" s="128">
        <v>0</v>
      </c>
      <c r="Z1514" s="128">
        <v>-13597027.42</v>
      </c>
      <c r="AA1514" s="128">
        <v>0</v>
      </c>
      <c r="AB1514" s="126">
        <f t="shared" si="159"/>
        <v>1.3597027420000001</v>
      </c>
      <c r="AC1514" s="122" t="s">
        <v>1838</v>
      </c>
      <c r="AD1514" s="123">
        <f t="shared" si="161"/>
        <v>1983.9723217250009</v>
      </c>
    </row>
    <row r="1515" spans="1:30" ht="12.75" hidden="1" customHeight="1">
      <c r="A1515" s="125" t="str">
        <f t="shared" si="156"/>
        <v>LIC31Int Accrual - Government Bonds</v>
      </c>
      <c r="B1515" s="125">
        <f>+IFERROR(VLOOKUP(L1515,'TB mapping'!A:D,4,0),0)</f>
        <v>0</v>
      </c>
      <c r="C1515" s="125">
        <f>+IFERROR(VLOOKUP(L1515,'TB mapping'!A:C,3,0),0)</f>
        <v>0</v>
      </c>
      <c r="D1515" s="125" t="str">
        <f t="shared" si="157"/>
        <v>LIC310</v>
      </c>
      <c r="E1515" s="125" t="str">
        <f t="shared" si="158"/>
        <v>LIC310</v>
      </c>
      <c r="F1515" s="158" t="str">
        <f>+VLOOKUP(H1515,'code mapping'!A:C,3,0)</f>
        <v>LIC31</v>
      </c>
      <c r="G1515" s="127" t="s">
        <v>453</v>
      </c>
      <c r="H1515" s="127" t="s">
        <v>700</v>
      </c>
      <c r="I1515" s="127" t="s">
        <v>56</v>
      </c>
      <c r="J1515" s="128">
        <v>152000</v>
      </c>
      <c r="K1515" s="127" t="s">
        <v>478</v>
      </c>
      <c r="L1515" s="151">
        <v>152130</v>
      </c>
      <c r="M1515" s="128">
        <v>0</v>
      </c>
      <c r="N1515" s="127" t="s">
        <v>480</v>
      </c>
      <c r="O1515" s="127" t="s">
        <v>457</v>
      </c>
      <c r="P1515" s="128">
        <v>-642645.24</v>
      </c>
      <c r="Q1515" s="128">
        <v>0</v>
      </c>
      <c r="R1515" s="128">
        <v>0</v>
      </c>
      <c r="S1515" s="128">
        <v>0</v>
      </c>
      <c r="T1515" s="128">
        <v>-642645.24</v>
      </c>
      <c r="U1515" s="128">
        <v>0</v>
      </c>
      <c r="V1515" s="128">
        <v>-642645.24</v>
      </c>
      <c r="W1515" s="128">
        <v>0</v>
      </c>
      <c r="X1515" s="128">
        <v>0</v>
      </c>
      <c r="Y1515" s="128">
        <v>0</v>
      </c>
      <c r="Z1515" s="128">
        <v>-642645.24</v>
      </c>
      <c r="AA1515" s="128">
        <v>0</v>
      </c>
      <c r="AB1515" s="126">
        <f t="shared" si="159"/>
        <v>6.4264524000000003E-2</v>
      </c>
      <c r="AC1515" s="122" t="s">
        <v>1838</v>
      </c>
      <c r="AD1515" s="123">
        <f t="shared" ref="AD1515:AD1546" si="162">SUMIF(C:C,C1515,AB:AB)</f>
        <v>1983.9723217250009</v>
      </c>
    </row>
    <row r="1516" spans="1:30" ht="12.75" hidden="1" customHeight="1">
      <c r="A1516" s="125" t="str">
        <f t="shared" si="156"/>
        <v>LIC31Amort Receivable - CBLO</v>
      </c>
      <c r="B1516" s="125">
        <f>+IFERROR(VLOOKUP(L1516,'TB mapping'!A:D,4,0),0)</f>
        <v>0</v>
      </c>
      <c r="C1516" s="125">
        <f>+IFERROR(VLOOKUP(L1516,'TB mapping'!A:C,3,0),0)</f>
        <v>0</v>
      </c>
      <c r="D1516" s="125" t="str">
        <f t="shared" si="157"/>
        <v>LIC310</v>
      </c>
      <c r="E1516" s="125" t="str">
        <f t="shared" si="158"/>
        <v>LIC310</v>
      </c>
      <c r="F1516" s="158" t="str">
        <f>+VLOOKUP(H1516,'code mapping'!A:C,3,0)</f>
        <v>LIC31</v>
      </c>
      <c r="G1516" s="127" t="s">
        <v>453</v>
      </c>
      <c r="H1516" s="127" t="s">
        <v>700</v>
      </c>
      <c r="I1516" s="127" t="s">
        <v>56</v>
      </c>
      <c r="J1516" s="128">
        <v>152000</v>
      </c>
      <c r="K1516" s="127" t="s">
        <v>478</v>
      </c>
      <c r="L1516" s="151">
        <v>152232</v>
      </c>
      <c r="M1516" s="128">
        <v>0</v>
      </c>
      <c r="N1516" s="127" t="s">
        <v>482</v>
      </c>
      <c r="O1516" s="127" t="s">
        <v>457</v>
      </c>
      <c r="P1516" s="128">
        <v>-69050.19</v>
      </c>
      <c r="Q1516" s="128">
        <v>0</v>
      </c>
      <c r="R1516" s="128">
        <v>0</v>
      </c>
      <c r="S1516" s="128">
        <v>0</v>
      </c>
      <c r="T1516" s="128">
        <v>-69050.19</v>
      </c>
      <c r="U1516" s="128">
        <v>0</v>
      </c>
      <c r="V1516" s="128">
        <v>-69050.19</v>
      </c>
      <c r="W1516" s="128">
        <v>0</v>
      </c>
      <c r="X1516" s="128">
        <v>0</v>
      </c>
      <c r="Y1516" s="128">
        <v>0</v>
      </c>
      <c r="Z1516" s="128">
        <v>-69050.19</v>
      </c>
      <c r="AA1516" s="128">
        <v>0</v>
      </c>
      <c r="AB1516" s="126">
        <f t="shared" si="159"/>
        <v>6.9050190000000001E-3</v>
      </c>
      <c r="AC1516" s="122" t="s">
        <v>1838</v>
      </c>
      <c r="AD1516" s="123">
        <f t="shared" si="162"/>
        <v>1983.9723217250009</v>
      </c>
    </row>
    <row r="1517" spans="1:30" ht="12.75" hidden="1" customHeight="1">
      <c r="A1517" s="125" t="str">
        <f t="shared" si="156"/>
        <v>LIC31Amortisation/Accretion-Bills</v>
      </c>
      <c r="B1517" s="125">
        <f>+IFERROR(VLOOKUP(L1517,'TB mapping'!A:D,4,0),0)</f>
        <v>0</v>
      </c>
      <c r="C1517" s="125">
        <f>+IFERROR(VLOOKUP(L1517,'TB mapping'!A:C,3,0),0)</f>
        <v>0</v>
      </c>
      <c r="D1517" s="125" t="str">
        <f t="shared" si="157"/>
        <v>LIC310</v>
      </c>
      <c r="E1517" s="125" t="str">
        <f t="shared" si="158"/>
        <v>LIC310</v>
      </c>
      <c r="F1517" s="158" t="str">
        <f>+VLOOKUP(H1517,'code mapping'!A:C,3,0)</f>
        <v>LIC31</v>
      </c>
      <c r="G1517" s="127" t="s">
        <v>453</v>
      </c>
      <c r="H1517" s="127" t="s">
        <v>700</v>
      </c>
      <c r="I1517" s="127" t="s">
        <v>56</v>
      </c>
      <c r="J1517" s="128">
        <v>152000</v>
      </c>
      <c r="K1517" s="127" t="s">
        <v>478</v>
      </c>
      <c r="L1517" s="151">
        <v>153001</v>
      </c>
      <c r="M1517" s="128">
        <v>0</v>
      </c>
      <c r="N1517" s="127" t="s">
        <v>647</v>
      </c>
      <c r="O1517" s="127" t="s">
        <v>457</v>
      </c>
      <c r="P1517" s="128">
        <v>-151164</v>
      </c>
      <c r="Q1517" s="128">
        <v>0</v>
      </c>
      <c r="R1517" s="128">
        <v>0</v>
      </c>
      <c r="S1517" s="128">
        <v>0</v>
      </c>
      <c r="T1517" s="128">
        <v>-151164</v>
      </c>
      <c r="U1517" s="128">
        <v>0</v>
      </c>
      <c r="V1517" s="128">
        <v>-151164</v>
      </c>
      <c r="W1517" s="128">
        <v>0</v>
      </c>
      <c r="X1517" s="128">
        <v>0</v>
      </c>
      <c r="Y1517" s="128">
        <v>0</v>
      </c>
      <c r="Z1517" s="128">
        <v>-151164</v>
      </c>
      <c r="AA1517" s="128">
        <v>0</v>
      </c>
      <c r="AB1517" s="126">
        <f t="shared" si="159"/>
        <v>1.51164E-2</v>
      </c>
      <c r="AC1517" s="122" t="s">
        <v>1838</v>
      </c>
      <c r="AD1517" s="123">
        <f t="shared" si="162"/>
        <v>1983.9723217250009</v>
      </c>
    </row>
    <row r="1518" spans="1:30" ht="12.75" hidden="1" customHeight="1">
      <c r="A1518" s="125" t="str">
        <f t="shared" si="156"/>
        <v>LIC31Prov Unr P/L - Equities</v>
      </c>
      <c r="B1518" s="125">
        <f>+IFERROR(VLOOKUP(L1518,'TB mapping'!A:D,4,0),0)</f>
        <v>0</v>
      </c>
      <c r="C1518" s="125">
        <f>+IFERROR(VLOOKUP(L1518,'TB mapping'!A:C,3,0),0)</f>
        <v>0</v>
      </c>
      <c r="D1518" s="125" t="str">
        <f t="shared" si="157"/>
        <v>LIC310</v>
      </c>
      <c r="E1518" s="125" t="str">
        <f t="shared" si="158"/>
        <v>LIC310</v>
      </c>
      <c r="F1518" s="158" t="str">
        <f>+VLOOKUP(H1518,'code mapping'!A:C,3,0)</f>
        <v>LIC31</v>
      </c>
      <c r="G1518" s="127" t="s">
        <v>453</v>
      </c>
      <c r="H1518" s="127" t="s">
        <v>700</v>
      </c>
      <c r="I1518" s="127" t="s">
        <v>56</v>
      </c>
      <c r="J1518" s="128">
        <v>160000</v>
      </c>
      <c r="K1518" s="127" t="s">
        <v>483</v>
      </c>
      <c r="L1518" s="151">
        <v>161100</v>
      </c>
      <c r="M1518" s="128">
        <v>0</v>
      </c>
      <c r="N1518" s="127" t="s">
        <v>595</v>
      </c>
      <c r="O1518" s="127" t="s">
        <v>457</v>
      </c>
      <c r="P1518" s="128">
        <v>0</v>
      </c>
      <c r="Q1518" s="128">
        <v>12919251.43</v>
      </c>
      <c r="R1518" s="128">
        <v>0</v>
      </c>
      <c r="S1518" s="128">
        <v>0</v>
      </c>
      <c r="T1518" s="128">
        <v>0</v>
      </c>
      <c r="U1518" s="128">
        <v>12919251.43</v>
      </c>
      <c r="V1518" s="128">
        <v>0</v>
      </c>
      <c r="W1518" s="128">
        <v>12919251.43</v>
      </c>
      <c r="X1518" s="128">
        <v>0</v>
      </c>
      <c r="Y1518" s="128">
        <v>0</v>
      </c>
      <c r="Z1518" s="128">
        <v>0</v>
      </c>
      <c r="AA1518" s="128">
        <v>12919251.43</v>
      </c>
      <c r="AB1518" s="126">
        <f t="shared" si="159"/>
        <v>-1.2919251430000001</v>
      </c>
      <c r="AC1518" s="122" t="s">
        <v>1838</v>
      </c>
      <c r="AD1518" s="123">
        <f t="shared" si="162"/>
        <v>1983.9723217250009</v>
      </c>
    </row>
    <row r="1519" spans="1:30" ht="12.75" hidden="1" customHeight="1">
      <c r="A1519" s="125" t="str">
        <f t="shared" si="156"/>
        <v>LIC31Prov Unr P/L - Treasury Bills</v>
      </c>
      <c r="B1519" s="125">
        <f>+IFERROR(VLOOKUP(L1519,'TB mapping'!A:D,4,0),0)</f>
        <v>0</v>
      </c>
      <c r="C1519" s="125">
        <f>+IFERROR(VLOOKUP(L1519,'TB mapping'!A:C,3,0),0)</f>
        <v>0</v>
      </c>
      <c r="D1519" s="125" t="str">
        <f t="shared" si="157"/>
        <v>LIC310</v>
      </c>
      <c r="E1519" s="125" t="str">
        <f t="shared" si="158"/>
        <v>LIC310</v>
      </c>
      <c r="F1519" s="158" t="str">
        <f>+VLOOKUP(H1519,'code mapping'!A:C,3,0)</f>
        <v>LIC31</v>
      </c>
      <c r="G1519" s="127" t="s">
        <v>453</v>
      </c>
      <c r="H1519" s="127" t="s">
        <v>700</v>
      </c>
      <c r="I1519" s="127" t="s">
        <v>56</v>
      </c>
      <c r="J1519" s="128">
        <v>160000</v>
      </c>
      <c r="K1519" s="127" t="s">
        <v>483</v>
      </c>
      <c r="L1519" s="151">
        <v>162110</v>
      </c>
      <c r="M1519" s="128">
        <v>0</v>
      </c>
      <c r="N1519" s="127" t="s">
        <v>648</v>
      </c>
      <c r="O1519" s="127" t="s">
        <v>457</v>
      </c>
      <c r="P1519" s="128">
        <v>-2236</v>
      </c>
      <c r="Q1519" s="128">
        <v>0</v>
      </c>
      <c r="R1519" s="128">
        <v>0</v>
      </c>
      <c r="S1519" s="128">
        <v>0</v>
      </c>
      <c r="T1519" s="128">
        <v>-2236</v>
      </c>
      <c r="U1519" s="128">
        <v>0</v>
      </c>
      <c r="V1519" s="128">
        <v>-2236</v>
      </c>
      <c r="W1519" s="128">
        <v>0</v>
      </c>
      <c r="X1519" s="128">
        <v>0</v>
      </c>
      <c r="Y1519" s="128">
        <v>0</v>
      </c>
      <c r="Z1519" s="128">
        <v>-2236</v>
      </c>
      <c r="AA1519" s="128">
        <v>0</v>
      </c>
      <c r="AB1519" s="126">
        <f t="shared" si="159"/>
        <v>2.2359999999999999E-4</v>
      </c>
      <c r="AC1519" s="122" t="s">
        <v>1838</v>
      </c>
      <c r="AD1519" s="123">
        <f t="shared" si="162"/>
        <v>1983.9723217250009</v>
      </c>
    </row>
    <row r="1520" spans="1:30" ht="12.75" hidden="1" customHeight="1">
      <c r="A1520" s="125" t="str">
        <f t="shared" si="156"/>
        <v>LIC31Prov Unr P/L - CorpBond/Debent</v>
      </c>
      <c r="B1520" s="125">
        <f>+IFERROR(VLOOKUP(L1520,'TB mapping'!A:D,4,0),0)</f>
        <v>0</v>
      </c>
      <c r="C1520" s="125">
        <f>+IFERROR(VLOOKUP(L1520,'TB mapping'!A:C,3,0),0)</f>
        <v>0</v>
      </c>
      <c r="D1520" s="125" t="str">
        <f t="shared" si="157"/>
        <v>LIC310</v>
      </c>
      <c r="E1520" s="125" t="str">
        <f t="shared" si="158"/>
        <v>LIC310</v>
      </c>
      <c r="F1520" s="158" t="str">
        <f>+VLOOKUP(H1520,'code mapping'!A:C,3,0)</f>
        <v>LIC31</v>
      </c>
      <c r="G1520" s="127" t="s">
        <v>453</v>
      </c>
      <c r="H1520" s="127" t="s">
        <v>700</v>
      </c>
      <c r="I1520" s="127" t="s">
        <v>56</v>
      </c>
      <c r="J1520" s="128">
        <v>160000</v>
      </c>
      <c r="K1520" s="127" t="s">
        <v>483</v>
      </c>
      <c r="L1520" s="151">
        <v>162120</v>
      </c>
      <c r="M1520" s="128">
        <v>0</v>
      </c>
      <c r="N1520" s="127" t="s">
        <v>484</v>
      </c>
      <c r="O1520" s="127" t="s">
        <v>457</v>
      </c>
      <c r="P1520" s="128">
        <v>-137500.62</v>
      </c>
      <c r="Q1520" s="128">
        <v>0</v>
      </c>
      <c r="R1520" s="128">
        <v>0</v>
      </c>
      <c r="S1520" s="128">
        <v>0</v>
      </c>
      <c r="T1520" s="128">
        <v>-137500.62</v>
      </c>
      <c r="U1520" s="128">
        <v>0</v>
      </c>
      <c r="V1520" s="128">
        <v>-137500.62</v>
      </c>
      <c r="W1520" s="128">
        <v>0</v>
      </c>
      <c r="X1520" s="128">
        <v>0</v>
      </c>
      <c r="Y1520" s="128">
        <v>0</v>
      </c>
      <c r="Z1520" s="128">
        <v>-137500.62</v>
      </c>
      <c r="AA1520" s="128">
        <v>0</v>
      </c>
      <c r="AB1520" s="126">
        <f t="shared" si="159"/>
        <v>1.3750062E-2</v>
      </c>
      <c r="AC1520" s="122" t="s">
        <v>1838</v>
      </c>
      <c r="AD1520" s="123">
        <f t="shared" si="162"/>
        <v>1983.9723217250009</v>
      </c>
    </row>
    <row r="1521" spans="1:30" ht="12.75" hidden="1" customHeight="1">
      <c r="A1521" s="125" t="str">
        <f t="shared" si="156"/>
        <v>LIC31Prov Unr P/L - Government Bond</v>
      </c>
      <c r="B1521" s="125">
        <f>+IFERROR(VLOOKUP(L1521,'TB mapping'!A:D,4,0),0)</f>
        <v>0</v>
      </c>
      <c r="C1521" s="125">
        <f>+IFERROR(VLOOKUP(L1521,'TB mapping'!A:C,3,0),0)</f>
        <v>0</v>
      </c>
      <c r="D1521" s="125" t="str">
        <f t="shared" si="157"/>
        <v>LIC310</v>
      </c>
      <c r="E1521" s="125" t="str">
        <f t="shared" si="158"/>
        <v>LIC310</v>
      </c>
      <c r="F1521" s="158" t="str">
        <f>+VLOOKUP(H1521,'code mapping'!A:C,3,0)</f>
        <v>LIC31</v>
      </c>
      <c r="G1521" s="127" t="s">
        <v>453</v>
      </c>
      <c r="H1521" s="127" t="s">
        <v>700</v>
      </c>
      <c r="I1521" s="127" t="s">
        <v>56</v>
      </c>
      <c r="J1521" s="128">
        <v>160000</v>
      </c>
      <c r="K1521" s="127" t="s">
        <v>483</v>
      </c>
      <c r="L1521" s="151">
        <v>162130</v>
      </c>
      <c r="M1521" s="128">
        <v>0</v>
      </c>
      <c r="N1521" s="127" t="s">
        <v>485</v>
      </c>
      <c r="O1521" s="127" t="s">
        <v>457</v>
      </c>
      <c r="P1521" s="128">
        <v>0</v>
      </c>
      <c r="Q1521" s="128">
        <v>964325.18</v>
      </c>
      <c r="R1521" s="128">
        <v>0</v>
      </c>
      <c r="S1521" s="128">
        <v>0</v>
      </c>
      <c r="T1521" s="128">
        <v>0</v>
      </c>
      <c r="U1521" s="128">
        <v>964325.18</v>
      </c>
      <c r="V1521" s="128">
        <v>0</v>
      </c>
      <c r="W1521" s="128">
        <v>964325.18</v>
      </c>
      <c r="X1521" s="128">
        <v>0</v>
      </c>
      <c r="Y1521" s="128">
        <v>0</v>
      </c>
      <c r="Z1521" s="128">
        <v>0</v>
      </c>
      <c r="AA1521" s="128">
        <v>964325.18</v>
      </c>
      <c r="AB1521" s="126">
        <f t="shared" si="159"/>
        <v>-9.6432518000000009E-2</v>
      </c>
      <c r="AC1521" s="122" t="s">
        <v>1838</v>
      </c>
      <c r="AD1521" s="123">
        <f t="shared" si="162"/>
        <v>1983.9723217250009</v>
      </c>
    </row>
    <row r="1522" spans="1:30" ht="12.75" hidden="1" customHeight="1">
      <c r="A1522" s="125" t="str">
        <f t="shared" si="156"/>
        <v>LIC31Payable - Withhold Brokerage</v>
      </c>
      <c r="B1522" s="125">
        <f>+IFERROR(VLOOKUP(L1522,'TB mapping'!A:D,4,0),0)</f>
        <v>0</v>
      </c>
      <c r="C1522" s="125">
        <f>+IFERROR(VLOOKUP(L1522,'TB mapping'!A:C,3,0),0)</f>
        <v>0</v>
      </c>
      <c r="D1522" s="125" t="str">
        <f t="shared" si="157"/>
        <v>LIC310</v>
      </c>
      <c r="E1522" s="125" t="str">
        <f t="shared" si="158"/>
        <v>LIC310</v>
      </c>
      <c r="F1522" s="158" t="str">
        <f>+VLOOKUP(H1522,'code mapping'!A:C,3,0)</f>
        <v>LIC31</v>
      </c>
      <c r="G1522" s="127" t="s">
        <v>453</v>
      </c>
      <c r="H1522" s="127" t="s">
        <v>700</v>
      </c>
      <c r="I1522" s="127" t="s">
        <v>56</v>
      </c>
      <c r="J1522" s="128">
        <v>212000</v>
      </c>
      <c r="K1522" s="127" t="s">
        <v>487</v>
      </c>
      <c r="L1522" s="151">
        <v>210164</v>
      </c>
      <c r="M1522" s="128">
        <v>0</v>
      </c>
      <c r="N1522" s="127" t="s">
        <v>488</v>
      </c>
      <c r="O1522" s="127" t="s">
        <v>457</v>
      </c>
      <c r="P1522" s="128">
        <v>0</v>
      </c>
      <c r="Q1522" s="128">
        <v>349801.84</v>
      </c>
      <c r="R1522" s="128">
        <v>0</v>
      </c>
      <c r="S1522" s="128">
        <v>0</v>
      </c>
      <c r="T1522" s="128">
        <v>0</v>
      </c>
      <c r="U1522" s="128">
        <v>349801.84</v>
      </c>
      <c r="V1522" s="128">
        <v>0</v>
      </c>
      <c r="W1522" s="128">
        <v>349801.84</v>
      </c>
      <c r="X1522" s="128">
        <v>0</v>
      </c>
      <c r="Y1522" s="128">
        <v>0</v>
      </c>
      <c r="Z1522" s="128">
        <v>0</v>
      </c>
      <c r="AA1522" s="128">
        <v>349801.84</v>
      </c>
      <c r="AB1522" s="126">
        <f t="shared" si="159"/>
        <v>-3.4980184000000004E-2</v>
      </c>
      <c r="AC1522" s="122" t="s">
        <v>1838</v>
      </c>
      <c r="AD1522" s="123">
        <f t="shared" si="162"/>
        <v>1983.9723217250009</v>
      </c>
    </row>
    <row r="1523" spans="1:30" ht="12.75" hidden="1" customHeight="1">
      <c r="A1523" s="125" t="str">
        <f t="shared" si="156"/>
        <v>LIC31Dividend Payable</v>
      </c>
      <c r="B1523" s="125">
        <f>+IFERROR(VLOOKUP(L1523,'TB mapping'!A:D,4,0),0)</f>
        <v>0</v>
      </c>
      <c r="C1523" s="125">
        <f>+IFERROR(VLOOKUP(L1523,'TB mapping'!A:C,3,0),0)</f>
        <v>0</v>
      </c>
      <c r="D1523" s="125" t="str">
        <f t="shared" si="157"/>
        <v>LIC310</v>
      </c>
      <c r="E1523" s="125" t="str">
        <f t="shared" si="158"/>
        <v>LIC310</v>
      </c>
      <c r="F1523" s="158" t="str">
        <f>+VLOOKUP(H1523,'code mapping'!A:C,3,0)</f>
        <v>LIC31</v>
      </c>
      <c r="G1523" s="127" t="s">
        <v>453</v>
      </c>
      <c r="H1523" s="127" t="s">
        <v>700</v>
      </c>
      <c r="I1523" s="127" t="s">
        <v>56</v>
      </c>
      <c r="J1523" s="128">
        <v>212000</v>
      </c>
      <c r="K1523" s="127" t="s">
        <v>487</v>
      </c>
      <c r="L1523" s="151">
        <v>212100</v>
      </c>
      <c r="M1523" s="128">
        <v>0</v>
      </c>
      <c r="N1523" s="127" t="s">
        <v>489</v>
      </c>
      <c r="O1523" s="127" t="s">
        <v>457</v>
      </c>
      <c r="P1523" s="128">
        <v>0</v>
      </c>
      <c r="Q1523" s="128">
        <v>1284275.22</v>
      </c>
      <c r="R1523" s="128">
        <v>0</v>
      </c>
      <c r="S1523" s="128">
        <v>0</v>
      </c>
      <c r="T1523" s="128">
        <v>0</v>
      </c>
      <c r="U1523" s="128">
        <v>1284275.22</v>
      </c>
      <c r="V1523" s="128">
        <v>0</v>
      </c>
      <c r="W1523" s="128">
        <v>1284275.22</v>
      </c>
      <c r="X1523" s="128">
        <v>0</v>
      </c>
      <c r="Y1523" s="128">
        <v>0</v>
      </c>
      <c r="Z1523" s="128">
        <v>0</v>
      </c>
      <c r="AA1523" s="128">
        <v>1284275.22</v>
      </c>
      <c r="AB1523" s="126">
        <f t="shared" si="159"/>
        <v>-0.12842752199999999</v>
      </c>
      <c r="AC1523" s="122" t="s">
        <v>1838</v>
      </c>
      <c r="AD1523" s="123">
        <f t="shared" si="162"/>
        <v>1983.9723217250009</v>
      </c>
    </row>
    <row r="1524" spans="1:30" ht="12.75" hidden="1" customHeight="1">
      <c r="A1524" s="125" t="str">
        <f t="shared" si="156"/>
        <v>LIC31CGST Payable</v>
      </c>
      <c r="B1524" s="125">
        <f>+IFERROR(VLOOKUP(L1524,'TB mapping'!A:D,4,0),0)</f>
        <v>0</v>
      </c>
      <c r="C1524" s="125">
        <f>+IFERROR(VLOOKUP(L1524,'TB mapping'!A:C,3,0),0)</f>
        <v>0</v>
      </c>
      <c r="D1524" s="125" t="str">
        <f t="shared" si="157"/>
        <v>LIC310</v>
      </c>
      <c r="E1524" s="125" t="str">
        <f t="shared" si="158"/>
        <v>LIC310</v>
      </c>
      <c r="F1524" s="158" t="str">
        <f>+VLOOKUP(H1524,'code mapping'!A:C,3,0)</f>
        <v>LIC31</v>
      </c>
      <c r="G1524" s="127" t="s">
        <v>453</v>
      </c>
      <c r="H1524" s="127" t="s">
        <v>700</v>
      </c>
      <c r="I1524" s="127" t="s">
        <v>56</v>
      </c>
      <c r="J1524" s="128">
        <v>212000</v>
      </c>
      <c r="K1524" s="127" t="s">
        <v>487</v>
      </c>
      <c r="L1524" s="151">
        <v>212112</v>
      </c>
      <c r="M1524" s="128">
        <v>0</v>
      </c>
      <c r="N1524" s="127" t="s">
        <v>490</v>
      </c>
      <c r="O1524" s="127" t="s">
        <v>457</v>
      </c>
      <c r="P1524" s="128">
        <v>0</v>
      </c>
      <c r="Q1524" s="128">
        <v>1997.77</v>
      </c>
      <c r="R1524" s="128">
        <v>0</v>
      </c>
      <c r="S1524" s="128">
        <v>0</v>
      </c>
      <c r="T1524" s="128">
        <v>0</v>
      </c>
      <c r="U1524" s="128">
        <v>1997.77</v>
      </c>
      <c r="V1524" s="128">
        <v>0</v>
      </c>
      <c r="W1524" s="128">
        <v>1997.77</v>
      </c>
      <c r="X1524" s="128">
        <v>0</v>
      </c>
      <c r="Y1524" s="128">
        <v>0</v>
      </c>
      <c r="Z1524" s="128">
        <v>0</v>
      </c>
      <c r="AA1524" s="128">
        <v>1997.77</v>
      </c>
      <c r="AB1524" s="126">
        <f t="shared" si="159"/>
        <v>-1.9977699999999999E-4</v>
      </c>
      <c r="AC1524" s="122" t="s">
        <v>1838</v>
      </c>
      <c r="AD1524" s="123">
        <f t="shared" si="162"/>
        <v>1983.9723217250009</v>
      </c>
    </row>
    <row r="1525" spans="1:30" ht="12.75" hidden="1" customHeight="1">
      <c r="A1525" s="125" t="str">
        <f t="shared" si="156"/>
        <v>LIC31SGST Payable</v>
      </c>
      <c r="B1525" s="125">
        <f>+IFERROR(VLOOKUP(L1525,'TB mapping'!A:D,4,0),0)</f>
        <v>0</v>
      </c>
      <c r="C1525" s="125">
        <f>+IFERROR(VLOOKUP(L1525,'TB mapping'!A:C,3,0),0)</f>
        <v>0</v>
      </c>
      <c r="D1525" s="125" t="str">
        <f t="shared" si="157"/>
        <v>LIC310</v>
      </c>
      <c r="E1525" s="125" t="str">
        <f t="shared" si="158"/>
        <v>LIC310</v>
      </c>
      <c r="F1525" s="158" t="str">
        <f>+VLOOKUP(H1525,'code mapping'!A:C,3,0)</f>
        <v>LIC31</v>
      </c>
      <c r="G1525" s="127" t="s">
        <v>453</v>
      </c>
      <c r="H1525" s="127" t="s">
        <v>700</v>
      </c>
      <c r="I1525" s="127" t="s">
        <v>56</v>
      </c>
      <c r="J1525" s="128">
        <v>212000</v>
      </c>
      <c r="K1525" s="127" t="s">
        <v>487</v>
      </c>
      <c r="L1525" s="151">
        <v>212113</v>
      </c>
      <c r="M1525" s="128">
        <v>0</v>
      </c>
      <c r="N1525" s="127" t="s">
        <v>491</v>
      </c>
      <c r="O1525" s="127" t="s">
        <v>457</v>
      </c>
      <c r="P1525" s="128">
        <v>0</v>
      </c>
      <c r="Q1525" s="128">
        <v>1997.77</v>
      </c>
      <c r="R1525" s="128">
        <v>0</v>
      </c>
      <c r="S1525" s="128">
        <v>0</v>
      </c>
      <c r="T1525" s="128">
        <v>0</v>
      </c>
      <c r="U1525" s="128">
        <v>1997.77</v>
      </c>
      <c r="V1525" s="128">
        <v>0</v>
      </c>
      <c r="W1525" s="128">
        <v>1997.77</v>
      </c>
      <c r="X1525" s="128">
        <v>0</v>
      </c>
      <c r="Y1525" s="128">
        <v>0</v>
      </c>
      <c r="Z1525" s="128">
        <v>0</v>
      </c>
      <c r="AA1525" s="128">
        <v>1997.77</v>
      </c>
      <c r="AB1525" s="126">
        <f t="shared" si="159"/>
        <v>-1.9977699999999999E-4</v>
      </c>
      <c r="AC1525" s="122" t="s">
        <v>1838</v>
      </c>
      <c r="AD1525" s="123">
        <f t="shared" si="162"/>
        <v>1983.9723217250009</v>
      </c>
    </row>
    <row r="1526" spans="1:30" ht="12.75" hidden="1" customHeight="1">
      <c r="A1526" s="125" t="str">
        <f t="shared" si="156"/>
        <v>LIC31IGST Payable</v>
      </c>
      <c r="B1526" s="125">
        <f>+IFERROR(VLOOKUP(L1526,'TB mapping'!A:D,4,0),0)</f>
        <v>0</v>
      </c>
      <c r="C1526" s="125">
        <f>+IFERROR(VLOOKUP(L1526,'TB mapping'!A:C,3,0),0)</f>
        <v>0</v>
      </c>
      <c r="D1526" s="125" t="str">
        <f t="shared" si="157"/>
        <v>LIC310</v>
      </c>
      <c r="E1526" s="125" t="str">
        <f t="shared" si="158"/>
        <v>LIC310</v>
      </c>
      <c r="F1526" s="158" t="str">
        <f>+VLOOKUP(H1526,'code mapping'!A:C,3,0)</f>
        <v>LIC31</v>
      </c>
      <c r="G1526" s="127" t="s">
        <v>453</v>
      </c>
      <c r="H1526" s="127" t="s">
        <v>700</v>
      </c>
      <c r="I1526" s="127" t="s">
        <v>56</v>
      </c>
      <c r="J1526" s="128">
        <v>212000</v>
      </c>
      <c r="K1526" s="127" t="s">
        <v>487</v>
      </c>
      <c r="L1526" s="151">
        <v>212114</v>
      </c>
      <c r="M1526" s="128">
        <v>0</v>
      </c>
      <c r="N1526" s="127" t="s">
        <v>492</v>
      </c>
      <c r="O1526" s="127" t="s">
        <v>457</v>
      </c>
      <c r="P1526" s="128">
        <v>0</v>
      </c>
      <c r="Q1526" s="128">
        <v>11072.66</v>
      </c>
      <c r="R1526" s="128">
        <v>0</v>
      </c>
      <c r="S1526" s="128">
        <v>0</v>
      </c>
      <c r="T1526" s="128">
        <v>0</v>
      </c>
      <c r="U1526" s="128">
        <v>11072.66</v>
      </c>
      <c r="V1526" s="128">
        <v>0</v>
      </c>
      <c r="W1526" s="128">
        <v>11072.66</v>
      </c>
      <c r="X1526" s="128">
        <v>0</v>
      </c>
      <c r="Y1526" s="128">
        <v>0</v>
      </c>
      <c r="Z1526" s="128">
        <v>0</v>
      </c>
      <c r="AA1526" s="128">
        <v>11072.66</v>
      </c>
      <c r="AB1526" s="126">
        <f t="shared" si="159"/>
        <v>-1.107266E-3</v>
      </c>
      <c r="AC1526" s="122" t="s">
        <v>1838</v>
      </c>
      <c r="AD1526" s="123">
        <f t="shared" si="162"/>
        <v>1983.9723217250009</v>
      </c>
    </row>
    <row r="1527" spans="1:30" ht="12.75" hidden="1" customHeight="1">
      <c r="A1527" s="125" t="str">
        <f t="shared" si="156"/>
        <v>LIC31Redemption Payable Ct</v>
      </c>
      <c r="B1527" s="125">
        <f>+IFERROR(VLOOKUP(L1527,'TB mapping'!A:D,4,0),0)</f>
        <v>0</v>
      </c>
      <c r="C1527" s="125">
        <f>+IFERROR(VLOOKUP(L1527,'TB mapping'!A:C,3,0),0)</f>
        <v>0</v>
      </c>
      <c r="D1527" s="125" t="str">
        <f t="shared" si="157"/>
        <v>LIC310</v>
      </c>
      <c r="E1527" s="125" t="str">
        <f t="shared" si="158"/>
        <v>LIC310</v>
      </c>
      <c r="F1527" s="158" t="str">
        <f>+VLOOKUP(H1527,'code mapping'!A:C,3,0)</f>
        <v>LIC31</v>
      </c>
      <c r="G1527" s="127" t="s">
        <v>453</v>
      </c>
      <c r="H1527" s="127" t="s">
        <v>700</v>
      </c>
      <c r="I1527" s="127" t="s">
        <v>56</v>
      </c>
      <c r="J1527" s="128">
        <v>212000</v>
      </c>
      <c r="K1527" s="127" t="s">
        <v>487</v>
      </c>
      <c r="L1527" s="151">
        <v>212121</v>
      </c>
      <c r="M1527" s="128">
        <v>0</v>
      </c>
      <c r="N1527" s="127" t="s">
        <v>493</v>
      </c>
      <c r="O1527" s="127" t="s">
        <v>457</v>
      </c>
      <c r="P1527" s="128">
        <v>0</v>
      </c>
      <c r="Q1527" s="128">
        <v>0.46</v>
      </c>
      <c r="R1527" s="128">
        <v>0</v>
      </c>
      <c r="S1527" s="128">
        <v>0</v>
      </c>
      <c r="T1527" s="128">
        <v>0</v>
      </c>
      <c r="U1527" s="128">
        <v>0.46</v>
      </c>
      <c r="V1527" s="128">
        <v>0</v>
      </c>
      <c r="W1527" s="128">
        <v>0.46</v>
      </c>
      <c r="X1527" s="128">
        <v>0</v>
      </c>
      <c r="Y1527" s="128">
        <v>0</v>
      </c>
      <c r="Z1527" s="128">
        <v>0</v>
      </c>
      <c r="AA1527" s="128">
        <v>0.46</v>
      </c>
      <c r="AB1527" s="126">
        <f t="shared" si="159"/>
        <v>-4.6000000000000002E-8</v>
      </c>
      <c r="AC1527" s="122" t="s">
        <v>1838</v>
      </c>
      <c r="AD1527" s="123">
        <f t="shared" si="162"/>
        <v>1983.9723217250009</v>
      </c>
    </row>
    <row r="1528" spans="1:30" ht="12.75" hidden="1" customHeight="1">
      <c r="A1528" s="125" t="str">
        <f t="shared" si="156"/>
        <v>LIC31Switch Out Payable Ct</v>
      </c>
      <c r="B1528" s="125">
        <f>+IFERROR(VLOOKUP(L1528,'TB mapping'!A:D,4,0),0)</f>
        <v>0</v>
      </c>
      <c r="C1528" s="125">
        <f>+IFERROR(VLOOKUP(L1528,'TB mapping'!A:C,3,0),0)</f>
        <v>0</v>
      </c>
      <c r="D1528" s="125" t="str">
        <f t="shared" si="157"/>
        <v>LIC310</v>
      </c>
      <c r="E1528" s="125" t="str">
        <f t="shared" si="158"/>
        <v>LIC310</v>
      </c>
      <c r="F1528" s="158" t="str">
        <f>+VLOOKUP(H1528,'code mapping'!A:C,3,0)</f>
        <v>LIC31</v>
      </c>
      <c r="G1528" s="127" t="s">
        <v>453</v>
      </c>
      <c r="H1528" s="127" t="s">
        <v>700</v>
      </c>
      <c r="I1528" s="127" t="s">
        <v>56</v>
      </c>
      <c r="J1528" s="128">
        <v>212000</v>
      </c>
      <c r="K1528" s="127" t="s">
        <v>487</v>
      </c>
      <c r="L1528" s="151">
        <v>212124</v>
      </c>
      <c r="M1528" s="128">
        <v>0</v>
      </c>
      <c r="N1528" s="127" t="s">
        <v>494</v>
      </c>
      <c r="O1528" s="127" t="s">
        <v>457</v>
      </c>
      <c r="P1528" s="128">
        <v>0</v>
      </c>
      <c r="Q1528" s="128">
        <v>112687.49</v>
      </c>
      <c r="R1528" s="128">
        <v>0</v>
      </c>
      <c r="S1528" s="128">
        <v>0</v>
      </c>
      <c r="T1528" s="128">
        <v>0</v>
      </c>
      <c r="U1528" s="128">
        <v>112687.49</v>
      </c>
      <c r="V1528" s="128">
        <v>0</v>
      </c>
      <c r="W1528" s="128">
        <v>112687.49</v>
      </c>
      <c r="X1528" s="128">
        <v>0</v>
      </c>
      <c r="Y1528" s="128">
        <v>0</v>
      </c>
      <c r="Z1528" s="128">
        <v>0</v>
      </c>
      <c r="AA1528" s="128">
        <v>112687.49</v>
      </c>
      <c r="AB1528" s="126">
        <f t="shared" si="159"/>
        <v>-1.1268749E-2</v>
      </c>
      <c r="AC1528" s="122" t="s">
        <v>1838</v>
      </c>
      <c r="AD1528" s="123">
        <f t="shared" si="162"/>
        <v>1983.9723217250009</v>
      </c>
    </row>
    <row r="1529" spans="1:30" ht="12.75" hidden="1" customHeight="1">
      <c r="A1529" s="125" t="str">
        <f t="shared" ref="A1529:A1592" si="163">+F1529&amp;N1529</f>
        <v>LIC31Audit Fee-Payable</v>
      </c>
      <c r="B1529" s="125">
        <f>+IFERROR(VLOOKUP(L1529,'TB mapping'!A:D,4,0),0)</f>
        <v>0</v>
      </c>
      <c r="C1529" s="125">
        <f>+IFERROR(VLOOKUP(L1529,'TB mapping'!A:C,3,0),0)</f>
        <v>0</v>
      </c>
      <c r="D1529" s="125" t="str">
        <f t="shared" ref="D1529:D1592" si="164">+F1529&amp;B1529</f>
        <v>LIC310</v>
      </c>
      <c r="E1529" s="125" t="str">
        <f t="shared" ref="E1529:E1592" si="165">+F1529&amp;C1529</f>
        <v>LIC310</v>
      </c>
      <c r="F1529" s="158" t="str">
        <f>+VLOOKUP(H1529,'code mapping'!A:C,3,0)</f>
        <v>LIC31</v>
      </c>
      <c r="G1529" s="127" t="s">
        <v>453</v>
      </c>
      <c r="H1529" s="127" t="s">
        <v>700</v>
      </c>
      <c r="I1529" s="127" t="s">
        <v>56</v>
      </c>
      <c r="J1529" s="128">
        <v>212000</v>
      </c>
      <c r="K1529" s="127" t="s">
        <v>487</v>
      </c>
      <c r="L1529" s="151">
        <v>212194</v>
      </c>
      <c r="M1529" s="128">
        <v>0</v>
      </c>
      <c r="N1529" s="127" t="s">
        <v>496</v>
      </c>
      <c r="O1529" s="127" t="s">
        <v>457</v>
      </c>
      <c r="P1529" s="128">
        <v>-573.06000000000006</v>
      </c>
      <c r="Q1529" s="128">
        <v>0</v>
      </c>
      <c r="R1529" s="128">
        <v>0</v>
      </c>
      <c r="S1529" s="128">
        <v>0</v>
      </c>
      <c r="T1529" s="128">
        <v>-573.06000000000006</v>
      </c>
      <c r="U1529" s="128">
        <v>0</v>
      </c>
      <c r="V1529" s="128">
        <v>-573.06000000000006</v>
      </c>
      <c r="W1529" s="128">
        <v>0</v>
      </c>
      <c r="X1529" s="128">
        <v>0</v>
      </c>
      <c r="Y1529" s="128">
        <v>0</v>
      </c>
      <c r="Z1529" s="128">
        <v>-573.06000000000006</v>
      </c>
      <c r="AA1529" s="128">
        <v>0</v>
      </c>
      <c r="AB1529" s="126">
        <f t="shared" ref="AB1529:AB1592" si="166">SUM(-Z1529-AA1529)/10^7</f>
        <v>5.7306000000000003E-5</v>
      </c>
      <c r="AC1529" s="122" t="s">
        <v>1838</v>
      </c>
      <c r="AD1529" s="123">
        <f t="shared" si="162"/>
        <v>1983.9723217250009</v>
      </c>
    </row>
    <row r="1530" spans="1:30" ht="12.75" hidden="1" customHeight="1">
      <c r="A1530" s="125" t="str">
        <f t="shared" si="163"/>
        <v>LIC31Other Exp- Payable</v>
      </c>
      <c r="B1530" s="125">
        <f>+IFERROR(VLOOKUP(L1530,'TB mapping'!A:D,4,0),0)</f>
        <v>0</v>
      </c>
      <c r="C1530" s="125">
        <f>+IFERROR(VLOOKUP(L1530,'TB mapping'!A:C,3,0),0)</f>
        <v>0</v>
      </c>
      <c r="D1530" s="125" t="str">
        <f t="shared" si="164"/>
        <v>LIC310</v>
      </c>
      <c r="E1530" s="125" t="str">
        <f t="shared" si="165"/>
        <v>LIC310</v>
      </c>
      <c r="F1530" s="158" t="str">
        <f>+VLOOKUP(H1530,'code mapping'!A:C,3,0)</f>
        <v>LIC31</v>
      </c>
      <c r="G1530" s="127" t="s">
        <v>453</v>
      </c>
      <c r="H1530" s="127" t="s">
        <v>700</v>
      </c>
      <c r="I1530" s="127" t="s">
        <v>56</v>
      </c>
      <c r="J1530" s="128">
        <v>212000</v>
      </c>
      <c r="K1530" s="127" t="s">
        <v>487</v>
      </c>
      <c r="L1530" s="151">
        <v>212220</v>
      </c>
      <c r="M1530" s="128">
        <v>0</v>
      </c>
      <c r="N1530" s="127" t="s">
        <v>497</v>
      </c>
      <c r="O1530" s="127" t="s">
        <v>457</v>
      </c>
      <c r="P1530" s="128">
        <v>0</v>
      </c>
      <c r="Q1530" s="128">
        <v>824886.19</v>
      </c>
      <c r="R1530" s="128">
        <v>0</v>
      </c>
      <c r="S1530" s="128">
        <v>0</v>
      </c>
      <c r="T1530" s="128">
        <v>0</v>
      </c>
      <c r="U1530" s="128">
        <v>824886.19</v>
      </c>
      <c r="V1530" s="128">
        <v>0</v>
      </c>
      <c r="W1530" s="128">
        <v>824886.19</v>
      </c>
      <c r="X1530" s="128">
        <v>0</v>
      </c>
      <c r="Y1530" s="128">
        <v>0</v>
      </c>
      <c r="Z1530" s="128">
        <v>0</v>
      </c>
      <c r="AA1530" s="128">
        <v>824886.19</v>
      </c>
      <c r="AB1530" s="126">
        <f t="shared" si="166"/>
        <v>-8.2488618999999999E-2</v>
      </c>
      <c r="AC1530" s="122" t="s">
        <v>1838</v>
      </c>
      <c r="AD1530" s="123">
        <f t="shared" si="162"/>
        <v>1983.9723217250009</v>
      </c>
    </row>
    <row r="1531" spans="1:30" ht="12.75" hidden="1" customHeight="1">
      <c r="A1531" s="125" t="str">
        <f t="shared" si="163"/>
        <v>LIC31Expense Allocation-Liab'ity Ac</v>
      </c>
      <c r="B1531" s="125">
        <f>+IFERROR(VLOOKUP(L1531,'TB mapping'!A:D,4,0),0)</f>
        <v>0</v>
      </c>
      <c r="C1531" s="125">
        <f>+IFERROR(VLOOKUP(L1531,'TB mapping'!A:C,3,0),0)</f>
        <v>0</v>
      </c>
      <c r="D1531" s="125" t="str">
        <f t="shared" si="164"/>
        <v>LIC310</v>
      </c>
      <c r="E1531" s="125" t="str">
        <f t="shared" si="165"/>
        <v>LIC310</v>
      </c>
      <c r="F1531" s="158" t="str">
        <f>+VLOOKUP(H1531,'code mapping'!A:C,3,0)</f>
        <v>LIC31</v>
      </c>
      <c r="G1531" s="127" t="s">
        <v>453</v>
      </c>
      <c r="H1531" s="127" t="s">
        <v>700</v>
      </c>
      <c r="I1531" s="127" t="s">
        <v>56</v>
      </c>
      <c r="J1531" s="128">
        <v>212000</v>
      </c>
      <c r="K1531" s="127" t="s">
        <v>487</v>
      </c>
      <c r="L1531" s="151">
        <v>212223</v>
      </c>
      <c r="M1531" s="128">
        <v>0</v>
      </c>
      <c r="N1531" s="127" t="s">
        <v>498</v>
      </c>
      <c r="O1531" s="127" t="s">
        <v>457</v>
      </c>
      <c r="P1531" s="128">
        <v>-576251.17000000004</v>
      </c>
      <c r="Q1531" s="128">
        <v>0</v>
      </c>
      <c r="R1531" s="128">
        <v>0</v>
      </c>
      <c r="S1531" s="128">
        <v>0</v>
      </c>
      <c r="T1531" s="128">
        <v>-576251.17000000004</v>
      </c>
      <c r="U1531" s="128">
        <v>0</v>
      </c>
      <c r="V1531" s="128">
        <v>-576251.17000000004</v>
      </c>
      <c r="W1531" s="128">
        <v>0</v>
      </c>
      <c r="X1531" s="128">
        <v>0</v>
      </c>
      <c r="Y1531" s="128">
        <v>0</v>
      </c>
      <c r="Z1531" s="128">
        <v>-576251.17000000004</v>
      </c>
      <c r="AA1531" s="128">
        <v>0</v>
      </c>
      <c r="AB1531" s="126">
        <f t="shared" si="166"/>
        <v>5.7625117000000003E-2</v>
      </c>
      <c r="AC1531" s="122" t="s">
        <v>1838</v>
      </c>
      <c r="AD1531" s="123">
        <f t="shared" si="162"/>
        <v>1983.9723217250009</v>
      </c>
    </row>
    <row r="1532" spans="1:30" ht="12.75" hidden="1" customHeight="1">
      <c r="A1532" s="125" t="str">
        <f t="shared" si="163"/>
        <v>LIC31Exp- Additional TER Payable</v>
      </c>
      <c r="B1532" s="125">
        <f>+IFERROR(VLOOKUP(L1532,'TB mapping'!A:D,4,0),0)</f>
        <v>0</v>
      </c>
      <c r="C1532" s="125">
        <f>+IFERROR(VLOOKUP(L1532,'TB mapping'!A:C,3,0),0)</f>
        <v>0</v>
      </c>
      <c r="D1532" s="125" t="str">
        <f t="shared" si="164"/>
        <v>LIC310</v>
      </c>
      <c r="E1532" s="125" t="str">
        <f t="shared" si="165"/>
        <v>LIC310</v>
      </c>
      <c r="F1532" s="158" t="str">
        <f>+VLOOKUP(H1532,'code mapping'!A:C,3,0)</f>
        <v>LIC31</v>
      </c>
      <c r="G1532" s="127" t="s">
        <v>453</v>
      </c>
      <c r="H1532" s="127" t="s">
        <v>700</v>
      </c>
      <c r="I1532" s="127" t="s">
        <v>56</v>
      </c>
      <c r="J1532" s="128">
        <v>212000</v>
      </c>
      <c r="K1532" s="127" t="s">
        <v>487</v>
      </c>
      <c r="L1532" s="151">
        <v>212227</v>
      </c>
      <c r="M1532" s="128">
        <v>0</v>
      </c>
      <c r="N1532" s="127" t="s">
        <v>627</v>
      </c>
      <c r="O1532" s="127" t="s">
        <v>457</v>
      </c>
      <c r="P1532" s="128">
        <v>0</v>
      </c>
      <c r="Q1532" s="128">
        <v>920867.73</v>
      </c>
      <c r="R1532" s="128">
        <v>0</v>
      </c>
      <c r="S1532" s="128">
        <v>0</v>
      </c>
      <c r="T1532" s="128">
        <v>0</v>
      </c>
      <c r="U1532" s="128">
        <v>920867.73</v>
      </c>
      <c r="V1532" s="128">
        <v>0</v>
      </c>
      <c r="W1532" s="128">
        <v>920867.73</v>
      </c>
      <c r="X1532" s="128">
        <v>0</v>
      </c>
      <c r="Y1532" s="128">
        <v>0</v>
      </c>
      <c r="Z1532" s="128">
        <v>0</v>
      </c>
      <c r="AA1532" s="128">
        <v>920867.73</v>
      </c>
      <c r="AB1532" s="126">
        <f t="shared" si="166"/>
        <v>-9.2086772999999997E-2</v>
      </c>
      <c r="AC1532" s="122" t="s">
        <v>1838</v>
      </c>
      <c r="AD1532" s="123">
        <f t="shared" si="162"/>
        <v>1983.9723217250009</v>
      </c>
    </row>
    <row r="1533" spans="1:30" ht="12.75" hidden="1" customHeight="1">
      <c r="A1533" s="125" t="str">
        <f t="shared" si="163"/>
        <v>LIC31NRI TDS Payable</v>
      </c>
      <c r="B1533" s="125">
        <f>+IFERROR(VLOOKUP(L1533,'TB mapping'!A:D,4,0),0)</f>
        <v>0</v>
      </c>
      <c r="C1533" s="125">
        <f>+IFERROR(VLOOKUP(L1533,'TB mapping'!A:C,3,0),0)</f>
        <v>0</v>
      </c>
      <c r="D1533" s="125" t="str">
        <f t="shared" si="164"/>
        <v>LIC310</v>
      </c>
      <c r="E1533" s="125" t="str">
        <f t="shared" si="165"/>
        <v>LIC310</v>
      </c>
      <c r="F1533" s="158" t="str">
        <f>+VLOOKUP(H1533,'code mapping'!A:C,3,0)</f>
        <v>LIC31</v>
      </c>
      <c r="G1533" s="127" t="s">
        <v>453</v>
      </c>
      <c r="H1533" s="127" t="s">
        <v>700</v>
      </c>
      <c r="I1533" s="127" t="s">
        <v>56</v>
      </c>
      <c r="J1533" s="128">
        <v>212000</v>
      </c>
      <c r="K1533" s="127" t="s">
        <v>487</v>
      </c>
      <c r="L1533" s="151">
        <v>212233</v>
      </c>
      <c r="M1533" s="128">
        <v>0</v>
      </c>
      <c r="N1533" s="127" t="s">
        <v>499</v>
      </c>
      <c r="O1533" s="127" t="s">
        <v>457</v>
      </c>
      <c r="P1533" s="128">
        <v>0</v>
      </c>
      <c r="Q1533" s="128">
        <v>1388</v>
      </c>
      <c r="R1533" s="128">
        <v>0</v>
      </c>
      <c r="S1533" s="128">
        <v>0</v>
      </c>
      <c r="T1533" s="128">
        <v>0</v>
      </c>
      <c r="U1533" s="128">
        <v>1388</v>
      </c>
      <c r="V1533" s="128">
        <v>0</v>
      </c>
      <c r="W1533" s="128">
        <v>1388</v>
      </c>
      <c r="X1533" s="128">
        <v>0</v>
      </c>
      <c r="Y1533" s="128">
        <v>0</v>
      </c>
      <c r="Z1533" s="128">
        <v>0</v>
      </c>
      <c r="AA1533" s="128">
        <v>1388</v>
      </c>
      <c r="AB1533" s="126">
        <f t="shared" si="166"/>
        <v>-1.3880000000000001E-4</v>
      </c>
      <c r="AC1533" s="122" t="s">
        <v>1838</v>
      </c>
      <c r="AD1533" s="123">
        <f t="shared" si="162"/>
        <v>1983.9723217250009</v>
      </c>
    </row>
    <row r="1534" spans="1:30" ht="12.75" hidden="1" customHeight="1">
      <c r="A1534" s="125" t="str">
        <f t="shared" si="163"/>
        <v>LIC31Investor Education Payable</v>
      </c>
      <c r="B1534" s="125">
        <f>+IFERROR(VLOOKUP(L1534,'TB mapping'!A:D,4,0),0)</f>
        <v>0</v>
      </c>
      <c r="C1534" s="125">
        <f>+IFERROR(VLOOKUP(L1534,'TB mapping'!A:C,3,0),0)</f>
        <v>0</v>
      </c>
      <c r="D1534" s="125" t="str">
        <f t="shared" si="164"/>
        <v>LIC310</v>
      </c>
      <c r="E1534" s="125" t="str">
        <f t="shared" si="165"/>
        <v>LIC310</v>
      </c>
      <c r="F1534" s="158" t="str">
        <f>+VLOOKUP(H1534,'code mapping'!A:C,3,0)</f>
        <v>LIC31</v>
      </c>
      <c r="G1534" s="127" t="s">
        <v>453</v>
      </c>
      <c r="H1534" s="127" t="s">
        <v>700</v>
      </c>
      <c r="I1534" s="127" t="s">
        <v>56</v>
      </c>
      <c r="J1534" s="128">
        <v>212000</v>
      </c>
      <c r="K1534" s="127" t="s">
        <v>487</v>
      </c>
      <c r="L1534" s="151">
        <v>212240</v>
      </c>
      <c r="M1534" s="128">
        <v>0</v>
      </c>
      <c r="N1534" s="127" t="s">
        <v>500</v>
      </c>
      <c r="O1534" s="127" t="s">
        <v>457</v>
      </c>
      <c r="P1534" s="128">
        <v>0</v>
      </c>
      <c r="Q1534" s="128">
        <v>8931.69</v>
      </c>
      <c r="R1534" s="128">
        <v>0</v>
      </c>
      <c r="S1534" s="128">
        <v>0</v>
      </c>
      <c r="T1534" s="128">
        <v>0</v>
      </c>
      <c r="U1534" s="128">
        <v>8931.69</v>
      </c>
      <c r="V1534" s="128">
        <v>0</v>
      </c>
      <c r="W1534" s="128">
        <v>8931.69</v>
      </c>
      <c r="X1534" s="128">
        <v>0</v>
      </c>
      <c r="Y1534" s="128">
        <v>0</v>
      </c>
      <c r="Z1534" s="128">
        <v>0</v>
      </c>
      <c r="AA1534" s="128">
        <v>8931.69</v>
      </c>
      <c r="AB1534" s="126">
        <f t="shared" si="166"/>
        <v>-8.9316900000000008E-4</v>
      </c>
      <c r="AC1534" s="122" t="s">
        <v>1838</v>
      </c>
      <c r="AD1534" s="123">
        <f t="shared" si="162"/>
        <v>1983.9723217250009</v>
      </c>
    </row>
    <row r="1535" spans="1:30" ht="12.75" hidden="1" customHeight="1">
      <c r="A1535" s="125" t="str">
        <f t="shared" si="163"/>
        <v>LIC31Payable - Dividend Dist Tax</v>
      </c>
      <c r="B1535" s="125">
        <f>+IFERROR(VLOOKUP(L1535,'TB mapping'!A:D,4,0),0)</f>
        <v>0</v>
      </c>
      <c r="C1535" s="125">
        <f>+IFERROR(VLOOKUP(L1535,'TB mapping'!A:C,3,0),0)</f>
        <v>0</v>
      </c>
      <c r="D1535" s="125" t="str">
        <f t="shared" si="164"/>
        <v>LIC310</v>
      </c>
      <c r="E1535" s="125" t="str">
        <f t="shared" si="165"/>
        <v>LIC310</v>
      </c>
      <c r="F1535" s="158" t="str">
        <f>+VLOOKUP(H1535,'code mapping'!A:C,3,0)</f>
        <v>LIC31</v>
      </c>
      <c r="G1535" s="127" t="s">
        <v>453</v>
      </c>
      <c r="H1535" s="127" t="s">
        <v>700</v>
      </c>
      <c r="I1535" s="127" t="s">
        <v>56</v>
      </c>
      <c r="J1535" s="128">
        <v>212000</v>
      </c>
      <c r="K1535" s="127" t="s">
        <v>487</v>
      </c>
      <c r="L1535" s="151">
        <v>212242</v>
      </c>
      <c r="M1535" s="128">
        <v>0</v>
      </c>
      <c r="N1535" s="127" t="s">
        <v>650</v>
      </c>
      <c r="O1535" s="127" t="s">
        <v>457</v>
      </c>
      <c r="P1535" s="128">
        <v>0</v>
      </c>
      <c r="Q1535" s="128">
        <v>584581</v>
      </c>
      <c r="R1535" s="128">
        <v>0</v>
      </c>
      <c r="S1535" s="128">
        <v>0</v>
      </c>
      <c r="T1535" s="128">
        <v>0</v>
      </c>
      <c r="U1535" s="128">
        <v>584581</v>
      </c>
      <c r="V1535" s="128">
        <v>0</v>
      </c>
      <c r="W1535" s="128">
        <v>584581</v>
      </c>
      <c r="X1535" s="128">
        <v>0</v>
      </c>
      <c r="Y1535" s="128">
        <v>0</v>
      </c>
      <c r="Z1535" s="128">
        <v>0</v>
      </c>
      <c r="AA1535" s="128">
        <v>584581</v>
      </c>
      <c r="AB1535" s="126">
        <f t="shared" si="166"/>
        <v>-5.8458099999999999E-2</v>
      </c>
      <c r="AC1535" s="122" t="s">
        <v>1838</v>
      </c>
      <c r="AD1535" s="123">
        <f t="shared" si="162"/>
        <v>1983.9723217250009</v>
      </c>
    </row>
    <row r="1536" spans="1:30" ht="12.75" hidden="1" customHeight="1">
      <c r="A1536" s="125" t="str">
        <f t="shared" si="163"/>
        <v>LIC31Transaction Charges Payable</v>
      </c>
      <c r="B1536" s="125">
        <f>+IFERROR(VLOOKUP(L1536,'TB mapping'!A:D,4,0),0)</f>
        <v>0</v>
      </c>
      <c r="C1536" s="125">
        <f>+IFERROR(VLOOKUP(L1536,'TB mapping'!A:C,3,0),0)</f>
        <v>0</v>
      </c>
      <c r="D1536" s="125" t="str">
        <f t="shared" si="164"/>
        <v>LIC310</v>
      </c>
      <c r="E1536" s="125" t="str">
        <f t="shared" si="165"/>
        <v>LIC310</v>
      </c>
      <c r="F1536" s="158" t="str">
        <f>+VLOOKUP(H1536,'code mapping'!A:C,3,0)</f>
        <v>LIC31</v>
      </c>
      <c r="G1536" s="127" t="s">
        <v>453</v>
      </c>
      <c r="H1536" s="127" t="s">
        <v>700</v>
      </c>
      <c r="I1536" s="127" t="s">
        <v>56</v>
      </c>
      <c r="J1536" s="128">
        <v>212000</v>
      </c>
      <c r="K1536" s="127" t="s">
        <v>487</v>
      </c>
      <c r="L1536" s="151">
        <v>212247</v>
      </c>
      <c r="M1536" s="128">
        <v>0</v>
      </c>
      <c r="N1536" s="127" t="s">
        <v>501</v>
      </c>
      <c r="O1536" s="127" t="s">
        <v>457</v>
      </c>
      <c r="P1536" s="128">
        <v>0</v>
      </c>
      <c r="Q1536" s="128">
        <v>862.5</v>
      </c>
      <c r="R1536" s="128">
        <v>0</v>
      </c>
      <c r="S1536" s="128">
        <v>0</v>
      </c>
      <c r="T1536" s="128">
        <v>0</v>
      </c>
      <c r="U1536" s="128">
        <v>862.5</v>
      </c>
      <c r="V1536" s="128">
        <v>0</v>
      </c>
      <c r="W1536" s="128">
        <v>862.5</v>
      </c>
      <c r="X1536" s="128">
        <v>0</v>
      </c>
      <c r="Y1536" s="128">
        <v>0</v>
      </c>
      <c r="Z1536" s="128">
        <v>0</v>
      </c>
      <c r="AA1536" s="128">
        <v>862.5</v>
      </c>
      <c r="AB1536" s="126">
        <f t="shared" si="166"/>
        <v>-8.6249999999999996E-5</v>
      </c>
      <c r="AC1536" s="122" t="s">
        <v>1838</v>
      </c>
      <c r="AD1536" s="123">
        <f t="shared" si="162"/>
        <v>1983.9723217250009</v>
      </c>
    </row>
    <row r="1537" spans="1:30" ht="12.75" hidden="1" customHeight="1">
      <c r="A1537" s="125" t="str">
        <f t="shared" si="163"/>
        <v>LIC31Brokerage &amp; Dist Exp Payable</v>
      </c>
      <c r="B1537" s="125">
        <f>+IFERROR(VLOOKUP(L1537,'TB mapping'!A:D,4,0),0)</f>
        <v>0</v>
      </c>
      <c r="C1537" s="125">
        <f>+IFERROR(VLOOKUP(L1537,'TB mapping'!A:C,3,0),0)</f>
        <v>0</v>
      </c>
      <c r="D1537" s="125" t="str">
        <f t="shared" si="164"/>
        <v>LIC310</v>
      </c>
      <c r="E1537" s="125" t="str">
        <f t="shared" si="165"/>
        <v>LIC310</v>
      </c>
      <c r="F1537" s="158" t="str">
        <f>+VLOOKUP(H1537,'code mapping'!A:C,3,0)</f>
        <v>LIC31</v>
      </c>
      <c r="G1537" s="127" t="s">
        <v>453</v>
      </c>
      <c r="H1537" s="127" t="s">
        <v>700</v>
      </c>
      <c r="I1537" s="127" t="s">
        <v>56</v>
      </c>
      <c r="J1537" s="128">
        <v>212000</v>
      </c>
      <c r="K1537" s="127" t="s">
        <v>487</v>
      </c>
      <c r="L1537" s="151">
        <v>212255</v>
      </c>
      <c r="M1537" s="128">
        <v>0</v>
      </c>
      <c r="N1537" s="127" t="s">
        <v>503</v>
      </c>
      <c r="O1537" s="127" t="s">
        <v>457</v>
      </c>
      <c r="P1537" s="128">
        <v>0</v>
      </c>
      <c r="Q1537" s="128">
        <v>796050.14</v>
      </c>
      <c r="R1537" s="128">
        <v>0</v>
      </c>
      <c r="S1537" s="128">
        <v>0</v>
      </c>
      <c r="T1537" s="128">
        <v>0</v>
      </c>
      <c r="U1537" s="128">
        <v>796050.14</v>
      </c>
      <c r="V1537" s="128">
        <v>0</v>
      </c>
      <c r="W1537" s="128">
        <v>796050.14</v>
      </c>
      <c r="X1537" s="128">
        <v>0</v>
      </c>
      <c r="Y1537" s="128">
        <v>0</v>
      </c>
      <c r="Z1537" s="128">
        <v>0</v>
      </c>
      <c r="AA1537" s="128">
        <v>796050.14</v>
      </c>
      <c r="AB1537" s="126">
        <f t="shared" si="166"/>
        <v>-7.9605014000000002E-2</v>
      </c>
      <c r="AC1537" s="122" t="s">
        <v>1838</v>
      </c>
      <c r="AD1537" s="123">
        <f t="shared" si="162"/>
        <v>1983.9723217250009</v>
      </c>
    </row>
    <row r="1538" spans="1:30" ht="12.75" hidden="1" customHeight="1">
      <c r="A1538" s="125" t="str">
        <f t="shared" si="163"/>
        <v>LIC31Upfront Brk &amp; Trail Paid-Liab</v>
      </c>
      <c r="B1538" s="125">
        <f>+IFERROR(VLOOKUP(L1538,'TB mapping'!A:D,4,0),0)</f>
        <v>0</v>
      </c>
      <c r="C1538" s="125">
        <f>+IFERROR(VLOOKUP(L1538,'TB mapping'!A:C,3,0),0)</f>
        <v>0</v>
      </c>
      <c r="D1538" s="125" t="str">
        <f t="shared" si="164"/>
        <v>LIC310</v>
      </c>
      <c r="E1538" s="125" t="str">
        <f t="shared" si="165"/>
        <v>LIC310</v>
      </c>
      <c r="F1538" s="158" t="str">
        <f>+VLOOKUP(H1538,'code mapping'!A:C,3,0)</f>
        <v>LIC31</v>
      </c>
      <c r="G1538" s="127" t="s">
        <v>453</v>
      </c>
      <c r="H1538" s="127" t="s">
        <v>700</v>
      </c>
      <c r="I1538" s="127" t="s">
        <v>56</v>
      </c>
      <c r="J1538" s="128">
        <v>212000</v>
      </c>
      <c r="K1538" s="127" t="s">
        <v>487</v>
      </c>
      <c r="L1538" s="151">
        <v>212257</v>
      </c>
      <c r="M1538" s="128">
        <v>0</v>
      </c>
      <c r="N1538" s="127" t="s">
        <v>504</v>
      </c>
      <c r="O1538" s="127" t="s">
        <v>457</v>
      </c>
      <c r="P1538" s="128">
        <v>0</v>
      </c>
      <c r="Q1538" s="128">
        <v>4519.95</v>
      </c>
      <c r="R1538" s="128">
        <v>0</v>
      </c>
      <c r="S1538" s="128">
        <v>0</v>
      </c>
      <c r="T1538" s="128">
        <v>0</v>
      </c>
      <c r="U1538" s="128">
        <v>4519.95</v>
      </c>
      <c r="V1538" s="128">
        <v>0</v>
      </c>
      <c r="W1538" s="128">
        <v>4519.95</v>
      </c>
      <c r="X1538" s="128">
        <v>0</v>
      </c>
      <c r="Y1538" s="128">
        <v>0</v>
      </c>
      <c r="Z1538" s="128">
        <v>0</v>
      </c>
      <c r="AA1538" s="128">
        <v>4519.95</v>
      </c>
      <c r="AB1538" s="126">
        <f t="shared" si="166"/>
        <v>-4.5199499999999996E-4</v>
      </c>
      <c r="AC1538" s="122" t="s">
        <v>1838</v>
      </c>
      <c r="AD1538" s="123">
        <f t="shared" si="162"/>
        <v>1983.9723217250009</v>
      </c>
    </row>
    <row r="1539" spans="1:30" ht="12.75" hidden="1" customHeight="1">
      <c r="A1539" s="125" t="str">
        <f t="shared" si="163"/>
        <v>LIC31Payable CGST on Mfees</v>
      </c>
      <c r="B1539" s="125">
        <f>+IFERROR(VLOOKUP(L1539,'TB mapping'!A:D,4,0),0)</f>
        <v>0</v>
      </c>
      <c r="C1539" s="125">
        <f>+IFERROR(VLOOKUP(L1539,'TB mapping'!A:C,3,0),0)</f>
        <v>0</v>
      </c>
      <c r="D1539" s="125" t="str">
        <f t="shared" si="164"/>
        <v>LIC310</v>
      </c>
      <c r="E1539" s="125" t="str">
        <f t="shared" si="165"/>
        <v>LIC310</v>
      </c>
      <c r="F1539" s="158" t="str">
        <f>+VLOOKUP(H1539,'code mapping'!A:C,3,0)</f>
        <v>LIC31</v>
      </c>
      <c r="G1539" s="127" t="s">
        <v>453</v>
      </c>
      <c r="H1539" s="127" t="s">
        <v>700</v>
      </c>
      <c r="I1539" s="127" t="s">
        <v>56</v>
      </c>
      <c r="J1539" s="128">
        <v>212000</v>
      </c>
      <c r="K1539" s="127" t="s">
        <v>487</v>
      </c>
      <c r="L1539" s="151">
        <v>212271</v>
      </c>
      <c r="M1539" s="128">
        <v>0</v>
      </c>
      <c r="N1539" s="127" t="s">
        <v>505</v>
      </c>
      <c r="O1539" s="127" t="s">
        <v>457</v>
      </c>
      <c r="P1539" s="128">
        <v>0</v>
      </c>
      <c r="Q1539" s="128">
        <v>22582.62</v>
      </c>
      <c r="R1539" s="128">
        <v>0</v>
      </c>
      <c r="S1539" s="128">
        <v>0</v>
      </c>
      <c r="T1539" s="128">
        <v>0</v>
      </c>
      <c r="U1539" s="128">
        <v>22582.62</v>
      </c>
      <c r="V1539" s="128">
        <v>0</v>
      </c>
      <c r="W1539" s="128">
        <v>22582.62</v>
      </c>
      <c r="X1539" s="128">
        <v>0</v>
      </c>
      <c r="Y1539" s="128">
        <v>0</v>
      </c>
      <c r="Z1539" s="128">
        <v>0</v>
      </c>
      <c r="AA1539" s="128">
        <v>22582.62</v>
      </c>
      <c r="AB1539" s="126">
        <f t="shared" si="166"/>
        <v>-2.258262E-3</v>
      </c>
      <c r="AC1539" s="122" t="s">
        <v>1838</v>
      </c>
      <c r="AD1539" s="123">
        <f t="shared" si="162"/>
        <v>1983.9723217250009</v>
      </c>
    </row>
    <row r="1540" spans="1:30" ht="12.75" hidden="1" customHeight="1">
      <c r="A1540" s="125" t="str">
        <f t="shared" si="163"/>
        <v>LIC31Payable SGST on Mfees</v>
      </c>
      <c r="B1540" s="125">
        <f>+IFERROR(VLOOKUP(L1540,'TB mapping'!A:D,4,0),0)</f>
        <v>0</v>
      </c>
      <c r="C1540" s="125">
        <f>+IFERROR(VLOOKUP(L1540,'TB mapping'!A:C,3,0),0)</f>
        <v>0</v>
      </c>
      <c r="D1540" s="125" t="str">
        <f t="shared" si="164"/>
        <v>LIC310</v>
      </c>
      <c r="E1540" s="125" t="str">
        <f t="shared" si="165"/>
        <v>LIC310</v>
      </c>
      <c r="F1540" s="158" t="str">
        <f>+VLOOKUP(H1540,'code mapping'!A:C,3,0)</f>
        <v>LIC31</v>
      </c>
      <c r="G1540" s="127" t="s">
        <v>453</v>
      </c>
      <c r="H1540" s="127" t="s">
        <v>700</v>
      </c>
      <c r="I1540" s="127" t="s">
        <v>56</v>
      </c>
      <c r="J1540" s="128">
        <v>212000</v>
      </c>
      <c r="K1540" s="127" t="s">
        <v>487</v>
      </c>
      <c r="L1540" s="151">
        <v>212272</v>
      </c>
      <c r="M1540" s="128">
        <v>0</v>
      </c>
      <c r="N1540" s="127" t="s">
        <v>506</v>
      </c>
      <c r="O1540" s="127" t="s">
        <v>457</v>
      </c>
      <c r="P1540" s="128">
        <v>0</v>
      </c>
      <c r="Q1540" s="128">
        <v>22582.62</v>
      </c>
      <c r="R1540" s="128">
        <v>0</v>
      </c>
      <c r="S1540" s="128">
        <v>0</v>
      </c>
      <c r="T1540" s="128">
        <v>0</v>
      </c>
      <c r="U1540" s="128">
        <v>22582.62</v>
      </c>
      <c r="V1540" s="128">
        <v>0</v>
      </c>
      <c r="W1540" s="128">
        <v>22582.62</v>
      </c>
      <c r="X1540" s="128">
        <v>0</v>
      </c>
      <c r="Y1540" s="128">
        <v>0</v>
      </c>
      <c r="Z1540" s="128">
        <v>0</v>
      </c>
      <c r="AA1540" s="128">
        <v>22582.62</v>
      </c>
      <c r="AB1540" s="126">
        <f t="shared" si="166"/>
        <v>-2.258262E-3</v>
      </c>
      <c r="AC1540" s="122" t="s">
        <v>1838</v>
      </c>
      <c r="AD1540" s="123">
        <f t="shared" si="162"/>
        <v>1983.9723217250009</v>
      </c>
    </row>
    <row r="1541" spans="1:30" ht="12.75" hidden="1" customHeight="1">
      <c r="A1541" s="125" t="str">
        <f t="shared" si="163"/>
        <v>LIC31Payable -Inv Educ Fund-AMFI</v>
      </c>
      <c r="B1541" s="125">
        <f>+IFERROR(VLOOKUP(L1541,'TB mapping'!A:D,4,0),0)</f>
        <v>0</v>
      </c>
      <c r="C1541" s="125">
        <f>+IFERROR(VLOOKUP(L1541,'TB mapping'!A:C,3,0),0)</f>
        <v>0</v>
      </c>
      <c r="D1541" s="125" t="str">
        <f t="shared" si="164"/>
        <v>LIC310</v>
      </c>
      <c r="E1541" s="125" t="str">
        <f t="shared" si="165"/>
        <v>LIC310</v>
      </c>
      <c r="F1541" s="158" t="str">
        <f>+VLOOKUP(H1541,'code mapping'!A:C,3,0)</f>
        <v>LIC31</v>
      </c>
      <c r="G1541" s="127" t="s">
        <v>453</v>
      </c>
      <c r="H1541" s="127" t="s">
        <v>700</v>
      </c>
      <c r="I1541" s="127" t="s">
        <v>56</v>
      </c>
      <c r="J1541" s="128">
        <v>212000</v>
      </c>
      <c r="K1541" s="127" t="s">
        <v>487</v>
      </c>
      <c r="L1541" s="151">
        <v>213166</v>
      </c>
      <c r="M1541" s="128">
        <v>0</v>
      </c>
      <c r="N1541" s="127" t="s">
        <v>507</v>
      </c>
      <c r="O1541" s="127" t="s">
        <v>457</v>
      </c>
      <c r="P1541" s="128">
        <v>0</v>
      </c>
      <c r="Q1541" s="128">
        <v>8931.69</v>
      </c>
      <c r="R1541" s="128">
        <v>0</v>
      </c>
      <c r="S1541" s="128">
        <v>0</v>
      </c>
      <c r="T1541" s="128">
        <v>0</v>
      </c>
      <c r="U1541" s="128">
        <v>8931.69</v>
      </c>
      <c r="V1541" s="128">
        <v>0</v>
      </c>
      <c r="W1541" s="128">
        <v>8931.69</v>
      </c>
      <c r="X1541" s="128">
        <v>0</v>
      </c>
      <c r="Y1541" s="128">
        <v>0</v>
      </c>
      <c r="Z1541" s="128">
        <v>0</v>
      </c>
      <c r="AA1541" s="128">
        <v>8931.69</v>
      </c>
      <c r="AB1541" s="126">
        <f t="shared" si="166"/>
        <v>-8.9316900000000008E-4</v>
      </c>
      <c r="AC1541" s="122" t="s">
        <v>1838</v>
      </c>
      <c r="AD1541" s="123">
        <f t="shared" si="162"/>
        <v>1983.9723217250009</v>
      </c>
    </row>
    <row r="1542" spans="1:30" ht="12.75" hidden="1" customHeight="1">
      <c r="A1542" s="125" t="str">
        <f t="shared" si="163"/>
        <v>LIC31Management Fee Payable</v>
      </c>
      <c r="B1542" s="125">
        <f>+IFERROR(VLOOKUP(L1542,'TB mapping'!A:D,4,0),0)</f>
        <v>0</v>
      </c>
      <c r="C1542" s="125">
        <f>+IFERROR(VLOOKUP(L1542,'TB mapping'!A:C,3,0),0)</f>
        <v>0</v>
      </c>
      <c r="D1542" s="125" t="str">
        <f t="shared" si="164"/>
        <v>LIC310</v>
      </c>
      <c r="E1542" s="125" t="str">
        <f t="shared" si="165"/>
        <v>LIC310</v>
      </c>
      <c r="F1542" s="158" t="str">
        <f>+VLOOKUP(H1542,'code mapping'!A:C,3,0)</f>
        <v>LIC31</v>
      </c>
      <c r="G1542" s="127" t="s">
        <v>453</v>
      </c>
      <c r="H1542" s="127" t="s">
        <v>700</v>
      </c>
      <c r="I1542" s="127" t="s">
        <v>56</v>
      </c>
      <c r="J1542" s="128">
        <v>213000</v>
      </c>
      <c r="K1542" s="127" t="s">
        <v>508</v>
      </c>
      <c r="L1542" s="151">
        <v>213500</v>
      </c>
      <c r="M1542" s="128">
        <v>0</v>
      </c>
      <c r="N1542" s="127" t="s">
        <v>509</v>
      </c>
      <c r="O1542" s="127" t="s">
        <v>457</v>
      </c>
      <c r="P1542" s="128">
        <v>0</v>
      </c>
      <c r="Q1542" s="128">
        <v>250885.8</v>
      </c>
      <c r="R1542" s="128">
        <v>0</v>
      </c>
      <c r="S1542" s="128">
        <v>0</v>
      </c>
      <c r="T1542" s="128">
        <v>0</v>
      </c>
      <c r="U1542" s="128">
        <v>250885.8</v>
      </c>
      <c r="V1542" s="128">
        <v>0</v>
      </c>
      <c r="W1542" s="128">
        <v>250885.8</v>
      </c>
      <c r="X1542" s="128">
        <v>0</v>
      </c>
      <c r="Y1542" s="128">
        <v>0</v>
      </c>
      <c r="Z1542" s="128">
        <v>0</v>
      </c>
      <c r="AA1542" s="128">
        <v>250885.8</v>
      </c>
      <c r="AB1542" s="126">
        <f t="shared" si="166"/>
        <v>-2.5088579999999999E-2</v>
      </c>
      <c r="AC1542" s="122" t="s">
        <v>1838</v>
      </c>
      <c r="AD1542" s="123">
        <f t="shared" si="162"/>
        <v>1983.9723217250009</v>
      </c>
    </row>
    <row r="1543" spans="1:30" ht="12.75" hidden="1" customHeight="1">
      <c r="A1543" s="125" t="str">
        <f t="shared" si="163"/>
        <v>LIC31Other Adjustment A/c.</v>
      </c>
      <c r="B1543" s="125">
        <f>+IFERROR(VLOOKUP(L1543,'TB mapping'!A:D,4,0),0)</f>
        <v>0</v>
      </c>
      <c r="C1543" s="125">
        <f>+IFERROR(VLOOKUP(L1543,'TB mapping'!A:C,3,0),0)</f>
        <v>0</v>
      </c>
      <c r="D1543" s="125" t="str">
        <f t="shared" si="164"/>
        <v>LIC310</v>
      </c>
      <c r="E1543" s="125" t="str">
        <f t="shared" si="165"/>
        <v>LIC310</v>
      </c>
      <c r="F1543" s="158" t="str">
        <f>+VLOOKUP(H1543,'code mapping'!A:C,3,0)</f>
        <v>LIC31</v>
      </c>
      <c r="G1543" s="127" t="s">
        <v>453</v>
      </c>
      <c r="H1543" s="127" t="s">
        <v>700</v>
      </c>
      <c r="I1543" s="127" t="s">
        <v>56</v>
      </c>
      <c r="J1543" s="128">
        <v>220000</v>
      </c>
      <c r="K1543" s="127" t="s">
        <v>510</v>
      </c>
      <c r="L1543" s="151">
        <v>190000</v>
      </c>
      <c r="M1543" s="128">
        <v>0</v>
      </c>
      <c r="N1543" s="127" t="s">
        <v>511</v>
      </c>
      <c r="O1543" s="127" t="s">
        <v>457</v>
      </c>
      <c r="P1543" s="128">
        <v>-1.28</v>
      </c>
      <c r="Q1543" s="128">
        <v>0</v>
      </c>
      <c r="R1543" s="128">
        <v>0</v>
      </c>
      <c r="S1543" s="128">
        <v>0</v>
      </c>
      <c r="T1543" s="128">
        <v>-1.28</v>
      </c>
      <c r="U1543" s="128">
        <v>0</v>
      </c>
      <c r="V1543" s="128">
        <v>-1.28</v>
      </c>
      <c r="W1543" s="128">
        <v>0</v>
      </c>
      <c r="X1543" s="128">
        <v>0</v>
      </c>
      <c r="Y1543" s="128">
        <v>0</v>
      </c>
      <c r="Z1543" s="128">
        <v>-1.28</v>
      </c>
      <c r="AA1543" s="128">
        <v>0</v>
      </c>
      <c r="AB1543" s="126">
        <f t="shared" si="166"/>
        <v>1.2800000000000001E-7</v>
      </c>
      <c r="AC1543" s="122" t="s">
        <v>1838</v>
      </c>
      <c r="AD1543" s="123">
        <f t="shared" si="162"/>
        <v>1983.9723217250009</v>
      </c>
    </row>
    <row r="1544" spans="1:30" ht="12.75" hidden="1" customHeight="1">
      <c r="A1544" s="125" t="str">
        <f t="shared" si="163"/>
        <v>LIC31Prov For Withholding Brokerage</v>
      </c>
      <c r="B1544" s="125">
        <f>+IFERROR(VLOOKUP(L1544,'TB mapping'!A:D,4,0),0)</f>
        <v>0</v>
      </c>
      <c r="C1544" s="125">
        <f>+IFERROR(VLOOKUP(L1544,'TB mapping'!A:C,3,0),0)</f>
        <v>0</v>
      </c>
      <c r="D1544" s="125" t="str">
        <f t="shared" si="164"/>
        <v>LIC310</v>
      </c>
      <c r="E1544" s="125" t="str">
        <f t="shared" si="165"/>
        <v>LIC310</v>
      </c>
      <c r="F1544" s="158" t="str">
        <f>+VLOOKUP(H1544,'code mapping'!A:C,3,0)</f>
        <v>LIC31</v>
      </c>
      <c r="G1544" s="127" t="s">
        <v>453</v>
      </c>
      <c r="H1544" s="127" t="s">
        <v>700</v>
      </c>
      <c r="I1544" s="127" t="s">
        <v>56</v>
      </c>
      <c r="J1544" s="128">
        <v>220000</v>
      </c>
      <c r="K1544" s="127" t="s">
        <v>510</v>
      </c>
      <c r="L1544" s="151">
        <v>210162</v>
      </c>
      <c r="M1544" s="128">
        <v>0</v>
      </c>
      <c r="N1544" s="127" t="s">
        <v>512</v>
      </c>
      <c r="O1544" s="127" t="s">
        <v>457</v>
      </c>
      <c r="P1544" s="128">
        <v>0</v>
      </c>
      <c r="Q1544" s="128">
        <v>328454.27</v>
      </c>
      <c r="R1544" s="128">
        <v>0</v>
      </c>
      <c r="S1544" s="128">
        <v>0</v>
      </c>
      <c r="T1544" s="128">
        <v>0</v>
      </c>
      <c r="U1544" s="128">
        <v>328454.27</v>
      </c>
      <c r="V1544" s="128">
        <v>0</v>
      </c>
      <c r="W1544" s="128">
        <v>328454.27</v>
      </c>
      <c r="X1544" s="128">
        <v>0</v>
      </c>
      <c r="Y1544" s="128">
        <v>0</v>
      </c>
      <c r="Z1544" s="128">
        <v>0</v>
      </c>
      <c r="AA1544" s="128">
        <v>328454.27</v>
      </c>
      <c r="AB1544" s="126">
        <f t="shared" si="166"/>
        <v>-3.2845427000000003E-2</v>
      </c>
      <c r="AC1544" s="122" t="s">
        <v>1838</v>
      </c>
      <c r="AD1544" s="123">
        <f t="shared" si="162"/>
        <v>1983.9723217250009</v>
      </c>
    </row>
    <row r="1545" spans="1:30" ht="12.75" hidden="1" customHeight="1">
      <c r="A1545" s="125" t="str">
        <f t="shared" si="163"/>
        <v>LIC31Prov  Withholding Brok 2016-17</v>
      </c>
      <c r="B1545" s="125">
        <f>+IFERROR(VLOOKUP(L1545,'TB mapping'!A:D,4,0),0)</f>
        <v>0</v>
      </c>
      <c r="C1545" s="125">
        <f>+IFERROR(VLOOKUP(L1545,'TB mapping'!A:C,3,0),0)</f>
        <v>0</v>
      </c>
      <c r="D1545" s="125" t="str">
        <f t="shared" si="164"/>
        <v>LIC310</v>
      </c>
      <c r="E1545" s="125" t="str">
        <f t="shared" si="165"/>
        <v>LIC310</v>
      </c>
      <c r="F1545" s="158" t="str">
        <f>+VLOOKUP(H1545,'code mapping'!A:C,3,0)</f>
        <v>LIC31</v>
      </c>
      <c r="G1545" s="127" t="s">
        <v>453</v>
      </c>
      <c r="H1545" s="127" t="s">
        <v>700</v>
      </c>
      <c r="I1545" s="127" t="s">
        <v>56</v>
      </c>
      <c r="J1545" s="128">
        <v>220000</v>
      </c>
      <c r="K1545" s="127" t="s">
        <v>510</v>
      </c>
      <c r="L1545" s="151">
        <v>210163</v>
      </c>
      <c r="M1545" s="128">
        <v>0</v>
      </c>
      <c r="N1545" s="127" t="s">
        <v>513</v>
      </c>
      <c r="O1545" s="127" t="s">
        <v>457</v>
      </c>
      <c r="P1545" s="128">
        <v>0</v>
      </c>
      <c r="Q1545" s="128">
        <v>349532.06</v>
      </c>
      <c r="R1545" s="128">
        <v>0</v>
      </c>
      <c r="S1545" s="128">
        <v>0</v>
      </c>
      <c r="T1545" s="128">
        <v>0</v>
      </c>
      <c r="U1545" s="128">
        <v>349532.06</v>
      </c>
      <c r="V1545" s="128">
        <v>0</v>
      </c>
      <c r="W1545" s="128">
        <v>349532.06</v>
      </c>
      <c r="X1545" s="128">
        <v>0</v>
      </c>
      <c r="Y1545" s="128">
        <v>0</v>
      </c>
      <c r="Z1545" s="128">
        <v>0</v>
      </c>
      <c r="AA1545" s="128">
        <v>349532.06</v>
      </c>
      <c r="AB1545" s="126">
        <f t="shared" si="166"/>
        <v>-3.4953206000000001E-2</v>
      </c>
      <c r="AC1545" s="122" t="s">
        <v>1838</v>
      </c>
      <c r="AD1545" s="123">
        <f t="shared" si="162"/>
        <v>1983.9723217250009</v>
      </c>
    </row>
    <row r="1546" spans="1:30" ht="12.75" hidden="1" customHeight="1">
      <c r="A1546" s="125" t="str">
        <f t="shared" si="163"/>
        <v>LIC31Unit Capital</v>
      </c>
      <c r="B1546" s="125">
        <f>+IFERROR(VLOOKUP(L1546,'TB mapping'!A:D,4,0),0)</f>
        <v>0</v>
      </c>
      <c r="C1546" s="125">
        <f>+IFERROR(VLOOKUP(L1546,'TB mapping'!A:C,3,0),0)</f>
        <v>0</v>
      </c>
      <c r="D1546" s="125" t="str">
        <f t="shared" si="164"/>
        <v>LIC310</v>
      </c>
      <c r="E1546" s="125" t="str">
        <f t="shared" si="165"/>
        <v>LIC310</v>
      </c>
      <c r="F1546" s="158" t="str">
        <f>+VLOOKUP(H1546,'code mapping'!A:C,3,0)</f>
        <v>LIC31</v>
      </c>
      <c r="G1546" s="127" t="s">
        <v>453</v>
      </c>
      <c r="H1546" s="127" t="s">
        <v>700</v>
      </c>
      <c r="I1546" s="127" t="s">
        <v>56</v>
      </c>
      <c r="J1546" s="128">
        <v>301000</v>
      </c>
      <c r="K1546" s="127" t="s">
        <v>514</v>
      </c>
      <c r="L1546" s="151">
        <v>310000</v>
      </c>
      <c r="M1546" s="128">
        <v>0</v>
      </c>
      <c r="N1546" s="127" t="s">
        <v>515</v>
      </c>
      <c r="O1546" s="127" t="s">
        <v>457</v>
      </c>
      <c r="P1546" s="128">
        <v>0</v>
      </c>
      <c r="Q1546" s="128">
        <v>286201894.94</v>
      </c>
      <c r="R1546" s="128">
        <v>0</v>
      </c>
      <c r="S1546" s="128">
        <v>0</v>
      </c>
      <c r="T1546" s="128">
        <v>0</v>
      </c>
      <c r="U1546" s="128">
        <v>286201894.94</v>
      </c>
      <c r="V1546" s="128">
        <v>0</v>
      </c>
      <c r="W1546" s="128">
        <v>286201894.94</v>
      </c>
      <c r="X1546" s="128">
        <v>0</v>
      </c>
      <c r="Y1546" s="128">
        <v>0</v>
      </c>
      <c r="Z1546" s="128">
        <v>0</v>
      </c>
      <c r="AA1546" s="128">
        <v>286201894.94</v>
      </c>
      <c r="AB1546" s="126">
        <f t="shared" si="166"/>
        <v>-28.620189493999998</v>
      </c>
      <c r="AC1546" s="122" t="s">
        <v>1838</v>
      </c>
      <c r="AD1546" s="123">
        <f t="shared" si="162"/>
        <v>1983.9723217250009</v>
      </c>
    </row>
    <row r="1547" spans="1:30" ht="12.75" hidden="1" customHeight="1">
      <c r="A1547" s="125" t="str">
        <f t="shared" si="163"/>
        <v>LIC31Unit Premium Reserve- RG</v>
      </c>
      <c r="B1547" s="125">
        <f>+IFERROR(VLOOKUP(L1547,'TB mapping'!A:D,4,0),0)</f>
        <v>0</v>
      </c>
      <c r="C1547" s="125">
        <f>+IFERROR(VLOOKUP(L1547,'TB mapping'!A:C,3,0),0)</f>
        <v>0</v>
      </c>
      <c r="D1547" s="125" t="str">
        <f t="shared" si="164"/>
        <v>LIC310</v>
      </c>
      <c r="E1547" s="125" t="str">
        <f t="shared" si="165"/>
        <v>LIC310</v>
      </c>
      <c r="F1547" s="158" t="str">
        <f>+VLOOKUP(H1547,'code mapping'!A:C,3,0)</f>
        <v>LIC31</v>
      </c>
      <c r="G1547" s="127" t="s">
        <v>453</v>
      </c>
      <c r="H1547" s="127" t="s">
        <v>700</v>
      </c>
      <c r="I1547" s="127" t="s">
        <v>56</v>
      </c>
      <c r="J1547" s="128">
        <v>303000</v>
      </c>
      <c r="K1547" s="127" t="s">
        <v>516</v>
      </c>
      <c r="L1547" s="151">
        <v>303201</v>
      </c>
      <c r="M1547" s="128">
        <v>0</v>
      </c>
      <c r="N1547" s="127" t="s">
        <v>517</v>
      </c>
      <c r="O1547" s="127" t="s">
        <v>457</v>
      </c>
      <c r="P1547" s="128">
        <v>-68623867.920000002</v>
      </c>
      <c r="Q1547" s="128">
        <v>0</v>
      </c>
      <c r="R1547" s="128">
        <v>0</v>
      </c>
      <c r="S1547" s="128">
        <v>0</v>
      </c>
      <c r="T1547" s="128">
        <v>-68623867.920000002</v>
      </c>
      <c r="U1547" s="128">
        <v>0</v>
      </c>
      <c r="V1547" s="128">
        <v>-68623867.920000002</v>
      </c>
      <c r="W1547" s="128">
        <v>0</v>
      </c>
      <c r="X1547" s="128">
        <v>0</v>
      </c>
      <c r="Y1547" s="128">
        <v>0</v>
      </c>
      <c r="Z1547" s="128">
        <v>-68623867.920000002</v>
      </c>
      <c r="AA1547" s="128">
        <v>0</v>
      </c>
      <c r="AB1547" s="126">
        <f t="shared" si="166"/>
        <v>6.8623867920000006</v>
      </c>
      <c r="AC1547" s="122" t="s">
        <v>1838</v>
      </c>
      <c r="AD1547" s="123">
        <f t="shared" ref="AD1547:AD1555" si="167">SUMIF(C:C,C1547,AB:AB)</f>
        <v>1983.9723217250009</v>
      </c>
    </row>
    <row r="1548" spans="1:30" ht="12.75" hidden="1" customHeight="1">
      <c r="A1548" s="125" t="str">
        <f t="shared" si="163"/>
        <v>LIC31Unit Premium Reserve-RMD</v>
      </c>
      <c r="B1548" s="125">
        <f>+IFERROR(VLOOKUP(L1548,'TB mapping'!A:D,4,0),0)</f>
        <v>0</v>
      </c>
      <c r="C1548" s="125">
        <f>+IFERROR(VLOOKUP(L1548,'TB mapping'!A:C,3,0),0)</f>
        <v>0</v>
      </c>
      <c r="D1548" s="125" t="str">
        <f t="shared" si="164"/>
        <v>LIC310</v>
      </c>
      <c r="E1548" s="125" t="str">
        <f t="shared" si="165"/>
        <v>LIC310</v>
      </c>
      <c r="F1548" s="158" t="str">
        <f>+VLOOKUP(H1548,'code mapping'!A:C,3,0)</f>
        <v>LIC31</v>
      </c>
      <c r="G1548" s="127" t="s">
        <v>453</v>
      </c>
      <c r="H1548" s="127" t="s">
        <v>700</v>
      </c>
      <c r="I1548" s="127" t="s">
        <v>56</v>
      </c>
      <c r="J1548" s="128">
        <v>303000</v>
      </c>
      <c r="K1548" s="127" t="s">
        <v>516</v>
      </c>
      <c r="L1548" s="151">
        <v>303229</v>
      </c>
      <c r="M1548" s="128">
        <v>0</v>
      </c>
      <c r="N1548" s="127" t="s">
        <v>653</v>
      </c>
      <c r="O1548" s="127" t="s">
        <v>457</v>
      </c>
      <c r="P1548" s="128">
        <v>-1334182.2</v>
      </c>
      <c r="Q1548" s="128">
        <v>0</v>
      </c>
      <c r="R1548" s="128">
        <v>0</v>
      </c>
      <c r="S1548" s="128">
        <v>0</v>
      </c>
      <c r="T1548" s="128">
        <v>-1334182.2</v>
      </c>
      <c r="U1548" s="128">
        <v>0</v>
      </c>
      <c r="V1548" s="128">
        <v>-1334182.2</v>
      </c>
      <c r="W1548" s="128">
        <v>0</v>
      </c>
      <c r="X1548" s="128">
        <v>0</v>
      </c>
      <c r="Y1548" s="128">
        <v>0</v>
      </c>
      <c r="Z1548" s="128">
        <v>-1334182.2</v>
      </c>
      <c r="AA1548" s="128">
        <v>0</v>
      </c>
      <c r="AB1548" s="126">
        <f t="shared" si="166"/>
        <v>0.13341822</v>
      </c>
      <c r="AC1548" s="122" t="s">
        <v>1838</v>
      </c>
      <c r="AD1548" s="123">
        <f t="shared" si="167"/>
        <v>1983.9723217250009</v>
      </c>
    </row>
    <row r="1549" spans="1:30" ht="12.75" hidden="1" customHeight="1">
      <c r="A1549" s="125" t="str">
        <f t="shared" si="163"/>
        <v>LIC31Unit Premium Reserve-RQD</v>
      </c>
      <c r="B1549" s="125">
        <f>+IFERROR(VLOOKUP(L1549,'TB mapping'!A:D,4,0),0)</f>
        <v>0</v>
      </c>
      <c r="C1549" s="125">
        <f>+IFERROR(VLOOKUP(L1549,'TB mapping'!A:C,3,0),0)</f>
        <v>0</v>
      </c>
      <c r="D1549" s="125" t="str">
        <f t="shared" si="164"/>
        <v>LIC310</v>
      </c>
      <c r="E1549" s="125" t="str">
        <f t="shared" si="165"/>
        <v>LIC310</v>
      </c>
      <c r="F1549" s="158" t="str">
        <f>+VLOOKUP(H1549,'code mapping'!A:C,3,0)</f>
        <v>LIC31</v>
      </c>
      <c r="G1549" s="127" t="s">
        <v>453</v>
      </c>
      <c r="H1549" s="127" t="s">
        <v>700</v>
      </c>
      <c r="I1549" s="127" t="s">
        <v>56</v>
      </c>
      <c r="J1549" s="128">
        <v>303000</v>
      </c>
      <c r="K1549" s="127" t="s">
        <v>516</v>
      </c>
      <c r="L1549" s="151">
        <v>303230</v>
      </c>
      <c r="M1549" s="128">
        <v>0</v>
      </c>
      <c r="N1549" s="127" t="s">
        <v>701</v>
      </c>
      <c r="O1549" s="127" t="s">
        <v>457</v>
      </c>
      <c r="P1549" s="128">
        <v>-1054134.42</v>
      </c>
      <c r="Q1549" s="128">
        <v>0</v>
      </c>
      <c r="R1549" s="128">
        <v>0</v>
      </c>
      <c r="S1549" s="128">
        <v>0</v>
      </c>
      <c r="T1549" s="128">
        <v>-1054134.42</v>
      </c>
      <c r="U1549" s="128">
        <v>0</v>
      </c>
      <c r="V1549" s="128">
        <v>-1054134.42</v>
      </c>
      <c r="W1549" s="128">
        <v>0</v>
      </c>
      <c r="X1549" s="128">
        <v>0</v>
      </c>
      <c r="Y1549" s="128">
        <v>0</v>
      </c>
      <c r="Z1549" s="128">
        <v>-1054134.42</v>
      </c>
      <c r="AA1549" s="128">
        <v>0</v>
      </c>
      <c r="AB1549" s="126">
        <f t="shared" si="166"/>
        <v>0.105413442</v>
      </c>
      <c r="AC1549" s="122" t="s">
        <v>1838</v>
      </c>
      <c r="AD1549" s="123">
        <f t="shared" si="167"/>
        <v>1983.9723217250009</v>
      </c>
    </row>
    <row r="1550" spans="1:30" ht="12.75" hidden="1" customHeight="1">
      <c r="A1550" s="125" t="str">
        <f t="shared" si="163"/>
        <v>LIC31Unit Premium Reserve-GDP</v>
      </c>
      <c r="B1550" s="125">
        <f>+IFERROR(VLOOKUP(L1550,'TB mapping'!A:D,4,0),0)</f>
        <v>0</v>
      </c>
      <c r="C1550" s="125">
        <f>+IFERROR(VLOOKUP(L1550,'TB mapping'!A:C,3,0),0)</f>
        <v>0</v>
      </c>
      <c r="D1550" s="125" t="str">
        <f t="shared" si="164"/>
        <v>LIC310</v>
      </c>
      <c r="E1550" s="125" t="str">
        <f t="shared" si="165"/>
        <v>LIC310</v>
      </c>
      <c r="F1550" s="158" t="str">
        <f>+VLOOKUP(H1550,'code mapping'!A:C,3,0)</f>
        <v>LIC31</v>
      </c>
      <c r="G1550" s="127" t="s">
        <v>453</v>
      </c>
      <c r="H1550" s="127" t="s">
        <v>700</v>
      </c>
      <c r="I1550" s="127" t="s">
        <v>56</v>
      </c>
      <c r="J1550" s="128">
        <v>303000</v>
      </c>
      <c r="K1550" s="127" t="s">
        <v>516</v>
      </c>
      <c r="L1550" s="151">
        <v>303245</v>
      </c>
      <c r="M1550" s="128">
        <v>0</v>
      </c>
      <c r="N1550" s="127" t="s">
        <v>519</v>
      </c>
      <c r="O1550" s="127" t="s">
        <v>457</v>
      </c>
      <c r="P1550" s="128">
        <v>0</v>
      </c>
      <c r="Q1550" s="128">
        <v>2243741.12</v>
      </c>
      <c r="R1550" s="128">
        <v>0</v>
      </c>
      <c r="S1550" s="128">
        <v>0</v>
      </c>
      <c r="T1550" s="128">
        <v>0</v>
      </c>
      <c r="U1550" s="128">
        <v>2243741.12</v>
      </c>
      <c r="V1550" s="128">
        <v>0</v>
      </c>
      <c r="W1550" s="128">
        <v>2243741.12</v>
      </c>
      <c r="X1550" s="128">
        <v>0</v>
      </c>
      <c r="Y1550" s="128">
        <v>0</v>
      </c>
      <c r="Z1550" s="128">
        <v>0</v>
      </c>
      <c r="AA1550" s="128">
        <v>2243741.12</v>
      </c>
      <c r="AB1550" s="126">
        <f t="shared" si="166"/>
        <v>-0.22437411200000001</v>
      </c>
      <c r="AC1550" s="122" t="s">
        <v>1838</v>
      </c>
      <c r="AD1550" s="123">
        <f t="shared" si="167"/>
        <v>1983.9723217250009</v>
      </c>
    </row>
    <row r="1551" spans="1:30" ht="12.75" hidden="1" customHeight="1">
      <c r="A1551" s="125" t="str">
        <f t="shared" si="163"/>
        <v>LIC31Unit Premium Reserve-MDP</v>
      </c>
      <c r="B1551" s="125">
        <f>+IFERROR(VLOOKUP(L1551,'TB mapping'!A:D,4,0),0)</f>
        <v>0</v>
      </c>
      <c r="C1551" s="125">
        <f>+IFERROR(VLOOKUP(L1551,'TB mapping'!A:C,3,0),0)</f>
        <v>0</v>
      </c>
      <c r="D1551" s="125" t="str">
        <f t="shared" si="164"/>
        <v>LIC310</v>
      </c>
      <c r="E1551" s="125" t="str">
        <f t="shared" si="165"/>
        <v>LIC310</v>
      </c>
      <c r="F1551" s="158" t="str">
        <f>+VLOOKUP(H1551,'code mapping'!A:C,3,0)</f>
        <v>LIC31</v>
      </c>
      <c r="G1551" s="127" t="s">
        <v>453</v>
      </c>
      <c r="H1551" s="127" t="s">
        <v>700</v>
      </c>
      <c r="I1551" s="127" t="s">
        <v>56</v>
      </c>
      <c r="J1551" s="128">
        <v>303000</v>
      </c>
      <c r="K1551" s="127" t="s">
        <v>516</v>
      </c>
      <c r="L1551" s="151">
        <v>303248</v>
      </c>
      <c r="M1551" s="128">
        <v>0</v>
      </c>
      <c r="N1551" s="127" t="s">
        <v>654</v>
      </c>
      <c r="O1551" s="127" t="s">
        <v>457</v>
      </c>
      <c r="P1551" s="128">
        <v>0</v>
      </c>
      <c r="Q1551" s="128">
        <v>45069.27</v>
      </c>
      <c r="R1551" s="128">
        <v>0</v>
      </c>
      <c r="S1551" s="128">
        <v>0</v>
      </c>
      <c r="T1551" s="128">
        <v>0</v>
      </c>
      <c r="U1551" s="128">
        <v>45069.27</v>
      </c>
      <c r="V1551" s="128">
        <v>0</v>
      </c>
      <c r="W1551" s="128">
        <v>45069.27</v>
      </c>
      <c r="X1551" s="128">
        <v>0</v>
      </c>
      <c r="Y1551" s="128">
        <v>0</v>
      </c>
      <c r="Z1551" s="128">
        <v>0</v>
      </c>
      <c r="AA1551" s="128">
        <v>45069.27</v>
      </c>
      <c r="AB1551" s="126">
        <f t="shared" si="166"/>
        <v>-4.506927E-3</v>
      </c>
      <c r="AC1551" s="122" t="s">
        <v>1838</v>
      </c>
      <c r="AD1551" s="123">
        <f t="shared" si="167"/>
        <v>1983.9723217250009</v>
      </c>
    </row>
    <row r="1552" spans="1:30" ht="12.75" hidden="1" customHeight="1">
      <c r="A1552" s="125" t="str">
        <f t="shared" si="163"/>
        <v>LIC31Unit Premium Reserve-QDP</v>
      </c>
      <c r="B1552" s="125">
        <f>+IFERROR(VLOOKUP(L1552,'TB mapping'!A:D,4,0),0)</f>
        <v>0</v>
      </c>
      <c r="C1552" s="125">
        <f>+IFERROR(VLOOKUP(L1552,'TB mapping'!A:C,3,0),0)</f>
        <v>0</v>
      </c>
      <c r="D1552" s="125" t="str">
        <f t="shared" si="164"/>
        <v>LIC310</v>
      </c>
      <c r="E1552" s="125" t="str">
        <f t="shared" si="165"/>
        <v>LIC310</v>
      </c>
      <c r="F1552" s="158" t="str">
        <f>+VLOOKUP(H1552,'code mapping'!A:C,3,0)</f>
        <v>LIC31</v>
      </c>
      <c r="G1552" s="127" t="s">
        <v>453</v>
      </c>
      <c r="H1552" s="127" t="s">
        <v>700</v>
      </c>
      <c r="I1552" s="127" t="s">
        <v>56</v>
      </c>
      <c r="J1552" s="128">
        <v>303000</v>
      </c>
      <c r="K1552" s="127" t="s">
        <v>516</v>
      </c>
      <c r="L1552" s="151">
        <v>303249</v>
      </c>
      <c r="M1552" s="128">
        <v>0</v>
      </c>
      <c r="N1552" s="127" t="s">
        <v>702</v>
      </c>
      <c r="O1552" s="127" t="s">
        <v>457</v>
      </c>
      <c r="P1552" s="128">
        <v>0</v>
      </c>
      <c r="Q1552" s="128">
        <v>25.16</v>
      </c>
      <c r="R1552" s="128">
        <v>0</v>
      </c>
      <c r="S1552" s="128">
        <v>0</v>
      </c>
      <c r="T1552" s="128">
        <v>0</v>
      </c>
      <c r="U1552" s="128">
        <v>25.16</v>
      </c>
      <c r="V1552" s="128">
        <v>0</v>
      </c>
      <c r="W1552" s="128">
        <v>25.16</v>
      </c>
      <c r="X1552" s="128">
        <v>0</v>
      </c>
      <c r="Y1552" s="128">
        <v>0</v>
      </c>
      <c r="Z1552" s="128">
        <v>0</v>
      </c>
      <c r="AA1552" s="128">
        <v>25.16</v>
      </c>
      <c r="AB1552" s="126">
        <f t="shared" si="166"/>
        <v>-2.5160000000000001E-6</v>
      </c>
      <c r="AC1552" s="122" t="s">
        <v>1838</v>
      </c>
      <c r="AD1552" s="123">
        <f t="shared" si="167"/>
        <v>1983.9723217250009</v>
      </c>
    </row>
    <row r="1553" spans="1:30" ht="12.75" hidden="1" customHeight="1">
      <c r="A1553" s="125" t="str">
        <f t="shared" si="163"/>
        <v>LIC31Unit Premium Reserve-YDP</v>
      </c>
      <c r="B1553" s="125">
        <f>+IFERROR(VLOOKUP(L1553,'TB mapping'!A:D,4,0),0)</f>
        <v>0</v>
      </c>
      <c r="C1553" s="125">
        <f>+IFERROR(VLOOKUP(L1553,'TB mapping'!A:C,3,0),0)</f>
        <v>0</v>
      </c>
      <c r="D1553" s="125" t="str">
        <f t="shared" si="164"/>
        <v>LIC310</v>
      </c>
      <c r="E1553" s="125" t="str">
        <f t="shared" si="165"/>
        <v>LIC310</v>
      </c>
      <c r="F1553" s="158" t="str">
        <f>+VLOOKUP(H1553,'code mapping'!A:C,3,0)</f>
        <v>LIC31</v>
      </c>
      <c r="G1553" s="127" t="s">
        <v>453</v>
      </c>
      <c r="H1553" s="127" t="s">
        <v>700</v>
      </c>
      <c r="I1553" s="127" t="s">
        <v>56</v>
      </c>
      <c r="J1553" s="128">
        <v>303000</v>
      </c>
      <c r="K1553" s="127" t="s">
        <v>516</v>
      </c>
      <c r="L1553" s="151">
        <v>303251</v>
      </c>
      <c r="M1553" s="128">
        <v>0</v>
      </c>
      <c r="N1553" s="127" t="s">
        <v>703</v>
      </c>
      <c r="O1553" s="127" t="s">
        <v>457</v>
      </c>
      <c r="P1553" s="128">
        <v>0</v>
      </c>
      <c r="Q1553" s="128">
        <v>32296.51</v>
      </c>
      <c r="R1553" s="128">
        <v>0</v>
      </c>
      <c r="S1553" s="128">
        <v>0</v>
      </c>
      <c r="T1553" s="128">
        <v>0</v>
      </c>
      <c r="U1553" s="128">
        <v>32296.51</v>
      </c>
      <c r="V1553" s="128">
        <v>0</v>
      </c>
      <c r="W1553" s="128">
        <v>32296.51</v>
      </c>
      <c r="X1553" s="128">
        <v>0</v>
      </c>
      <c r="Y1553" s="128">
        <v>0</v>
      </c>
      <c r="Z1553" s="128">
        <v>0</v>
      </c>
      <c r="AA1553" s="128">
        <v>32296.51</v>
      </c>
      <c r="AB1553" s="126">
        <f t="shared" si="166"/>
        <v>-3.229651E-3</v>
      </c>
      <c r="AC1553" s="122" t="s">
        <v>1838</v>
      </c>
      <c r="AD1553" s="123">
        <f t="shared" si="167"/>
        <v>1983.9723217250009</v>
      </c>
    </row>
    <row r="1554" spans="1:30" ht="12.75" hidden="1" customHeight="1">
      <c r="A1554" s="125" t="str">
        <f t="shared" si="163"/>
        <v>LIC31Unit Premium Reserve-RAD</v>
      </c>
      <c r="B1554" s="125">
        <f>+IFERROR(VLOOKUP(L1554,'TB mapping'!A:D,4,0),0)</f>
        <v>0</v>
      </c>
      <c r="C1554" s="125">
        <f>+IFERROR(VLOOKUP(L1554,'TB mapping'!A:C,3,0),0)</f>
        <v>0</v>
      </c>
      <c r="D1554" s="125" t="str">
        <f t="shared" si="164"/>
        <v>LIC310</v>
      </c>
      <c r="E1554" s="125" t="str">
        <f t="shared" si="165"/>
        <v>LIC310</v>
      </c>
      <c r="F1554" s="158" t="str">
        <f>+VLOOKUP(H1554,'code mapping'!A:C,3,0)</f>
        <v>LIC31</v>
      </c>
      <c r="G1554" s="127" t="s">
        <v>453</v>
      </c>
      <c r="H1554" s="127" t="s">
        <v>700</v>
      </c>
      <c r="I1554" s="127" t="s">
        <v>56</v>
      </c>
      <c r="J1554" s="128">
        <v>303000</v>
      </c>
      <c r="K1554" s="127" t="s">
        <v>516</v>
      </c>
      <c r="L1554" s="151">
        <v>303284</v>
      </c>
      <c r="M1554" s="128">
        <v>0</v>
      </c>
      <c r="N1554" s="127" t="s">
        <v>704</v>
      </c>
      <c r="O1554" s="127" t="s">
        <v>457</v>
      </c>
      <c r="P1554" s="128">
        <v>-1665622.36</v>
      </c>
      <c r="Q1554" s="128">
        <v>0</v>
      </c>
      <c r="R1554" s="128">
        <v>0</v>
      </c>
      <c r="S1554" s="128">
        <v>0</v>
      </c>
      <c r="T1554" s="128">
        <v>-1665622.36</v>
      </c>
      <c r="U1554" s="128">
        <v>0</v>
      </c>
      <c r="V1554" s="128">
        <v>-1665622.36</v>
      </c>
      <c r="W1554" s="128">
        <v>0</v>
      </c>
      <c r="X1554" s="128">
        <v>0</v>
      </c>
      <c r="Y1554" s="128">
        <v>0</v>
      </c>
      <c r="Z1554" s="128">
        <v>-1665622.36</v>
      </c>
      <c r="AA1554" s="128">
        <v>0</v>
      </c>
      <c r="AB1554" s="126">
        <f t="shared" si="166"/>
        <v>0.166562236</v>
      </c>
      <c r="AC1554" s="122" t="s">
        <v>1838</v>
      </c>
      <c r="AD1554" s="123">
        <f t="shared" si="167"/>
        <v>1983.9723217250009</v>
      </c>
    </row>
    <row r="1555" spans="1:30" ht="12.75" hidden="1" customHeight="1">
      <c r="A1555" s="125" t="str">
        <f t="shared" si="163"/>
        <v>LIC31Net Earnings</v>
      </c>
      <c r="B1555" s="125">
        <f>+IFERROR(VLOOKUP(L1555,'TB mapping'!A:D,4,0),0)</f>
        <v>0</v>
      </c>
      <c r="C1555" s="125">
        <f>+IFERROR(VLOOKUP(L1555,'TB mapping'!A:C,3,0),0)</f>
        <v>0</v>
      </c>
      <c r="D1555" s="125" t="str">
        <f t="shared" si="164"/>
        <v>LIC310</v>
      </c>
      <c r="E1555" s="125" t="str">
        <f t="shared" si="165"/>
        <v>LIC310</v>
      </c>
      <c r="F1555" s="158" t="str">
        <f>+VLOOKUP(H1555,'code mapping'!A:C,3,0)</f>
        <v>LIC31</v>
      </c>
      <c r="G1555" s="127" t="s">
        <v>453</v>
      </c>
      <c r="H1555" s="127" t="s">
        <v>700</v>
      </c>
      <c r="I1555" s="127" t="s">
        <v>56</v>
      </c>
      <c r="J1555" s="128">
        <v>303000</v>
      </c>
      <c r="K1555" s="127" t="s">
        <v>516</v>
      </c>
      <c r="L1555" s="151">
        <v>390000</v>
      </c>
      <c r="M1555" s="128">
        <v>0</v>
      </c>
      <c r="N1555" s="127" t="s">
        <v>521</v>
      </c>
      <c r="O1555" s="127" t="s">
        <v>457</v>
      </c>
      <c r="P1555" s="128">
        <v>0</v>
      </c>
      <c r="Q1555" s="128">
        <v>778256105.08000004</v>
      </c>
      <c r="R1555" s="128">
        <v>0</v>
      </c>
      <c r="S1555" s="128">
        <v>0</v>
      </c>
      <c r="T1555" s="128">
        <v>0</v>
      </c>
      <c r="U1555" s="128">
        <v>778256105.08000004</v>
      </c>
      <c r="V1555" s="128">
        <v>0</v>
      </c>
      <c r="W1555" s="128">
        <v>778256105.08000004</v>
      </c>
      <c r="X1555" s="128">
        <v>0</v>
      </c>
      <c r="Y1555" s="128">
        <v>0</v>
      </c>
      <c r="Z1555" s="128">
        <v>0</v>
      </c>
      <c r="AA1555" s="128">
        <v>778256105.08000004</v>
      </c>
      <c r="AB1555" s="126">
        <f t="shared" si="166"/>
        <v>-77.825610508000011</v>
      </c>
      <c r="AC1555" s="122" t="s">
        <v>1838</v>
      </c>
      <c r="AD1555" s="123">
        <f t="shared" si="167"/>
        <v>1983.9723217250009</v>
      </c>
    </row>
    <row r="1556" spans="1:30" ht="12.75" hidden="1" customHeight="1">
      <c r="A1556" s="125" t="str">
        <f t="shared" si="163"/>
        <v>LIC31R/L G/P - Equities</v>
      </c>
      <c r="B1556" s="125">
        <f>+IFERROR(VLOOKUP(L1556,'TB mapping'!A:D,4,0),0)</f>
        <v>0</v>
      </c>
      <c r="C1556" s="125">
        <f>+IFERROR(VLOOKUP(L1556,'TB mapping'!A:C,3,0),0)</f>
        <v>5.3</v>
      </c>
      <c r="D1556" s="125" t="str">
        <f t="shared" si="164"/>
        <v>LIC310</v>
      </c>
      <c r="E1556" s="125" t="str">
        <f t="shared" si="165"/>
        <v>LIC315.3</v>
      </c>
      <c r="F1556" s="158" t="str">
        <f>+VLOOKUP(H1556,'code mapping'!A:C,3,0)</f>
        <v>LIC31</v>
      </c>
      <c r="G1556" s="127" t="s">
        <v>453</v>
      </c>
      <c r="H1556" s="127" t="s">
        <v>700</v>
      </c>
      <c r="I1556" s="127" t="s">
        <v>56</v>
      </c>
      <c r="J1556" s="128">
        <v>410000</v>
      </c>
      <c r="K1556" s="127" t="s">
        <v>522</v>
      </c>
      <c r="L1556" s="151">
        <v>411100</v>
      </c>
      <c r="M1556" s="128">
        <v>0</v>
      </c>
      <c r="N1556" s="127" t="s">
        <v>596</v>
      </c>
      <c r="O1556" s="127" t="s">
        <v>457</v>
      </c>
      <c r="P1556" s="128">
        <v>0</v>
      </c>
      <c r="Q1556" s="128">
        <v>42823445.280000001</v>
      </c>
      <c r="R1556" s="128">
        <v>0</v>
      </c>
      <c r="S1556" s="128">
        <v>0</v>
      </c>
      <c r="T1556" s="128">
        <v>0</v>
      </c>
      <c r="U1556" s="128">
        <v>42823445.280000001</v>
      </c>
      <c r="V1556" s="128">
        <v>0</v>
      </c>
      <c r="W1556" s="128">
        <v>42823445.280000001</v>
      </c>
      <c r="X1556" s="128">
        <v>0</v>
      </c>
      <c r="Y1556" s="128">
        <v>0</v>
      </c>
      <c r="Z1556" s="128">
        <v>0</v>
      </c>
      <c r="AA1556" s="128">
        <v>42823445.280000001</v>
      </c>
      <c r="AB1556" s="126">
        <f t="shared" si="166"/>
        <v>-4.2823445280000003</v>
      </c>
      <c r="AC1556" s="122" t="s">
        <v>1838</v>
      </c>
      <c r="AD1556" s="123">
        <f>SUMIF(E:E,E1556,AB:AB)</f>
        <v>-3.5141121210000015</v>
      </c>
    </row>
    <row r="1557" spans="1:30" ht="12.75" hidden="1" customHeight="1">
      <c r="A1557" s="125" t="str">
        <f t="shared" si="163"/>
        <v>LIC31R/L G/P - Rights</v>
      </c>
      <c r="B1557" s="125">
        <f>+IFERROR(VLOOKUP(L1557,'TB mapping'!A:D,4,0),0)</f>
        <v>0</v>
      </c>
      <c r="C1557" s="125">
        <f>+IFERROR(VLOOKUP(L1557,'TB mapping'!A:C,3,0),0)</f>
        <v>5.3</v>
      </c>
      <c r="D1557" s="125" t="str">
        <f t="shared" si="164"/>
        <v>LIC310</v>
      </c>
      <c r="E1557" s="125" t="str">
        <f t="shared" si="165"/>
        <v>LIC315.3</v>
      </c>
      <c r="F1557" s="158" t="str">
        <f>+VLOOKUP(H1557,'code mapping'!A:C,3,0)</f>
        <v>LIC31</v>
      </c>
      <c r="G1557" s="127" t="s">
        <v>453</v>
      </c>
      <c r="H1557" s="127" t="s">
        <v>700</v>
      </c>
      <c r="I1557" s="127" t="s">
        <v>56</v>
      </c>
      <c r="J1557" s="128">
        <v>410000</v>
      </c>
      <c r="K1557" s="127" t="s">
        <v>522</v>
      </c>
      <c r="L1557" s="151">
        <v>411120</v>
      </c>
      <c r="M1557" s="128">
        <v>0</v>
      </c>
      <c r="N1557" s="127" t="s">
        <v>705</v>
      </c>
      <c r="O1557" s="127" t="s">
        <v>457</v>
      </c>
      <c r="P1557" s="128">
        <v>0</v>
      </c>
      <c r="Q1557" s="128">
        <v>16598.400000000001</v>
      </c>
      <c r="R1557" s="128">
        <v>0</v>
      </c>
      <c r="S1557" s="128">
        <v>0</v>
      </c>
      <c r="T1557" s="128">
        <v>0</v>
      </c>
      <c r="U1557" s="128">
        <v>16598.400000000001</v>
      </c>
      <c r="V1557" s="128">
        <v>0</v>
      </c>
      <c r="W1557" s="128">
        <v>16598.400000000001</v>
      </c>
      <c r="X1557" s="128">
        <v>0</v>
      </c>
      <c r="Y1557" s="128">
        <v>0</v>
      </c>
      <c r="Z1557" s="128">
        <v>0</v>
      </c>
      <c r="AA1557" s="128">
        <v>16598.400000000001</v>
      </c>
      <c r="AB1557" s="126">
        <f t="shared" si="166"/>
        <v>-1.6598400000000001E-3</v>
      </c>
      <c r="AC1557" s="122" t="s">
        <v>1838</v>
      </c>
      <c r="AD1557" s="123">
        <f>SUMIF(E:E,E1557,AB:AB)</f>
        <v>-3.5141121210000015</v>
      </c>
    </row>
    <row r="1558" spans="1:30" ht="12.75" hidden="1" customHeight="1">
      <c r="A1558" s="125" t="str">
        <f t="shared" si="163"/>
        <v>LIC31R/L G/P - Government Bonds</v>
      </c>
      <c r="B1558" s="125">
        <f>+IFERROR(VLOOKUP(L1558,'TB mapping'!A:D,4,0),0)</f>
        <v>0</v>
      </c>
      <c r="C1558" s="125">
        <f>+IFERROR(VLOOKUP(L1558,'TB mapping'!A:C,3,0),0)</f>
        <v>5.3</v>
      </c>
      <c r="D1558" s="125" t="str">
        <f t="shared" si="164"/>
        <v>LIC310</v>
      </c>
      <c r="E1558" s="125" t="str">
        <f t="shared" si="165"/>
        <v>LIC315.3</v>
      </c>
      <c r="F1558" s="158" t="str">
        <f>+VLOOKUP(H1558,'code mapping'!A:C,3,0)</f>
        <v>LIC31</v>
      </c>
      <c r="G1558" s="127" t="s">
        <v>453</v>
      </c>
      <c r="H1558" s="127" t="s">
        <v>700</v>
      </c>
      <c r="I1558" s="127" t="s">
        <v>56</v>
      </c>
      <c r="J1558" s="128">
        <v>410000</v>
      </c>
      <c r="K1558" s="127" t="s">
        <v>522</v>
      </c>
      <c r="L1558" s="151">
        <v>412130</v>
      </c>
      <c r="M1558" s="128">
        <v>0</v>
      </c>
      <c r="N1558" s="127" t="s">
        <v>524</v>
      </c>
      <c r="O1558" s="127" t="s">
        <v>457</v>
      </c>
      <c r="P1558" s="128">
        <v>0</v>
      </c>
      <c r="Q1558" s="128">
        <v>2040729.14</v>
      </c>
      <c r="R1558" s="128">
        <v>0</v>
      </c>
      <c r="S1558" s="128">
        <v>0</v>
      </c>
      <c r="T1558" s="128">
        <v>0</v>
      </c>
      <c r="U1558" s="128">
        <v>2040729.14</v>
      </c>
      <c r="V1558" s="128">
        <v>0</v>
      </c>
      <c r="W1558" s="128">
        <v>2040729.14</v>
      </c>
      <c r="X1558" s="128">
        <v>0</v>
      </c>
      <c r="Y1558" s="128">
        <v>0</v>
      </c>
      <c r="Z1558" s="128">
        <v>0</v>
      </c>
      <c r="AA1558" s="128">
        <v>2040729.14</v>
      </c>
      <c r="AB1558" s="126">
        <f t="shared" si="166"/>
        <v>-0.20407291399999999</v>
      </c>
      <c r="AC1558" s="122" t="s">
        <v>1838</v>
      </c>
      <c r="AD1558" s="123">
        <f>SUMIF(E:E,E1558,AB:AB)</f>
        <v>-3.5141121210000015</v>
      </c>
    </row>
    <row r="1559" spans="1:30" ht="12.75" hidden="1" customHeight="1">
      <c r="A1559" s="125" t="str">
        <f t="shared" si="163"/>
        <v>LIC31Profit on Sale-Mutual Fd Units</v>
      </c>
      <c r="B1559" s="125">
        <f>+IFERROR(VLOOKUP(L1559,'TB mapping'!A:D,4,0),0)</f>
        <v>0</v>
      </c>
      <c r="C1559" s="125">
        <f>+IFERROR(VLOOKUP(L1559,'TB mapping'!A:C,3,0),0)</f>
        <v>5.3</v>
      </c>
      <c r="D1559" s="125" t="str">
        <f t="shared" si="164"/>
        <v>LIC310</v>
      </c>
      <c r="E1559" s="125" t="str">
        <f t="shared" si="165"/>
        <v>LIC315.3</v>
      </c>
      <c r="F1559" s="158" t="str">
        <f>+VLOOKUP(H1559,'code mapping'!A:C,3,0)</f>
        <v>LIC31</v>
      </c>
      <c r="G1559" s="127" t="s">
        <v>453</v>
      </c>
      <c r="H1559" s="127" t="s">
        <v>700</v>
      </c>
      <c r="I1559" s="127" t="s">
        <v>56</v>
      </c>
      <c r="J1559" s="128">
        <v>410000</v>
      </c>
      <c r="K1559" s="127" t="s">
        <v>522</v>
      </c>
      <c r="L1559" s="151">
        <v>415102</v>
      </c>
      <c r="M1559" s="128">
        <v>0</v>
      </c>
      <c r="N1559" s="127" t="s">
        <v>526</v>
      </c>
      <c r="O1559" s="127" t="s">
        <v>457</v>
      </c>
      <c r="P1559" s="128">
        <v>0</v>
      </c>
      <c r="Q1559" s="128">
        <v>412583.91</v>
      </c>
      <c r="R1559" s="128">
        <v>0</v>
      </c>
      <c r="S1559" s="128">
        <v>0</v>
      </c>
      <c r="T1559" s="128">
        <v>0</v>
      </c>
      <c r="U1559" s="128">
        <v>412583.91</v>
      </c>
      <c r="V1559" s="128">
        <v>0</v>
      </c>
      <c r="W1559" s="128">
        <v>412583.91</v>
      </c>
      <c r="X1559" s="128">
        <v>0</v>
      </c>
      <c r="Y1559" s="128">
        <v>0</v>
      </c>
      <c r="Z1559" s="128">
        <v>0</v>
      </c>
      <c r="AA1559" s="128">
        <v>412583.91</v>
      </c>
      <c r="AB1559" s="126">
        <f t="shared" si="166"/>
        <v>-4.1258390999999998E-2</v>
      </c>
      <c r="AC1559" s="122" t="s">
        <v>1838</v>
      </c>
      <c r="AD1559" s="123">
        <f>SUMIF(E:E,E1559,AB:AB)</f>
        <v>-3.5141121210000015</v>
      </c>
    </row>
    <row r="1560" spans="1:30" ht="12.75" hidden="1" customHeight="1">
      <c r="A1560" s="125" t="str">
        <f t="shared" si="163"/>
        <v>LIC31R/L Gain - Inter Sch Govt Bond</v>
      </c>
      <c r="B1560" s="125">
        <f>+IFERROR(VLOOKUP(L1560,'TB mapping'!A:D,4,0),0)</f>
        <v>0</v>
      </c>
      <c r="C1560" s="125">
        <f>+IFERROR(VLOOKUP(L1560,'TB mapping'!A:C,3,0),0)</f>
        <v>5.4</v>
      </c>
      <c r="D1560" s="125" t="str">
        <f t="shared" si="164"/>
        <v>LIC310</v>
      </c>
      <c r="E1560" s="125" t="str">
        <f t="shared" si="165"/>
        <v>LIC315.4</v>
      </c>
      <c r="F1560" s="158" t="str">
        <f>+VLOOKUP(H1560,'code mapping'!A:C,3,0)</f>
        <v>LIC31</v>
      </c>
      <c r="G1560" s="127" t="s">
        <v>453</v>
      </c>
      <c r="H1560" s="127" t="s">
        <v>700</v>
      </c>
      <c r="I1560" s="127" t="s">
        <v>56</v>
      </c>
      <c r="J1560" s="128">
        <v>410000</v>
      </c>
      <c r="K1560" s="127" t="s">
        <v>522</v>
      </c>
      <c r="L1560" s="151">
        <v>427304</v>
      </c>
      <c r="M1560" s="128">
        <v>0</v>
      </c>
      <c r="N1560" s="127" t="s">
        <v>527</v>
      </c>
      <c r="O1560" s="127" t="s">
        <v>457</v>
      </c>
      <c r="P1560" s="128">
        <v>0</v>
      </c>
      <c r="Q1560" s="128">
        <v>361447.3</v>
      </c>
      <c r="R1560" s="128">
        <v>0</v>
      </c>
      <c r="S1560" s="128">
        <v>0</v>
      </c>
      <c r="T1560" s="128">
        <v>0</v>
      </c>
      <c r="U1560" s="128">
        <v>361447.3</v>
      </c>
      <c r="V1560" s="128">
        <v>0</v>
      </c>
      <c r="W1560" s="128">
        <v>361447.3</v>
      </c>
      <c r="X1560" s="128">
        <v>0</v>
      </c>
      <c r="Y1560" s="128">
        <v>0</v>
      </c>
      <c r="Z1560" s="128">
        <v>0</v>
      </c>
      <c r="AA1560" s="128">
        <v>361447.3</v>
      </c>
      <c r="AB1560" s="126">
        <f t="shared" si="166"/>
        <v>-3.614473E-2</v>
      </c>
      <c r="AC1560" s="122" t="s">
        <v>1838</v>
      </c>
      <c r="AD1560" s="123">
        <f>SUMIF(E:E,E1560,AB:AB)</f>
        <v>8.6932450000000008E-2</v>
      </c>
    </row>
    <row r="1561" spans="1:30" ht="12.75" hidden="1" customHeight="1">
      <c r="A1561" s="125" t="str">
        <f t="shared" si="163"/>
        <v>LIC31UR/L G/P - Equities</v>
      </c>
      <c r="B1561" s="125">
        <f>+IFERROR(VLOOKUP(L1561,'TB mapping'!A:D,4,0),0)</f>
        <v>0</v>
      </c>
      <c r="C1561" s="125" t="str">
        <f>+IFERROR(VLOOKUP(L1561,'TB mapping'!A:C,3,0),0)</f>
        <v>Ignore</v>
      </c>
      <c r="D1561" s="125" t="str">
        <f t="shared" si="164"/>
        <v>LIC310</v>
      </c>
      <c r="E1561" s="125" t="str">
        <f t="shared" si="165"/>
        <v>LIC31Ignore</v>
      </c>
      <c r="F1561" s="158" t="str">
        <f>+VLOOKUP(H1561,'code mapping'!A:C,3,0)</f>
        <v>LIC31</v>
      </c>
      <c r="G1561" s="127" t="s">
        <v>453</v>
      </c>
      <c r="H1561" s="127" t="s">
        <v>700</v>
      </c>
      <c r="I1561" s="127" t="s">
        <v>56</v>
      </c>
      <c r="J1561" s="128">
        <v>430000</v>
      </c>
      <c r="K1561" s="127" t="s">
        <v>528</v>
      </c>
      <c r="L1561" s="151">
        <v>431100</v>
      </c>
      <c r="M1561" s="128">
        <v>0</v>
      </c>
      <c r="N1561" s="127" t="s">
        <v>597</v>
      </c>
      <c r="O1561" s="127" t="s">
        <v>457</v>
      </c>
      <c r="P1561" s="128">
        <v>-12919251.43</v>
      </c>
      <c r="Q1561" s="128">
        <v>0</v>
      </c>
      <c r="R1561" s="128">
        <v>0</v>
      </c>
      <c r="S1561" s="128">
        <v>0</v>
      </c>
      <c r="T1561" s="128">
        <v>-12919251.43</v>
      </c>
      <c r="U1561" s="128">
        <v>0</v>
      </c>
      <c r="V1561" s="128">
        <v>-12919251.43</v>
      </c>
      <c r="W1561" s="128">
        <v>0</v>
      </c>
      <c r="X1561" s="128">
        <v>0</v>
      </c>
      <c r="Y1561" s="128">
        <v>0</v>
      </c>
      <c r="Z1561" s="128">
        <v>-12919251.43</v>
      </c>
      <c r="AA1561" s="128">
        <v>0</v>
      </c>
      <c r="AB1561" s="126">
        <f t="shared" si="166"/>
        <v>1.2919251430000001</v>
      </c>
      <c r="AC1561" s="122" t="s">
        <v>1838</v>
      </c>
      <c r="AD1561" s="123">
        <f>SUMIF(C:C,C1561,AB:AB)</f>
        <v>-291.7660984179999</v>
      </c>
    </row>
    <row r="1562" spans="1:30" ht="12.75" hidden="1" customHeight="1">
      <c r="A1562" s="125" t="str">
        <f t="shared" si="163"/>
        <v>LIC31UR/L G/P - Treasury Bills</v>
      </c>
      <c r="B1562" s="125">
        <f>+IFERROR(VLOOKUP(L1562,'TB mapping'!A:D,4,0),0)</f>
        <v>0</v>
      </c>
      <c r="C1562" s="125" t="str">
        <f>+IFERROR(VLOOKUP(L1562,'TB mapping'!A:C,3,0),0)</f>
        <v>Ignore</v>
      </c>
      <c r="D1562" s="125" t="str">
        <f t="shared" si="164"/>
        <v>LIC310</v>
      </c>
      <c r="E1562" s="125" t="str">
        <f t="shared" si="165"/>
        <v>LIC31Ignore</v>
      </c>
      <c r="F1562" s="158" t="str">
        <f>+VLOOKUP(H1562,'code mapping'!A:C,3,0)</f>
        <v>LIC31</v>
      </c>
      <c r="G1562" s="127" t="s">
        <v>453</v>
      </c>
      <c r="H1562" s="127" t="s">
        <v>700</v>
      </c>
      <c r="I1562" s="127" t="s">
        <v>56</v>
      </c>
      <c r="J1562" s="128">
        <v>430000</v>
      </c>
      <c r="K1562" s="127" t="s">
        <v>528</v>
      </c>
      <c r="L1562" s="151">
        <v>432110</v>
      </c>
      <c r="M1562" s="128">
        <v>0</v>
      </c>
      <c r="N1562" s="127" t="s">
        <v>661</v>
      </c>
      <c r="O1562" s="127" t="s">
        <v>457</v>
      </c>
      <c r="P1562" s="128">
        <v>0</v>
      </c>
      <c r="Q1562" s="128">
        <v>2236</v>
      </c>
      <c r="R1562" s="128">
        <v>0</v>
      </c>
      <c r="S1562" s="128">
        <v>0</v>
      </c>
      <c r="T1562" s="128">
        <v>0</v>
      </c>
      <c r="U1562" s="128">
        <v>2236</v>
      </c>
      <c r="V1562" s="128">
        <v>0</v>
      </c>
      <c r="W1562" s="128">
        <v>2236</v>
      </c>
      <c r="X1562" s="128">
        <v>0</v>
      </c>
      <c r="Y1562" s="128">
        <v>0</v>
      </c>
      <c r="Z1562" s="128">
        <v>0</v>
      </c>
      <c r="AA1562" s="128">
        <v>2236</v>
      </c>
      <c r="AB1562" s="126">
        <f t="shared" si="166"/>
        <v>-2.2359999999999999E-4</v>
      </c>
      <c r="AC1562" s="122" t="s">
        <v>1838</v>
      </c>
      <c r="AD1562" s="123">
        <f>SUMIF(C:C,C1562,AB:AB)</f>
        <v>-291.7660984179999</v>
      </c>
    </row>
    <row r="1563" spans="1:30" ht="12.75" hidden="1" customHeight="1">
      <c r="A1563" s="125" t="str">
        <f t="shared" si="163"/>
        <v>LIC31UR/L G/P - Corp Bond/Debenture</v>
      </c>
      <c r="B1563" s="125">
        <f>+IFERROR(VLOOKUP(L1563,'TB mapping'!A:D,4,0),0)</f>
        <v>0</v>
      </c>
      <c r="C1563" s="125" t="str">
        <f>+IFERROR(VLOOKUP(L1563,'TB mapping'!A:C,3,0),0)</f>
        <v>Ignore</v>
      </c>
      <c r="D1563" s="125" t="str">
        <f t="shared" si="164"/>
        <v>LIC310</v>
      </c>
      <c r="E1563" s="125" t="str">
        <f t="shared" si="165"/>
        <v>LIC31Ignore</v>
      </c>
      <c r="F1563" s="158" t="str">
        <f>+VLOOKUP(H1563,'code mapping'!A:C,3,0)</f>
        <v>LIC31</v>
      </c>
      <c r="G1563" s="127" t="s">
        <v>453</v>
      </c>
      <c r="H1563" s="127" t="s">
        <v>700</v>
      </c>
      <c r="I1563" s="127" t="s">
        <v>56</v>
      </c>
      <c r="J1563" s="128">
        <v>430000</v>
      </c>
      <c r="K1563" s="127" t="s">
        <v>528</v>
      </c>
      <c r="L1563" s="151">
        <v>432120</v>
      </c>
      <c r="M1563" s="128">
        <v>0</v>
      </c>
      <c r="N1563" s="127" t="s">
        <v>529</v>
      </c>
      <c r="O1563" s="127" t="s">
        <v>457</v>
      </c>
      <c r="P1563" s="128">
        <v>0</v>
      </c>
      <c r="Q1563" s="128">
        <v>137500.62</v>
      </c>
      <c r="R1563" s="128">
        <v>0</v>
      </c>
      <c r="S1563" s="128">
        <v>0</v>
      </c>
      <c r="T1563" s="128">
        <v>0</v>
      </c>
      <c r="U1563" s="128">
        <v>137500.62</v>
      </c>
      <c r="V1563" s="128">
        <v>0</v>
      </c>
      <c r="W1563" s="128">
        <v>137500.62</v>
      </c>
      <c r="X1563" s="128">
        <v>0</v>
      </c>
      <c r="Y1563" s="128">
        <v>0</v>
      </c>
      <c r="Z1563" s="128">
        <v>0</v>
      </c>
      <c r="AA1563" s="128">
        <v>137500.62</v>
      </c>
      <c r="AB1563" s="126">
        <f t="shared" si="166"/>
        <v>-1.3750062E-2</v>
      </c>
      <c r="AC1563" s="122" t="s">
        <v>1838</v>
      </c>
      <c r="AD1563" s="123">
        <f>SUMIF(C:C,C1563,AB:AB)</f>
        <v>-291.7660984179999</v>
      </c>
    </row>
    <row r="1564" spans="1:30" ht="12.75" hidden="1" customHeight="1">
      <c r="A1564" s="125" t="str">
        <f t="shared" si="163"/>
        <v>LIC31UR/L G/P - Government Bonds</v>
      </c>
      <c r="B1564" s="125">
        <f>+IFERROR(VLOOKUP(L1564,'TB mapping'!A:D,4,0),0)</f>
        <v>0</v>
      </c>
      <c r="C1564" s="125" t="str">
        <f>+IFERROR(VLOOKUP(L1564,'TB mapping'!A:C,3,0),0)</f>
        <v>Ignore</v>
      </c>
      <c r="D1564" s="125" t="str">
        <f t="shared" si="164"/>
        <v>LIC310</v>
      </c>
      <c r="E1564" s="125" t="str">
        <f t="shared" si="165"/>
        <v>LIC31Ignore</v>
      </c>
      <c r="F1564" s="158" t="str">
        <f>+VLOOKUP(H1564,'code mapping'!A:C,3,0)</f>
        <v>LIC31</v>
      </c>
      <c r="G1564" s="127" t="s">
        <v>453</v>
      </c>
      <c r="H1564" s="127" t="s">
        <v>700</v>
      </c>
      <c r="I1564" s="127" t="s">
        <v>56</v>
      </c>
      <c r="J1564" s="128">
        <v>430000</v>
      </c>
      <c r="K1564" s="127" t="s">
        <v>528</v>
      </c>
      <c r="L1564" s="151">
        <v>432130</v>
      </c>
      <c r="M1564" s="128">
        <v>0</v>
      </c>
      <c r="N1564" s="127" t="s">
        <v>530</v>
      </c>
      <c r="O1564" s="127" t="s">
        <v>457</v>
      </c>
      <c r="P1564" s="128">
        <v>-964325.18</v>
      </c>
      <c r="Q1564" s="128">
        <v>0</v>
      </c>
      <c r="R1564" s="128">
        <v>0</v>
      </c>
      <c r="S1564" s="128">
        <v>0</v>
      </c>
      <c r="T1564" s="128">
        <v>-964325.18</v>
      </c>
      <c r="U1564" s="128">
        <v>0</v>
      </c>
      <c r="V1564" s="128">
        <v>-964325.18</v>
      </c>
      <c r="W1564" s="128">
        <v>0</v>
      </c>
      <c r="X1564" s="128">
        <v>0</v>
      </c>
      <c r="Y1564" s="128">
        <v>0</v>
      </c>
      <c r="Z1564" s="128">
        <v>-964325.18</v>
      </c>
      <c r="AA1564" s="128">
        <v>0</v>
      </c>
      <c r="AB1564" s="126">
        <f t="shared" si="166"/>
        <v>9.6432518000000009E-2</v>
      </c>
      <c r="AC1564" s="122" t="s">
        <v>1838</v>
      </c>
      <c r="AD1564" s="123">
        <f>SUMIF(C:C,C1564,AB:AB)</f>
        <v>-291.7660984179999</v>
      </c>
    </row>
    <row r="1565" spans="1:30" ht="12.75" hidden="1" customHeight="1">
      <c r="A1565" s="125" t="str">
        <f t="shared" si="163"/>
        <v>LIC31Dividend Income - Equities</v>
      </c>
      <c r="B1565" s="125">
        <f>+IFERROR(VLOOKUP(L1565,'TB mapping'!A:D,4,0),0)</f>
        <v>0</v>
      </c>
      <c r="C1565" s="125">
        <f>+IFERROR(VLOOKUP(L1565,'TB mapping'!A:C,3,0),0)</f>
        <v>5.0999999999999996</v>
      </c>
      <c r="D1565" s="125" t="str">
        <f t="shared" si="164"/>
        <v>LIC310</v>
      </c>
      <c r="E1565" s="125" t="str">
        <f t="shared" si="165"/>
        <v>LIC315.1</v>
      </c>
      <c r="F1565" s="158" t="str">
        <f>+VLOOKUP(H1565,'code mapping'!A:C,3,0)</f>
        <v>LIC31</v>
      </c>
      <c r="G1565" s="127" t="s">
        <v>453</v>
      </c>
      <c r="H1565" s="127" t="s">
        <v>700</v>
      </c>
      <c r="I1565" s="127" t="s">
        <v>56</v>
      </c>
      <c r="J1565" s="128">
        <v>450000</v>
      </c>
      <c r="K1565" s="127" t="s">
        <v>532</v>
      </c>
      <c r="L1565" s="151">
        <v>451100</v>
      </c>
      <c r="M1565" s="128">
        <v>0</v>
      </c>
      <c r="N1565" s="127" t="s">
        <v>598</v>
      </c>
      <c r="O1565" s="127" t="s">
        <v>457</v>
      </c>
      <c r="P1565" s="128">
        <v>0</v>
      </c>
      <c r="Q1565" s="128">
        <v>2088219.8</v>
      </c>
      <c r="R1565" s="128">
        <v>0</v>
      </c>
      <c r="S1565" s="128">
        <v>0</v>
      </c>
      <c r="T1565" s="128">
        <v>0</v>
      </c>
      <c r="U1565" s="128">
        <v>2088219.8</v>
      </c>
      <c r="V1565" s="128">
        <v>0</v>
      </c>
      <c r="W1565" s="128">
        <v>2088219.8</v>
      </c>
      <c r="X1565" s="128">
        <v>0</v>
      </c>
      <c r="Y1565" s="128">
        <v>0</v>
      </c>
      <c r="Z1565" s="128">
        <v>0</v>
      </c>
      <c r="AA1565" s="128">
        <v>2088219.8</v>
      </c>
      <c r="AB1565" s="126">
        <f t="shared" si="166"/>
        <v>-0.20882198000000002</v>
      </c>
      <c r="AC1565" s="122" t="s">
        <v>1838</v>
      </c>
      <c r="AD1565" s="123">
        <f t="shared" ref="AD1565:AD1596" si="168">SUMIF(E:E,E1565,AB:AB)</f>
        <v>-0.20882198000000002</v>
      </c>
    </row>
    <row r="1566" spans="1:30" ht="12.75" hidden="1" customHeight="1">
      <c r="A1566" s="125" t="str">
        <f t="shared" si="163"/>
        <v>LIC31Amort Income -Treasury Bills</v>
      </c>
      <c r="B1566" s="125">
        <f>+IFERROR(VLOOKUP(L1566,'TB mapping'!A:D,4,0),0)</f>
        <v>0</v>
      </c>
      <c r="C1566" s="125">
        <f>+IFERROR(VLOOKUP(L1566,'TB mapping'!A:C,3,0),0)</f>
        <v>5.2</v>
      </c>
      <c r="D1566" s="125" t="str">
        <f t="shared" si="164"/>
        <v>LIC310</v>
      </c>
      <c r="E1566" s="125" t="str">
        <f t="shared" si="165"/>
        <v>LIC315.2</v>
      </c>
      <c r="F1566" s="158" t="str">
        <f>+VLOOKUP(H1566,'code mapping'!A:C,3,0)</f>
        <v>LIC31</v>
      </c>
      <c r="G1566" s="127" t="s">
        <v>453</v>
      </c>
      <c r="H1566" s="127" t="s">
        <v>700</v>
      </c>
      <c r="I1566" s="127" t="s">
        <v>56</v>
      </c>
      <c r="J1566" s="128">
        <v>450000</v>
      </c>
      <c r="K1566" s="127" t="s">
        <v>532</v>
      </c>
      <c r="L1566" s="151">
        <v>452110</v>
      </c>
      <c r="M1566" s="128">
        <v>0</v>
      </c>
      <c r="N1566" s="127" t="s">
        <v>632</v>
      </c>
      <c r="O1566" s="127" t="s">
        <v>457</v>
      </c>
      <c r="P1566" s="128">
        <v>0</v>
      </c>
      <c r="Q1566" s="128">
        <v>1654564</v>
      </c>
      <c r="R1566" s="128">
        <v>0</v>
      </c>
      <c r="S1566" s="128">
        <v>0</v>
      </c>
      <c r="T1566" s="128">
        <v>0</v>
      </c>
      <c r="U1566" s="128">
        <v>1654564</v>
      </c>
      <c r="V1566" s="128">
        <v>0</v>
      </c>
      <c r="W1566" s="128">
        <v>1654564</v>
      </c>
      <c r="X1566" s="128">
        <v>0</v>
      </c>
      <c r="Y1566" s="128">
        <v>0</v>
      </c>
      <c r="Z1566" s="128">
        <v>0</v>
      </c>
      <c r="AA1566" s="128">
        <v>1654564</v>
      </c>
      <c r="AB1566" s="126">
        <f t="shared" si="166"/>
        <v>-0.1654564</v>
      </c>
      <c r="AC1566" s="122" t="s">
        <v>1838</v>
      </c>
      <c r="AD1566" s="123">
        <f t="shared" si="168"/>
        <v>-6.8259738650000008</v>
      </c>
    </row>
    <row r="1567" spans="1:30" ht="12.75" hidden="1" customHeight="1">
      <c r="A1567" s="125" t="str">
        <f t="shared" si="163"/>
        <v>LIC31Interest Income - CCIL Margin</v>
      </c>
      <c r="B1567" s="125">
        <f>+IFERROR(VLOOKUP(L1567,'TB mapping'!A:D,4,0),0)</f>
        <v>0</v>
      </c>
      <c r="C1567" s="125">
        <f>+IFERROR(VLOOKUP(L1567,'TB mapping'!A:C,3,0),0)</f>
        <v>5.2</v>
      </c>
      <c r="D1567" s="125" t="str">
        <f t="shared" si="164"/>
        <v>LIC310</v>
      </c>
      <c r="E1567" s="125" t="str">
        <f t="shared" si="165"/>
        <v>LIC315.2</v>
      </c>
      <c r="F1567" s="158" t="str">
        <f>+VLOOKUP(H1567,'code mapping'!A:C,3,0)</f>
        <v>LIC31</v>
      </c>
      <c r="G1567" s="127" t="s">
        <v>453</v>
      </c>
      <c r="H1567" s="127" t="s">
        <v>700</v>
      </c>
      <c r="I1567" s="127" t="s">
        <v>56</v>
      </c>
      <c r="J1567" s="128">
        <v>450000</v>
      </c>
      <c r="K1567" s="127" t="s">
        <v>532</v>
      </c>
      <c r="L1567" s="151">
        <v>452111</v>
      </c>
      <c r="M1567" s="128">
        <v>0</v>
      </c>
      <c r="N1567" s="127" t="s">
        <v>533</v>
      </c>
      <c r="O1567" s="127" t="s">
        <v>457</v>
      </c>
      <c r="P1567" s="128">
        <v>0</v>
      </c>
      <c r="Q1567" s="128">
        <v>736.22</v>
      </c>
      <c r="R1567" s="128">
        <v>0</v>
      </c>
      <c r="S1567" s="128">
        <v>0</v>
      </c>
      <c r="T1567" s="128">
        <v>0</v>
      </c>
      <c r="U1567" s="128">
        <v>736.22</v>
      </c>
      <c r="V1567" s="128">
        <v>0</v>
      </c>
      <c r="W1567" s="128">
        <v>736.22</v>
      </c>
      <c r="X1567" s="128">
        <v>0</v>
      </c>
      <c r="Y1567" s="128">
        <v>0</v>
      </c>
      <c r="Z1567" s="128">
        <v>0</v>
      </c>
      <c r="AA1567" s="128">
        <v>736.22</v>
      </c>
      <c r="AB1567" s="126">
        <f t="shared" si="166"/>
        <v>-7.3622000000000008E-5</v>
      </c>
      <c r="AC1567" s="122" t="s">
        <v>1838</v>
      </c>
      <c r="AD1567" s="123">
        <f t="shared" si="168"/>
        <v>-6.8259738650000008</v>
      </c>
    </row>
    <row r="1568" spans="1:30" ht="12.75" hidden="1" customHeight="1">
      <c r="A1568" s="125" t="str">
        <f t="shared" si="163"/>
        <v>LIC31Int Income - Corporate Bonds</v>
      </c>
      <c r="B1568" s="125">
        <f>+IFERROR(VLOOKUP(L1568,'TB mapping'!A:D,4,0),0)</f>
        <v>0</v>
      </c>
      <c r="C1568" s="125">
        <f>+IFERROR(VLOOKUP(L1568,'TB mapping'!A:C,3,0),0)</f>
        <v>5.2</v>
      </c>
      <c r="D1568" s="125" t="str">
        <f t="shared" si="164"/>
        <v>LIC310</v>
      </c>
      <c r="E1568" s="125" t="str">
        <f t="shared" si="165"/>
        <v>LIC315.2</v>
      </c>
      <c r="F1568" s="158" t="str">
        <f>+VLOOKUP(H1568,'code mapping'!A:C,3,0)</f>
        <v>LIC31</v>
      </c>
      <c r="G1568" s="127" t="s">
        <v>453</v>
      </c>
      <c r="H1568" s="127" t="s">
        <v>700</v>
      </c>
      <c r="I1568" s="127" t="s">
        <v>56</v>
      </c>
      <c r="J1568" s="128">
        <v>450000</v>
      </c>
      <c r="K1568" s="127" t="s">
        <v>532</v>
      </c>
      <c r="L1568" s="151">
        <v>452120</v>
      </c>
      <c r="M1568" s="128">
        <v>0</v>
      </c>
      <c r="N1568" s="127" t="s">
        <v>534</v>
      </c>
      <c r="O1568" s="127" t="s">
        <v>457</v>
      </c>
      <c r="P1568" s="128">
        <v>0</v>
      </c>
      <c r="Q1568" s="128">
        <v>48311642.090000004</v>
      </c>
      <c r="R1568" s="128">
        <v>0</v>
      </c>
      <c r="S1568" s="128">
        <v>0</v>
      </c>
      <c r="T1568" s="128">
        <v>0</v>
      </c>
      <c r="U1568" s="128">
        <v>48311642.090000004</v>
      </c>
      <c r="V1568" s="128">
        <v>0</v>
      </c>
      <c r="W1568" s="128">
        <v>48311642.090000004</v>
      </c>
      <c r="X1568" s="128">
        <v>0</v>
      </c>
      <c r="Y1568" s="128">
        <v>0</v>
      </c>
      <c r="Z1568" s="128">
        <v>0</v>
      </c>
      <c r="AA1568" s="128">
        <v>48311642.090000004</v>
      </c>
      <c r="AB1568" s="126">
        <f t="shared" si="166"/>
        <v>-4.8311642090000007</v>
      </c>
      <c r="AC1568" s="122" t="s">
        <v>1838</v>
      </c>
      <c r="AD1568" s="123">
        <f t="shared" si="168"/>
        <v>-6.8259738650000008</v>
      </c>
    </row>
    <row r="1569" spans="1:30" ht="12.75" hidden="1" customHeight="1">
      <c r="A1569" s="125" t="str">
        <f t="shared" si="163"/>
        <v>LIC31Int Income - Government Bonds</v>
      </c>
      <c r="B1569" s="125">
        <f>+IFERROR(VLOOKUP(L1569,'TB mapping'!A:D,4,0),0)</f>
        <v>0</v>
      </c>
      <c r="C1569" s="125">
        <f>+IFERROR(VLOOKUP(L1569,'TB mapping'!A:C,3,0),0)</f>
        <v>5.2</v>
      </c>
      <c r="D1569" s="125" t="str">
        <f t="shared" si="164"/>
        <v>LIC310</v>
      </c>
      <c r="E1569" s="125" t="str">
        <f t="shared" si="165"/>
        <v>LIC315.2</v>
      </c>
      <c r="F1569" s="158" t="str">
        <f>+VLOOKUP(H1569,'code mapping'!A:C,3,0)</f>
        <v>LIC31</v>
      </c>
      <c r="G1569" s="127" t="s">
        <v>453</v>
      </c>
      <c r="H1569" s="127" t="s">
        <v>700</v>
      </c>
      <c r="I1569" s="127" t="s">
        <v>56</v>
      </c>
      <c r="J1569" s="128">
        <v>450000</v>
      </c>
      <c r="K1569" s="127" t="s">
        <v>532</v>
      </c>
      <c r="L1569" s="151">
        <v>452130</v>
      </c>
      <c r="M1569" s="128">
        <v>0</v>
      </c>
      <c r="N1569" s="127" t="s">
        <v>535</v>
      </c>
      <c r="O1569" s="127" t="s">
        <v>457</v>
      </c>
      <c r="P1569" s="128">
        <v>0</v>
      </c>
      <c r="Q1569" s="128">
        <v>7269811.1100000003</v>
      </c>
      <c r="R1569" s="128">
        <v>0</v>
      </c>
      <c r="S1569" s="128">
        <v>0</v>
      </c>
      <c r="T1569" s="128">
        <v>0</v>
      </c>
      <c r="U1569" s="128">
        <v>7269811.1100000003</v>
      </c>
      <c r="V1569" s="128">
        <v>0</v>
      </c>
      <c r="W1569" s="128">
        <v>7269811.1100000003</v>
      </c>
      <c r="X1569" s="128">
        <v>0</v>
      </c>
      <c r="Y1569" s="128">
        <v>0</v>
      </c>
      <c r="Z1569" s="128">
        <v>0</v>
      </c>
      <c r="AA1569" s="128">
        <v>7269811.1100000003</v>
      </c>
      <c r="AB1569" s="126">
        <f t="shared" si="166"/>
        <v>-0.72698111100000007</v>
      </c>
      <c r="AC1569" s="122" t="s">
        <v>1838</v>
      </c>
      <c r="AD1569" s="123">
        <f t="shared" si="168"/>
        <v>-6.8259738650000008</v>
      </c>
    </row>
    <row r="1570" spans="1:30" ht="12.75" hidden="1" customHeight="1">
      <c r="A1570" s="125" t="str">
        <f t="shared" si="163"/>
        <v>LIC31Int Income - State Dev Loans</v>
      </c>
      <c r="B1570" s="125">
        <f>+IFERROR(VLOOKUP(L1570,'TB mapping'!A:D,4,0),0)</f>
        <v>0</v>
      </c>
      <c r="C1570" s="125">
        <f>+IFERROR(VLOOKUP(L1570,'TB mapping'!A:C,3,0),0)</f>
        <v>5.2</v>
      </c>
      <c r="D1570" s="125" t="str">
        <f t="shared" si="164"/>
        <v>LIC310</v>
      </c>
      <c r="E1570" s="125" t="str">
        <f t="shared" si="165"/>
        <v>LIC315.2</v>
      </c>
      <c r="F1570" s="158" t="str">
        <f>+VLOOKUP(H1570,'code mapping'!A:C,3,0)</f>
        <v>LIC31</v>
      </c>
      <c r="G1570" s="127" t="s">
        <v>453</v>
      </c>
      <c r="H1570" s="127" t="s">
        <v>700</v>
      </c>
      <c r="I1570" s="127" t="s">
        <v>56</v>
      </c>
      <c r="J1570" s="128">
        <v>450000</v>
      </c>
      <c r="K1570" s="127" t="s">
        <v>532</v>
      </c>
      <c r="L1570" s="151">
        <v>452135</v>
      </c>
      <c r="M1570" s="128">
        <v>0</v>
      </c>
      <c r="N1570" s="127" t="s">
        <v>536</v>
      </c>
      <c r="O1570" s="127" t="s">
        <v>457</v>
      </c>
      <c r="P1570" s="128">
        <v>0</v>
      </c>
      <c r="Q1570" s="128">
        <v>2446875</v>
      </c>
      <c r="R1570" s="128">
        <v>0</v>
      </c>
      <c r="S1570" s="128">
        <v>0</v>
      </c>
      <c r="T1570" s="128">
        <v>0</v>
      </c>
      <c r="U1570" s="128">
        <v>2446875</v>
      </c>
      <c r="V1570" s="128">
        <v>0</v>
      </c>
      <c r="W1570" s="128">
        <v>2446875</v>
      </c>
      <c r="X1570" s="128">
        <v>0</v>
      </c>
      <c r="Y1570" s="128">
        <v>0</v>
      </c>
      <c r="Z1570" s="128">
        <v>0</v>
      </c>
      <c r="AA1570" s="128">
        <v>2446875</v>
      </c>
      <c r="AB1570" s="126">
        <f t="shared" si="166"/>
        <v>-0.2446875</v>
      </c>
      <c r="AC1570" s="122" t="s">
        <v>1838</v>
      </c>
      <c r="AD1570" s="123">
        <f t="shared" si="168"/>
        <v>-6.8259738650000008</v>
      </c>
    </row>
    <row r="1571" spans="1:30" ht="12.75" hidden="1" customHeight="1">
      <c r="A1571" s="125" t="str">
        <f t="shared" si="163"/>
        <v>LIC31Amort. Income - ZCB</v>
      </c>
      <c r="B1571" s="125">
        <f>+IFERROR(VLOOKUP(L1571,'TB mapping'!A:D,4,0),0)</f>
        <v>0</v>
      </c>
      <c r="C1571" s="125">
        <f>+IFERROR(VLOOKUP(L1571,'TB mapping'!A:C,3,0),0)</f>
        <v>5.2</v>
      </c>
      <c r="D1571" s="125" t="str">
        <f t="shared" si="164"/>
        <v>LIC310</v>
      </c>
      <c r="E1571" s="125" t="str">
        <f t="shared" si="165"/>
        <v>LIC315.2</v>
      </c>
      <c r="F1571" s="158" t="str">
        <f>+VLOOKUP(H1571,'code mapping'!A:C,3,0)</f>
        <v>LIC31</v>
      </c>
      <c r="G1571" s="127" t="s">
        <v>453</v>
      </c>
      <c r="H1571" s="127" t="s">
        <v>700</v>
      </c>
      <c r="I1571" s="127" t="s">
        <v>56</v>
      </c>
      <c r="J1571" s="128">
        <v>450000</v>
      </c>
      <c r="K1571" s="127" t="s">
        <v>532</v>
      </c>
      <c r="L1571" s="151">
        <v>452145</v>
      </c>
      <c r="M1571" s="128">
        <v>0</v>
      </c>
      <c r="N1571" s="127" t="s">
        <v>613</v>
      </c>
      <c r="O1571" s="127" t="s">
        <v>457</v>
      </c>
      <c r="P1571" s="128">
        <v>0</v>
      </c>
      <c r="Q1571" s="128">
        <v>3384552.18</v>
      </c>
      <c r="R1571" s="128">
        <v>0</v>
      </c>
      <c r="S1571" s="128">
        <v>0</v>
      </c>
      <c r="T1571" s="128">
        <v>0</v>
      </c>
      <c r="U1571" s="128">
        <v>3384552.18</v>
      </c>
      <c r="V1571" s="128">
        <v>0</v>
      </c>
      <c r="W1571" s="128">
        <v>3384552.18</v>
      </c>
      <c r="X1571" s="128">
        <v>0</v>
      </c>
      <c r="Y1571" s="128">
        <v>0</v>
      </c>
      <c r="Z1571" s="128">
        <v>0</v>
      </c>
      <c r="AA1571" s="128">
        <v>3384552.18</v>
      </c>
      <c r="AB1571" s="126">
        <f t="shared" si="166"/>
        <v>-0.338455218</v>
      </c>
      <c r="AC1571" s="122" t="s">
        <v>1838</v>
      </c>
      <c r="AD1571" s="123">
        <f t="shared" si="168"/>
        <v>-6.8259738650000008</v>
      </c>
    </row>
    <row r="1572" spans="1:30" ht="12.75" hidden="1" customHeight="1">
      <c r="A1572" s="125" t="str">
        <f t="shared" si="163"/>
        <v>LIC31Amort. Income - CP</v>
      </c>
      <c r="B1572" s="125">
        <f>+IFERROR(VLOOKUP(L1572,'TB mapping'!A:D,4,0),0)</f>
        <v>0</v>
      </c>
      <c r="C1572" s="125">
        <f>+IFERROR(VLOOKUP(L1572,'TB mapping'!A:C,3,0),0)</f>
        <v>5.2</v>
      </c>
      <c r="D1572" s="125" t="str">
        <f t="shared" si="164"/>
        <v>LIC310</v>
      </c>
      <c r="E1572" s="125" t="str">
        <f t="shared" si="165"/>
        <v>LIC315.2</v>
      </c>
      <c r="F1572" s="158" t="str">
        <f>+VLOOKUP(H1572,'code mapping'!A:C,3,0)</f>
        <v>LIC31</v>
      </c>
      <c r="G1572" s="127" t="s">
        <v>453</v>
      </c>
      <c r="H1572" s="127" t="s">
        <v>700</v>
      </c>
      <c r="I1572" s="127" t="s">
        <v>56</v>
      </c>
      <c r="J1572" s="128">
        <v>450000</v>
      </c>
      <c r="K1572" s="127" t="s">
        <v>532</v>
      </c>
      <c r="L1572" s="151">
        <v>452180</v>
      </c>
      <c r="M1572" s="128">
        <v>0</v>
      </c>
      <c r="N1572" s="127" t="s">
        <v>663</v>
      </c>
      <c r="O1572" s="127" t="s">
        <v>457</v>
      </c>
      <c r="P1572" s="128">
        <v>0</v>
      </c>
      <c r="Q1572" s="128">
        <v>665000</v>
      </c>
      <c r="R1572" s="128">
        <v>0</v>
      </c>
      <c r="S1572" s="128">
        <v>0</v>
      </c>
      <c r="T1572" s="128">
        <v>0</v>
      </c>
      <c r="U1572" s="128">
        <v>665000</v>
      </c>
      <c r="V1572" s="128">
        <v>0</v>
      </c>
      <c r="W1572" s="128">
        <v>665000</v>
      </c>
      <c r="X1572" s="128">
        <v>0</v>
      </c>
      <c r="Y1572" s="128">
        <v>0</v>
      </c>
      <c r="Z1572" s="128">
        <v>0</v>
      </c>
      <c r="AA1572" s="128">
        <v>665000</v>
      </c>
      <c r="AB1572" s="126">
        <f t="shared" si="166"/>
        <v>-6.6500000000000004E-2</v>
      </c>
      <c r="AC1572" s="122" t="s">
        <v>1838</v>
      </c>
      <c r="AD1572" s="123">
        <f t="shared" si="168"/>
        <v>-6.8259738650000008</v>
      </c>
    </row>
    <row r="1573" spans="1:30" ht="12.75" hidden="1" customHeight="1">
      <c r="A1573" s="125" t="str">
        <f t="shared" si="163"/>
        <v>LIC31Amort. Income - CBLO</v>
      </c>
      <c r="B1573" s="125">
        <f>+IFERROR(VLOOKUP(L1573,'TB mapping'!A:D,4,0),0)</f>
        <v>0</v>
      </c>
      <c r="C1573" s="125">
        <f>+IFERROR(VLOOKUP(L1573,'TB mapping'!A:C,3,0),0)</f>
        <v>5.2</v>
      </c>
      <c r="D1573" s="125" t="str">
        <f t="shared" si="164"/>
        <v>LIC310</v>
      </c>
      <c r="E1573" s="125" t="str">
        <f t="shared" si="165"/>
        <v>LIC315.2</v>
      </c>
      <c r="F1573" s="158" t="str">
        <f>+VLOOKUP(H1573,'code mapping'!A:C,3,0)</f>
        <v>LIC31</v>
      </c>
      <c r="G1573" s="127" t="s">
        <v>453</v>
      </c>
      <c r="H1573" s="127" t="s">
        <v>700</v>
      </c>
      <c r="I1573" s="127" t="s">
        <v>56</v>
      </c>
      <c r="J1573" s="128">
        <v>450000</v>
      </c>
      <c r="K1573" s="127" t="s">
        <v>532</v>
      </c>
      <c r="L1573" s="151">
        <v>452228</v>
      </c>
      <c r="M1573" s="128">
        <v>0</v>
      </c>
      <c r="N1573" s="127" t="s">
        <v>537</v>
      </c>
      <c r="O1573" s="127" t="s">
        <v>457</v>
      </c>
      <c r="P1573" s="128">
        <v>0</v>
      </c>
      <c r="Q1573" s="128">
        <v>4361713.49</v>
      </c>
      <c r="R1573" s="128">
        <v>0</v>
      </c>
      <c r="S1573" s="128">
        <v>0</v>
      </c>
      <c r="T1573" s="128">
        <v>0</v>
      </c>
      <c r="U1573" s="128">
        <v>4361713.49</v>
      </c>
      <c r="V1573" s="128">
        <v>0</v>
      </c>
      <c r="W1573" s="128">
        <v>4361713.49</v>
      </c>
      <c r="X1573" s="128">
        <v>0</v>
      </c>
      <c r="Y1573" s="128">
        <v>0</v>
      </c>
      <c r="Z1573" s="128">
        <v>0</v>
      </c>
      <c r="AA1573" s="128">
        <v>4361713.49</v>
      </c>
      <c r="AB1573" s="126">
        <f t="shared" si="166"/>
        <v>-0.43617134900000004</v>
      </c>
      <c r="AC1573" s="122" t="s">
        <v>1838</v>
      </c>
      <c r="AD1573" s="123">
        <f t="shared" si="168"/>
        <v>-6.8259738650000008</v>
      </c>
    </row>
    <row r="1574" spans="1:30" ht="12.75" hidden="1" customHeight="1">
      <c r="A1574" s="125" t="str">
        <f t="shared" si="163"/>
        <v>LIC31Int Income - Repo Deposits</v>
      </c>
      <c r="B1574" s="125">
        <f>+IFERROR(VLOOKUP(L1574,'TB mapping'!A:D,4,0),0)</f>
        <v>0</v>
      </c>
      <c r="C1574" s="125">
        <f>+IFERROR(VLOOKUP(L1574,'TB mapping'!A:C,3,0),0)</f>
        <v>5.2</v>
      </c>
      <c r="D1574" s="125" t="str">
        <f t="shared" si="164"/>
        <v>LIC310</v>
      </c>
      <c r="E1574" s="125" t="str">
        <f t="shared" si="165"/>
        <v>LIC315.2</v>
      </c>
      <c r="F1574" s="158" t="str">
        <f>+VLOOKUP(H1574,'code mapping'!A:C,3,0)</f>
        <v>LIC31</v>
      </c>
      <c r="G1574" s="127" t="s">
        <v>453</v>
      </c>
      <c r="H1574" s="127" t="s">
        <v>700</v>
      </c>
      <c r="I1574" s="127" t="s">
        <v>56</v>
      </c>
      <c r="J1574" s="128">
        <v>450000</v>
      </c>
      <c r="K1574" s="127" t="s">
        <v>532</v>
      </c>
      <c r="L1574" s="151">
        <v>452230</v>
      </c>
      <c r="M1574" s="128">
        <v>0</v>
      </c>
      <c r="N1574" s="127" t="s">
        <v>538</v>
      </c>
      <c r="O1574" s="127" t="s">
        <v>457</v>
      </c>
      <c r="P1574" s="128">
        <v>0</v>
      </c>
      <c r="Q1574" s="128">
        <v>164844.56</v>
      </c>
      <c r="R1574" s="128">
        <v>0</v>
      </c>
      <c r="S1574" s="128">
        <v>0</v>
      </c>
      <c r="T1574" s="128">
        <v>0</v>
      </c>
      <c r="U1574" s="128">
        <v>164844.56</v>
      </c>
      <c r="V1574" s="128">
        <v>0</v>
      </c>
      <c r="W1574" s="128">
        <v>164844.56</v>
      </c>
      <c r="X1574" s="128">
        <v>0</v>
      </c>
      <c r="Y1574" s="128">
        <v>0</v>
      </c>
      <c r="Z1574" s="128">
        <v>0</v>
      </c>
      <c r="AA1574" s="128">
        <v>164844.56</v>
      </c>
      <c r="AB1574" s="126">
        <f t="shared" si="166"/>
        <v>-1.6484456000000001E-2</v>
      </c>
      <c r="AC1574" s="122" t="s">
        <v>1838</v>
      </c>
      <c r="AD1574" s="123">
        <f t="shared" si="168"/>
        <v>-6.8259738650000008</v>
      </c>
    </row>
    <row r="1575" spans="1:30" ht="12.75" hidden="1" customHeight="1">
      <c r="A1575" s="125" t="str">
        <f t="shared" si="163"/>
        <v>LIC31Misc Income</v>
      </c>
      <c r="B1575" s="125">
        <f>+IFERROR(VLOOKUP(L1575,'TB mapping'!A:D,4,0),0)</f>
        <v>0</v>
      </c>
      <c r="C1575" s="125">
        <f>+IFERROR(VLOOKUP(L1575,'TB mapping'!A:C,3,0),0)</f>
        <v>5.5</v>
      </c>
      <c r="D1575" s="125" t="str">
        <f t="shared" si="164"/>
        <v>LIC310</v>
      </c>
      <c r="E1575" s="125" t="str">
        <f t="shared" si="165"/>
        <v>LIC315.5</v>
      </c>
      <c r="F1575" s="158" t="str">
        <f>+VLOOKUP(H1575,'code mapping'!A:C,3,0)</f>
        <v>LIC31</v>
      </c>
      <c r="G1575" s="127" t="s">
        <v>453</v>
      </c>
      <c r="H1575" s="127" t="s">
        <v>700</v>
      </c>
      <c r="I1575" s="127" t="s">
        <v>56</v>
      </c>
      <c r="J1575" s="128">
        <v>460000</v>
      </c>
      <c r="K1575" s="127" t="s">
        <v>539</v>
      </c>
      <c r="L1575" s="151">
        <v>452233</v>
      </c>
      <c r="M1575" s="128">
        <v>0</v>
      </c>
      <c r="N1575" s="127" t="s">
        <v>706</v>
      </c>
      <c r="O1575" s="127" t="s">
        <v>457</v>
      </c>
      <c r="P1575" s="128">
        <v>0</v>
      </c>
      <c r="Q1575" s="128">
        <v>181.44</v>
      </c>
      <c r="R1575" s="128">
        <v>0</v>
      </c>
      <c r="S1575" s="128">
        <v>0</v>
      </c>
      <c r="T1575" s="128">
        <v>0</v>
      </c>
      <c r="U1575" s="128">
        <v>181.44</v>
      </c>
      <c r="V1575" s="128">
        <v>0</v>
      </c>
      <c r="W1575" s="128">
        <v>181.44</v>
      </c>
      <c r="X1575" s="128">
        <v>0</v>
      </c>
      <c r="Y1575" s="128">
        <v>0</v>
      </c>
      <c r="Z1575" s="128">
        <v>0</v>
      </c>
      <c r="AA1575" s="128">
        <v>181.44</v>
      </c>
      <c r="AB1575" s="126">
        <f t="shared" si="166"/>
        <v>-1.8144000000000001E-5</v>
      </c>
      <c r="AC1575" s="122" t="s">
        <v>1838</v>
      </c>
      <c r="AD1575" s="123">
        <f t="shared" si="168"/>
        <v>-0.11316156499999998</v>
      </c>
    </row>
    <row r="1576" spans="1:30" ht="12.75" hidden="1" customHeight="1">
      <c r="A1576" s="125" t="str">
        <f t="shared" si="163"/>
        <v>LIC31Load Income</v>
      </c>
      <c r="B1576" s="125">
        <f>+IFERROR(VLOOKUP(L1576,'TB mapping'!A:D,4,0),0)</f>
        <v>0</v>
      </c>
      <c r="C1576" s="125">
        <f>+IFERROR(VLOOKUP(L1576,'TB mapping'!A:C,3,0),0)</f>
        <v>5.5</v>
      </c>
      <c r="D1576" s="125" t="str">
        <f t="shared" si="164"/>
        <v>LIC310</v>
      </c>
      <c r="E1576" s="125" t="str">
        <f t="shared" si="165"/>
        <v>LIC315.5</v>
      </c>
      <c r="F1576" s="158" t="str">
        <f>+VLOOKUP(H1576,'code mapping'!A:C,3,0)</f>
        <v>LIC31</v>
      </c>
      <c r="G1576" s="127" t="s">
        <v>453</v>
      </c>
      <c r="H1576" s="127" t="s">
        <v>700</v>
      </c>
      <c r="I1576" s="127" t="s">
        <v>56</v>
      </c>
      <c r="J1576" s="128">
        <v>460000</v>
      </c>
      <c r="K1576" s="127" t="s">
        <v>539</v>
      </c>
      <c r="L1576" s="151">
        <v>455103</v>
      </c>
      <c r="M1576" s="128">
        <v>0</v>
      </c>
      <c r="N1576" s="127" t="s">
        <v>540</v>
      </c>
      <c r="O1576" s="127" t="s">
        <v>457</v>
      </c>
      <c r="P1576" s="128">
        <v>0</v>
      </c>
      <c r="Q1576" s="128">
        <v>1131581.54</v>
      </c>
      <c r="R1576" s="128">
        <v>0</v>
      </c>
      <c r="S1576" s="128">
        <v>0</v>
      </c>
      <c r="T1576" s="128">
        <v>0</v>
      </c>
      <c r="U1576" s="128">
        <v>1131581.54</v>
      </c>
      <c r="V1576" s="128">
        <v>0</v>
      </c>
      <c r="W1576" s="128">
        <v>1131581.54</v>
      </c>
      <c r="X1576" s="128">
        <v>0</v>
      </c>
      <c r="Y1576" s="128">
        <v>0</v>
      </c>
      <c r="Z1576" s="128">
        <v>0</v>
      </c>
      <c r="AA1576" s="128">
        <v>1131581.54</v>
      </c>
      <c r="AB1576" s="126">
        <f t="shared" si="166"/>
        <v>-0.113158154</v>
      </c>
      <c r="AC1576" s="122" t="s">
        <v>1838</v>
      </c>
      <c r="AD1576" s="123">
        <f t="shared" si="168"/>
        <v>-0.11316156499999998</v>
      </c>
    </row>
    <row r="1577" spans="1:30" ht="12.75" hidden="1" customHeight="1">
      <c r="A1577" s="125" t="str">
        <f t="shared" si="163"/>
        <v>LIC31Other Income</v>
      </c>
      <c r="B1577" s="125">
        <f>+IFERROR(VLOOKUP(L1577,'TB mapping'!A:D,4,0),0)</f>
        <v>0</v>
      </c>
      <c r="C1577" s="125">
        <f>+IFERROR(VLOOKUP(L1577,'TB mapping'!A:C,3,0),0)</f>
        <v>5.5</v>
      </c>
      <c r="D1577" s="125" t="str">
        <f t="shared" si="164"/>
        <v>LIC310</v>
      </c>
      <c r="E1577" s="125" t="str">
        <f t="shared" si="165"/>
        <v>LIC315.5</v>
      </c>
      <c r="F1577" s="158" t="str">
        <f>+VLOOKUP(H1577,'code mapping'!A:C,3,0)</f>
        <v>LIC31</v>
      </c>
      <c r="G1577" s="127" t="s">
        <v>453</v>
      </c>
      <c r="H1577" s="127" t="s">
        <v>700</v>
      </c>
      <c r="I1577" s="127" t="s">
        <v>56</v>
      </c>
      <c r="J1577" s="128">
        <v>460000</v>
      </c>
      <c r="K1577" s="127" t="s">
        <v>539</v>
      </c>
      <c r="L1577" s="151">
        <v>460000</v>
      </c>
      <c r="M1577" s="128">
        <v>0</v>
      </c>
      <c r="N1577" s="127" t="s">
        <v>541</v>
      </c>
      <c r="O1577" s="127" t="s">
        <v>457</v>
      </c>
      <c r="P1577" s="128">
        <v>-147.33000000000001</v>
      </c>
      <c r="Q1577" s="128">
        <v>0</v>
      </c>
      <c r="R1577" s="128">
        <v>0</v>
      </c>
      <c r="S1577" s="128">
        <v>0</v>
      </c>
      <c r="T1577" s="128">
        <v>-147.33000000000001</v>
      </c>
      <c r="U1577" s="128">
        <v>0</v>
      </c>
      <c r="V1577" s="128">
        <v>-147.33000000000001</v>
      </c>
      <c r="W1577" s="128">
        <v>0</v>
      </c>
      <c r="X1577" s="128">
        <v>0</v>
      </c>
      <c r="Y1577" s="128">
        <v>0</v>
      </c>
      <c r="Z1577" s="128">
        <v>-147.33000000000001</v>
      </c>
      <c r="AA1577" s="128">
        <v>0</v>
      </c>
      <c r="AB1577" s="126">
        <f t="shared" si="166"/>
        <v>1.4733000000000001E-5</v>
      </c>
      <c r="AC1577" s="122" t="s">
        <v>1838</v>
      </c>
      <c r="AD1577" s="123">
        <f t="shared" si="168"/>
        <v>-0.11316156499999998</v>
      </c>
    </row>
    <row r="1578" spans="1:30" ht="12.75" hidden="1" customHeight="1">
      <c r="A1578" s="125" t="str">
        <f t="shared" si="163"/>
        <v>LIC31Interplan Adjustment</v>
      </c>
      <c r="B1578" s="125">
        <f>+IFERROR(VLOOKUP(L1578,'TB mapping'!A:D,4,0),0)</f>
        <v>0</v>
      </c>
      <c r="C1578" s="125">
        <f>+IFERROR(VLOOKUP(L1578,'TB mapping'!A:C,3,0),0)</f>
        <v>5.5</v>
      </c>
      <c r="D1578" s="125" t="str">
        <f t="shared" si="164"/>
        <v>LIC310</v>
      </c>
      <c r="E1578" s="125" t="str">
        <f t="shared" si="165"/>
        <v>LIC315.5</v>
      </c>
      <c r="F1578" s="158" t="str">
        <f>+VLOOKUP(H1578,'code mapping'!A:C,3,0)</f>
        <v>LIC31</v>
      </c>
      <c r="G1578" s="127" t="s">
        <v>453</v>
      </c>
      <c r="H1578" s="127" t="s">
        <v>700</v>
      </c>
      <c r="I1578" s="127" t="s">
        <v>56</v>
      </c>
      <c r="J1578" s="128">
        <v>460000</v>
      </c>
      <c r="K1578" s="127" t="s">
        <v>539</v>
      </c>
      <c r="L1578" s="151">
        <v>460100</v>
      </c>
      <c r="M1578" s="128">
        <v>0</v>
      </c>
      <c r="N1578" s="127" t="s">
        <v>633</v>
      </c>
      <c r="O1578" s="127" t="s">
        <v>457</v>
      </c>
      <c r="P1578" s="128">
        <v>-0.03</v>
      </c>
      <c r="Q1578" s="128">
        <v>0</v>
      </c>
      <c r="R1578" s="128">
        <v>0</v>
      </c>
      <c r="S1578" s="128">
        <v>0</v>
      </c>
      <c r="T1578" s="128">
        <v>-0.03</v>
      </c>
      <c r="U1578" s="128">
        <v>0</v>
      </c>
      <c r="V1578" s="128">
        <v>-0.03</v>
      </c>
      <c r="W1578" s="128">
        <v>0</v>
      </c>
      <c r="X1578" s="128">
        <v>0</v>
      </c>
      <c r="Y1578" s="128">
        <v>0</v>
      </c>
      <c r="Z1578" s="128">
        <v>-0.03</v>
      </c>
      <c r="AA1578" s="128">
        <v>0</v>
      </c>
      <c r="AB1578" s="126">
        <f t="shared" si="166"/>
        <v>3E-9</v>
      </c>
      <c r="AC1578" s="122" t="s">
        <v>1838</v>
      </c>
      <c r="AD1578" s="123">
        <f t="shared" si="168"/>
        <v>-0.11316156499999998</v>
      </c>
    </row>
    <row r="1579" spans="1:30" ht="12.75" hidden="1" customHeight="1">
      <c r="A1579" s="125" t="str">
        <f t="shared" si="163"/>
        <v>LIC31Interplan Adjustment- RG</v>
      </c>
      <c r="B1579" s="125">
        <f>+IFERROR(VLOOKUP(L1579,'TB mapping'!A:D,4,0),0)</f>
        <v>0</v>
      </c>
      <c r="C1579" s="125">
        <f>+IFERROR(VLOOKUP(L1579,'TB mapping'!A:C,3,0),0)</f>
        <v>5.5</v>
      </c>
      <c r="D1579" s="125" t="str">
        <f t="shared" si="164"/>
        <v>LIC310</v>
      </c>
      <c r="E1579" s="125" t="str">
        <f t="shared" si="165"/>
        <v>LIC315.5</v>
      </c>
      <c r="F1579" s="158" t="str">
        <f>+VLOOKUP(H1579,'code mapping'!A:C,3,0)</f>
        <v>LIC31</v>
      </c>
      <c r="G1579" s="127" t="s">
        <v>453</v>
      </c>
      <c r="H1579" s="127" t="s">
        <v>700</v>
      </c>
      <c r="I1579" s="127" t="s">
        <v>56</v>
      </c>
      <c r="J1579" s="128">
        <v>460000</v>
      </c>
      <c r="K1579" s="127" t="s">
        <v>539</v>
      </c>
      <c r="L1579" s="151">
        <v>460101</v>
      </c>
      <c r="M1579" s="128">
        <v>0</v>
      </c>
      <c r="N1579" s="127" t="s">
        <v>542</v>
      </c>
      <c r="O1579" s="127" t="s">
        <v>457</v>
      </c>
      <c r="P1579" s="128">
        <v>0</v>
      </c>
      <c r="Q1579" s="128">
        <v>332.48</v>
      </c>
      <c r="R1579" s="128">
        <v>0</v>
      </c>
      <c r="S1579" s="128">
        <v>0</v>
      </c>
      <c r="T1579" s="128">
        <v>0</v>
      </c>
      <c r="U1579" s="128">
        <v>332.48</v>
      </c>
      <c r="V1579" s="128">
        <v>0</v>
      </c>
      <c r="W1579" s="128">
        <v>332.48</v>
      </c>
      <c r="X1579" s="128">
        <v>0</v>
      </c>
      <c r="Y1579" s="128">
        <v>0</v>
      </c>
      <c r="Z1579" s="128">
        <v>0</v>
      </c>
      <c r="AA1579" s="128">
        <v>332.48</v>
      </c>
      <c r="AB1579" s="126">
        <f t="shared" si="166"/>
        <v>-3.3248000000000004E-5</v>
      </c>
      <c r="AC1579" s="122" t="s">
        <v>1838</v>
      </c>
      <c r="AD1579" s="123">
        <f t="shared" si="168"/>
        <v>-0.11316156499999998</v>
      </c>
    </row>
    <row r="1580" spans="1:30" ht="12.75" hidden="1" customHeight="1">
      <c r="A1580" s="125" t="str">
        <f t="shared" si="163"/>
        <v>LIC31Interplan Adjustment- RMD</v>
      </c>
      <c r="B1580" s="125">
        <f>+IFERROR(VLOOKUP(L1580,'TB mapping'!A:D,4,0),0)</f>
        <v>0</v>
      </c>
      <c r="C1580" s="125">
        <f>+IFERROR(VLOOKUP(L1580,'TB mapping'!A:C,3,0),0)</f>
        <v>5.5</v>
      </c>
      <c r="D1580" s="125" t="str">
        <f t="shared" si="164"/>
        <v>LIC310</v>
      </c>
      <c r="E1580" s="125" t="str">
        <f t="shared" si="165"/>
        <v>LIC315.5</v>
      </c>
      <c r="F1580" s="158" t="str">
        <f>+VLOOKUP(H1580,'code mapping'!A:C,3,0)</f>
        <v>LIC31</v>
      </c>
      <c r="G1580" s="127" t="s">
        <v>453</v>
      </c>
      <c r="H1580" s="127" t="s">
        <v>700</v>
      </c>
      <c r="I1580" s="127" t="s">
        <v>56</v>
      </c>
      <c r="J1580" s="128">
        <v>460000</v>
      </c>
      <c r="K1580" s="127" t="s">
        <v>539</v>
      </c>
      <c r="L1580" s="151">
        <v>460128</v>
      </c>
      <c r="M1580" s="128">
        <v>0</v>
      </c>
      <c r="N1580" s="127" t="s">
        <v>667</v>
      </c>
      <c r="O1580" s="127" t="s">
        <v>457</v>
      </c>
      <c r="P1580" s="128">
        <v>0</v>
      </c>
      <c r="Q1580" s="128">
        <v>21.14</v>
      </c>
      <c r="R1580" s="128">
        <v>0</v>
      </c>
      <c r="S1580" s="128">
        <v>0</v>
      </c>
      <c r="T1580" s="128">
        <v>0</v>
      </c>
      <c r="U1580" s="128">
        <v>21.14</v>
      </c>
      <c r="V1580" s="128">
        <v>0</v>
      </c>
      <c r="W1580" s="128">
        <v>21.14</v>
      </c>
      <c r="X1580" s="128">
        <v>0</v>
      </c>
      <c r="Y1580" s="128">
        <v>0</v>
      </c>
      <c r="Z1580" s="128">
        <v>0</v>
      </c>
      <c r="AA1580" s="128">
        <v>21.14</v>
      </c>
      <c r="AB1580" s="126">
        <f t="shared" si="166"/>
        <v>-2.114E-6</v>
      </c>
      <c r="AC1580" s="122" t="s">
        <v>1838</v>
      </c>
      <c r="AD1580" s="123">
        <f t="shared" si="168"/>
        <v>-0.11316156499999998</v>
      </c>
    </row>
    <row r="1581" spans="1:30" ht="12.75" hidden="1" customHeight="1">
      <c r="A1581" s="125" t="str">
        <f t="shared" si="163"/>
        <v>LIC31Interplan Adjustment- RQD</v>
      </c>
      <c r="B1581" s="125">
        <f>+IFERROR(VLOOKUP(L1581,'TB mapping'!A:D,4,0),0)</f>
        <v>0</v>
      </c>
      <c r="C1581" s="125">
        <f>+IFERROR(VLOOKUP(L1581,'TB mapping'!A:C,3,0),0)</f>
        <v>5.5</v>
      </c>
      <c r="D1581" s="125" t="str">
        <f t="shared" si="164"/>
        <v>LIC310</v>
      </c>
      <c r="E1581" s="125" t="str">
        <f t="shared" si="165"/>
        <v>LIC315.5</v>
      </c>
      <c r="F1581" s="158" t="str">
        <f>+VLOOKUP(H1581,'code mapping'!A:C,3,0)</f>
        <v>LIC31</v>
      </c>
      <c r="G1581" s="127" t="s">
        <v>453</v>
      </c>
      <c r="H1581" s="127" t="s">
        <v>700</v>
      </c>
      <c r="I1581" s="127" t="s">
        <v>56</v>
      </c>
      <c r="J1581" s="128">
        <v>460000</v>
      </c>
      <c r="K1581" s="127" t="s">
        <v>539</v>
      </c>
      <c r="L1581" s="151">
        <v>460129</v>
      </c>
      <c r="M1581" s="128">
        <v>0</v>
      </c>
      <c r="N1581" s="127" t="s">
        <v>707</v>
      </c>
      <c r="O1581" s="127" t="s">
        <v>457</v>
      </c>
      <c r="P1581" s="128">
        <v>0</v>
      </c>
      <c r="Q1581" s="128">
        <v>7.14</v>
      </c>
      <c r="R1581" s="128">
        <v>0</v>
      </c>
      <c r="S1581" s="128">
        <v>0</v>
      </c>
      <c r="T1581" s="128">
        <v>0</v>
      </c>
      <c r="U1581" s="128">
        <v>7.14</v>
      </c>
      <c r="V1581" s="128">
        <v>0</v>
      </c>
      <c r="W1581" s="128">
        <v>7.14</v>
      </c>
      <c r="X1581" s="128">
        <v>0</v>
      </c>
      <c r="Y1581" s="128">
        <v>0</v>
      </c>
      <c r="Z1581" s="128">
        <v>0</v>
      </c>
      <c r="AA1581" s="128">
        <v>7.14</v>
      </c>
      <c r="AB1581" s="126">
        <f t="shared" si="166"/>
        <v>-7.1399999999999996E-7</v>
      </c>
      <c r="AC1581" s="122" t="s">
        <v>1838</v>
      </c>
      <c r="AD1581" s="123">
        <f t="shared" si="168"/>
        <v>-0.11316156499999998</v>
      </c>
    </row>
    <row r="1582" spans="1:30" ht="12.75" hidden="1" customHeight="1">
      <c r="A1582" s="125" t="str">
        <f t="shared" si="163"/>
        <v>LIC31Interplan Adjustment- GDP</v>
      </c>
      <c r="B1582" s="125">
        <f>+IFERROR(VLOOKUP(L1582,'TB mapping'!A:D,4,0),0)</f>
        <v>0</v>
      </c>
      <c r="C1582" s="125">
        <f>+IFERROR(VLOOKUP(L1582,'TB mapping'!A:C,3,0),0)</f>
        <v>5.5</v>
      </c>
      <c r="D1582" s="125" t="str">
        <f t="shared" si="164"/>
        <v>LIC310</v>
      </c>
      <c r="E1582" s="125" t="str">
        <f t="shared" si="165"/>
        <v>LIC315.5</v>
      </c>
      <c r="F1582" s="158" t="str">
        <f>+VLOOKUP(H1582,'code mapping'!A:C,3,0)</f>
        <v>LIC31</v>
      </c>
      <c r="G1582" s="127" t="s">
        <v>453</v>
      </c>
      <c r="H1582" s="127" t="s">
        <v>700</v>
      </c>
      <c r="I1582" s="127" t="s">
        <v>56</v>
      </c>
      <c r="J1582" s="128">
        <v>460000</v>
      </c>
      <c r="K1582" s="127" t="s">
        <v>539</v>
      </c>
      <c r="L1582" s="151">
        <v>460143</v>
      </c>
      <c r="M1582" s="128">
        <v>0</v>
      </c>
      <c r="N1582" s="127" t="s">
        <v>544</v>
      </c>
      <c r="O1582" s="127" t="s">
        <v>457</v>
      </c>
      <c r="P1582" s="128">
        <v>-374.82</v>
      </c>
      <c r="Q1582" s="128">
        <v>0</v>
      </c>
      <c r="R1582" s="128">
        <v>0</v>
      </c>
      <c r="S1582" s="128">
        <v>0</v>
      </c>
      <c r="T1582" s="128">
        <v>-374.82</v>
      </c>
      <c r="U1582" s="128">
        <v>0</v>
      </c>
      <c r="V1582" s="128">
        <v>-374.82</v>
      </c>
      <c r="W1582" s="128">
        <v>0</v>
      </c>
      <c r="X1582" s="128">
        <v>0</v>
      </c>
      <c r="Y1582" s="128">
        <v>0</v>
      </c>
      <c r="Z1582" s="128">
        <v>-374.82</v>
      </c>
      <c r="AA1582" s="128">
        <v>0</v>
      </c>
      <c r="AB1582" s="126">
        <f t="shared" si="166"/>
        <v>3.7481999999999998E-5</v>
      </c>
      <c r="AC1582" s="122" t="s">
        <v>1838</v>
      </c>
      <c r="AD1582" s="123">
        <f t="shared" si="168"/>
        <v>-0.11316156499999998</v>
      </c>
    </row>
    <row r="1583" spans="1:30" ht="12.75" hidden="1" customHeight="1">
      <c r="A1583" s="125" t="str">
        <f t="shared" si="163"/>
        <v>LIC31Interplan Adjustment- MDP</v>
      </c>
      <c r="B1583" s="125">
        <f>+IFERROR(VLOOKUP(L1583,'TB mapping'!A:D,4,0),0)</f>
        <v>0</v>
      </c>
      <c r="C1583" s="125">
        <f>+IFERROR(VLOOKUP(L1583,'TB mapping'!A:C,3,0),0)</f>
        <v>5.5</v>
      </c>
      <c r="D1583" s="125" t="str">
        <f t="shared" si="164"/>
        <v>LIC310</v>
      </c>
      <c r="E1583" s="125" t="str">
        <f t="shared" si="165"/>
        <v>LIC315.5</v>
      </c>
      <c r="F1583" s="158" t="str">
        <f>+VLOOKUP(H1583,'code mapping'!A:C,3,0)</f>
        <v>LIC31</v>
      </c>
      <c r="G1583" s="127" t="s">
        <v>453</v>
      </c>
      <c r="H1583" s="127" t="s">
        <v>700</v>
      </c>
      <c r="I1583" s="127" t="s">
        <v>56</v>
      </c>
      <c r="J1583" s="128">
        <v>460000</v>
      </c>
      <c r="K1583" s="127" t="s">
        <v>539</v>
      </c>
      <c r="L1583" s="151">
        <v>460146</v>
      </c>
      <c r="M1583" s="128">
        <v>0</v>
      </c>
      <c r="N1583" s="127" t="s">
        <v>668</v>
      </c>
      <c r="O1583" s="127" t="s">
        <v>457</v>
      </c>
      <c r="P1583" s="128">
        <v>0</v>
      </c>
      <c r="Q1583" s="128">
        <v>0.71</v>
      </c>
      <c r="R1583" s="128">
        <v>0</v>
      </c>
      <c r="S1583" s="128">
        <v>0</v>
      </c>
      <c r="T1583" s="128">
        <v>0</v>
      </c>
      <c r="U1583" s="128">
        <v>0.71</v>
      </c>
      <c r="V1583" s="128">
        <v>0</v>
      </c>
      <c r="W1583" s="128">
        <v>0.71</v>
      </c>
      <c r="X1583" s="128">
        <v>0</v>
      </c>
      <c r="Y1583" s="128">
        <v>0</v>
      </c>
      <c r="Z1583" s="128">
        <v>0</v>
      </c>
      <c r="AA1583" s="128">
        <v>0.71</v>
      </c>
      <c r="AB1583" s="126">
        <f t="shared" si="166"/>
        <v>-7.1E-8</v>
      </c>
      <c r="AC1583" s="122" t="s">
        <v>1838</v>
      </c>
      <c r="AD1583" s="123">
        <f t="shared" si="168"/>
        <v>-0.11316156499999998</v>
      </c>
    </row>
    <row r="1584" spans="1:30" ht="12.75" hidden="1" customHeight="1">
      <c r="A1584" s="125" t="str">
        <f t="shared" si="163"/>
        <v>LIC31Interplan Adjustment- QDP</v>
      </c>
      <c r="B1584" s="125">
        <f>+IFERROR(VLOOKUP(L1584,'TB mapping'!A:D,4,0),0)</f>
        <v>0</v>
      </c>
      <c r="C1584" s="125">
        <f>+IFERROR(VLOOKUP(L1584,'TB mapping'!A:C,3,0),0)</f>
        <v>5.5</v>
      </c>
      <c r="D1584" s="125" t="str">
        <f t="shared" si="164"/>
        <v>LIC310</v>
      </c>
      <c r="E1584" s="125" t="str">
        <f t="shared" si="165"/>
        <v>LIC315.5</v>
      </c>
      <c r="F1584" s="158" t="str">
        <f>+VLOOKUP(H1584,'code mapping'!A:C,3,0)</f>
        <v>LIC31</v>
      </c>
      <c r="G1584" s="127" t="s">
        <v>453</v>
      </c>
      <c r="H1584" s="127" t="s">
        <v>700</v>
      </c>
      <c r="I1584" s="127" t="s">
        <v>56</v>
      </c>
      <c r="J1584" s="128">
        <v>460000</v>
      </c>
      <c r="K1584" s="127" t="s">
        <v>539</v>
      </c>
      <c r="L1584" s="151">
        <v>460147</v>
      </c>
      <c r="M1584" s="128">
        <v>0</v>
      </c>
      <c r="N1584" s="127" t="s">
        <v>708</v>
      </c>
      <c r="O1584" s="127" t="s">
        <v>457</v>
      </c>
      <c r="P1584" s="128">
        <v>0</v>
      </c>
      <c r="Q1584" s="128">
        <v>0.02</v>
      </c>
      <c r="R1584" s="128">
        <v>0</v>
      </c>
      <c r="S1584" s="128">
        <v>0</v>
      </c>
      <c r="T1584" s="128">
        <v>0</v>
      </c>
      <c r="U1584" s="128">
        <v>0.02</v>
      </c>
      <c r="V1584" s="128">
        <v>0</v>
      </c>
      <c r="W1584" s="128">
        <v>0.02</v>
      </c>
      <c r="X1584" s="128">
        <v>0</v>
      </c>
      <c r="Y1584" s="128">
        <v>0</v>
      </c>
      <c r="Z1584" s="128">
        <v>0</v>
      </c>
      <c r="AA1584" s="128">
        <v>0.02</v>
      </c>
      <c r="AB1584" s="126">
        <f t="shared" si="166"/>
        <v>-2.0000000000000001E-9</v>
      </c>
      <c r="AC1584" s="122" t="s">
        <v>1838</v>
      </c>
      <c r="AD1584" s="123">
        <f t="shared" si="168"/>
        <v>-0.11316156499999998</v>
      </c>
    </row>
    <row r="1585" spans="1:30" ht="12.75" hidden="1" customHeight="1">
      <c r="A1585" s="125" t="str">
        <f t="shared" si="163"/>
        <v>LIC31Interplan Adjustment- YDP</v>
      </c>
      <c r="B1585" s="125">
        <f>+IFERROR(VLOOKUP(L1585,'TB mapping'!A:D,4,0),0)</f>
        <v>0</v>
      </c>
      <c r="C1585" s="125">
        <f>+IFERROR(VLOOKUP(L1585,'TB mapping'!A:C,3,0),0)</f>
        <v>5.5</v>
      </c>
      <c r="D1585" s="125" t="str">
        <f t="shared" si="164"/>
        <v>LIC310</v>
      </c>
      <c r="E1585" s="125" t="str">
        <f t="shared" si="165"/>
        <v>LIC315.5</v>
      </c>
      <c r="F1585" s="158" t="str">
        <f>+VLOOKUP(H1585,'code mapping'!A:C,3,0)</f>
        <v>LIC31</v>
      </c>
      <c r="G1585" s="127" t="s">
        <v>453</v>
      </c>
      <c r="H1585" s="127" t="s">
        <v>700</v>
      </c>
      <c r="I1585" s="127" t="s">
        <v>56</v>
      </c>
      <c r="J1585" s="128">
        <v>460000</v>
      </c>
      <c r="K1585" s="127" t="s">
        <v>539</v>
      </c>
      <c r="L1585" s="151">
        <v>460149</v>
      </c>
      <c r="M1585" s="128">
        <v>0</v>
      </c>
      <c r="N1585" s="127" t="s">
        <v>709</v>
      </c>
      <c r="O1585" s="127" t="s">
        <v>457</v>
      </c>
      <c r="P1585" s="128">
        <v>0</v>
      </c>
      <c r="Q1585" s="128">
        <v>0.59</v>
      </c>
      <c r="R1585" s="128">
        <v>0</v>
      </c>
      <c r="S1585" s="128">
        <v>0</v>
      </c>
      <c r="T1585" s="128">
        <v>0</v>
      </c>
      <c r="U1585" s="128">
        <v>0.59</v>
      </c>
      <c r="V1585" s="128">
        <v>0</v>
      </c>
      <c r="W1585" s="128">
        <v>0.59</v>
      </c>
      <c r="X1585" s="128">
        <v>0</v>
      </c>
      <c r="Y1585" s="128">
        <v>0</v>
      </c>
      <c r="Z1585" s="128">
        <v>0</v>
      </c>
      <c r="AA1585" s="128">
        <v>0.59</v>
      </c>
      <c r="AB1585" s="126">
        <f t="shared" si="166"/>
        <v>-5.8999999999999999E-8</v>
      </c>
      <c r="AC1585" s="122" t="s">
        <v>1838</v>
      </c>
      <c r="AD1585" s="123">
        <f t="shared" si="168"/>
        <v>-0.11316156499999998</v>
      </c>
    </row>
    <row r="1586" spans="1:30" ht="12.75" hidden="1" customHeight="1">
      <c r="A1586" s="125" t="str">
        <f t="shared" si="163"/>
        <v>LIC31Interplan Adjustment-RAD</v>
      </c>
      <c r="B1586" s="125">
        <f>+IFERROR(VLOOKUP(L1586,'TB mapping'!A:D,4,0),0)</f>
        <v>0</v>
      </c>
      <c r="C1586" s="125">
        <f>+IFERROR(VLOOKUP(L1586,'TB mapping'!A:C,3,0),0)</f>
        <v>5.5</v>
      </c>
      <c r="D1586" s="125" t="str">
        <f t="shared" si="164"/>
        <v>LIC310</v>
      </c>
      <c r="E1586" s="125" t="str">
        <f t="shared" si="165"/>
        <v>LIC315.5</v>
      </c>
      <c r="F1586" s="158" t="str">
        <f>+VLOOKUP(H1586,'code mapping'!A:C,3,0)</f>
        <v>LIC31</v>
      </c>
      <c r="G1586" s="127" t="s">
        <v>453</v>
      </c>
      <c r="H1586" s="127" t="s">
        <v>700</v>
      </c>
      <c r="I1586" s="127" t="s">
        <v>56</v>
      </c>
      <c r="J1586" s="128">
        <v>460000</v>
      </c>
      <c r="K1586" s="127" t="s">
        <v>539</v>
      </c>
      <c r="L1586" s="151">
        <v>460247</v>
      </c>
      <c r="M1586" s="128">
        <v>0</v>
      </c>
      <c r="N1586" s="127" t="s">
        <v>710</v>
      </c>
      <c r="O1586" s="127" t="s">
        <v>457</v>
      </c>
      <c r="P1586" s="128">
        <v>0</v>
      </c>
      <c r="Q1586" s="128">
        <v>12.77</v>
      </c>
      <c r="R1586" s="128">
        <v>0</v>
      </c>
      <c r="S1586" s="128">
        <v>0</v>
      </c>
      <c r="T1586" s="128">
        <v>0</v>
      </c>
      <c r="U1586" s="128">
        <v>12.77</v>
      </c>
      <c r="V1586" s="128">
        <v>0</v>
      </c>
      <c r="W1586" s="128">
        <v>12.77</v>
      </c>
      <c r="X1586" s="128">
        <v>0</v>
      </c>
      <c r="Y1586" s="128">
        <v>0</v>
      </c>
      <c r="Z1586" s="128">
        <v>0</v>
      </c>
      <c r="AA1586" s="128">
        <v>12.77</v>
      </c>
      <c r="AB1586" s="126">
        <f t="shared" si="166"/>
        <v>-1.277E-6</v>
      </c>
      <c r="AC1586" s="122" t="s">
        <v>1838</v>
      </c>
      <c r="AD1586" s="123">
        <f t="shared" si="168"/>
        <v>-0.11316156499999998</v>
      </c>
    </row>
    <row r="1587" spans="1:30" ht="12.75" hidden="1" customHeight="1">
      <c r="A1587" s="125" t="str">
        <f t="shared" si="163"/>
        <v>LIC31R/L L/P - Equities</v>
      </c>
      <c r="B1587" s="125">
        <f>+IFERROR(VLOOKUP(L1587,'TB mapping'!A:D,4,0),0)</f>
        <v>0</v>
      </c>
      <c r="C1587" s="125">
        <f>+IFERROR(VLOOKUP(L1587,'TB mapping'!A:C,3,0),0)</f>
        <v>5.3</v>
      </c>
      <c r="D1587" s="125" t="str">
        <f t="shared" si="164"/>
        <v>LIC310</v>
      </c>
      <c r="E1587" s="125" t="str">
        <f t="shared" si="165"/>
        <v>LIC315.3</v>
      </c>
      <c r="F1587" s="158" t="str">
        <f>+VLOOKUP(H1587,'code mapping'!A:C,3,0)</f>
        <v>LIC31</v>
      </c>
      <c r="G1587" s="127" t="s">
        <v>453</v>
      </c>
      <c r="H1587" s="127" t="s">
        <v>700</v>
      </c>
      <c r="I1587" s="127" t="s">
        <v>56</v>
      </c>
      <c r="J1587" s="128">
        <v>510000</v>
      </c>
      <c r="K1587" s="127" t="s">
        <v>546</v>
      </c>
      <c r="L1587" s="151">
        <v>511100</v>
      </c>
      <c r="M1587" s="128">
        <v>0</v>
      </c>
      <c r="N1587" s="127" t="s">
        <v>599</v>
      </c>
      <c r="O1587" s="127" t="s">
        <v>457</v>
      </c>
      <c r="P1587" s="128">
        <v>-4024982.91</v>
      </c>
      <c r="Q1587" s="128">
        <v>0</v>
      </c>
      <c r="R1587" s="128">
        <v>0</v>
      </c>
      <c r="S1587" s="128">
        <v>0</v>
      </c>
      <c r="T1587" s="128">
        <v>-4024982.91</v>
      </c>
      <c r="U1587" s="128">
        <v>0</v>
      </c>
      <c r="V1587" s="128">
        <v>-4024982.91</v>
      </c>
      <c r="W1587" s="128">
        <v>0</v>
      </c>
      <c r="X1587" s="128">
        <v>0</v>
      </c>
      <c r="Y1587" s="128">
        <v>0</v>
      </c>
      <c r="Z1587" s="128">
        <v>-4024982.91</v>
      </c>
      <c r="AA1587" s="128">
        <v>0</v>
      </c>
      <c r="AB1587" s="126">
        <f t="shared" si="166"/>
        <v>0.40249829100000001</v>
      </c>
      <c r="AC1587" s="122" t="s">
        <v>1838</v>
      </c>
      <c r="AD1587" s="123">
        <f t="shared" si="168"/>
        <v>-3.5141121210000015</v>
      </c>
    </row>
    <row r="1588" spans="1:30" ht="12.75" hidden="1" customHeight="1">
      <c r="A1588" s="125" t="str">
        <f t="shared" si="163"/>
        <v>LIC31R/L L/P - Government Bonds</v>
      </c>
      <c r="B1588" s="125">
        <f>+IFERROR(VLOOKUP(L1588,'TB mapping'!A:D,4,0),0)</f>
        <v>0</v>
      </c>
      <c r="C1588" s="125">
        <f>+IFERROR(VLOOKUP(L1588,'TB mapping'!A:C,3,0),0)</f>
        <v>5.3</v>
      </c>
      <c r="D1588" s="125" t="str">
        <f t="shared" si="164"/>
        <v>LIC310</v>
      </c>
      <c r="E1588" s="125" t="str">
        <f t="shared" si="165"/>
        <v>LIC315.3</v>
      </c>
      <c r="F1588" s="158" t="str">
        <f>+VLOOKUP(H1588,'code mapping'!A:C,3,0)</f>
        <v>LIC31</v>
      </c>
      <c r="G1588" s="127" t="s">
        <v>453</v>
      </c>
      <c r="H1588" s="127" t="s">
        <v>700</v>
      </c>
      <c r="I1588" s="127" t="s">
        <v>56</v>
      </c>
      <c r="J1588" s="128">
        <v>510000</v>
      </c>
      <c r="K1588" s="127" t="s">
        <v>546</v>
      </c>
      <c r="L1588" s="151">
        <v>512130</v>
      </c>
      <c r="M1588" s="128">
        <v>0</v>
      </c>
      <c r="N1588" s="127" t="s">
        <v>548</v>
      </c>
      <c r="O1588" s="127" t="s">
        <v>457</v>
      </c>
      <c r="P1588" s="128">
        <v>-5787302.6100000003</v>
      </c>
      <c r="Q1588" s="128">
        <v>0</v>
      </c>
      <c r="R1588" s="128">
        <v>0</v>
      </c>
      <c r="S1588" s="128">
        <v>0</v>
      </c>
      <c r="T1588" s="128">
        <v>-5787302.6100000003</v>
      </c>
      <c r="U1588" s="128">
        <v>0</v>
      </c>
      <c r="V1588" s="128">
        <v>-5787302.6100000003</v>
      </c>
      <c r="W1588" s="128">
        <v>0</v>
      </c>
      <c r="X1588" s="128">
        <v>0</v>
      </c>
      <c r="Y1588" s="128">
        <v>0</v>
      </c>
      <c r="Z1588" s="128">
        <v>-5787302.6100000003</v>
      </c>
      <c r="AA1588" s="128">
        <v>0</v>
      </c>
      <c r="AB1588" s="126">
        <f t="shared" si="166"/>
        <v>0.57873026100000002</v>
      </c>
      <c r="AC1588" s="122" t="s">
        <v>1838</v>
      </c>
      <c r="AD1588" s="123">
        <f t="shared" si="168"/>
        <v>-3.5141121210000015</v>
      </c>
    </row>
    <row r="1589" spans="1:30" ht="12.75" hidden="1" customHeight="1">
      <c r="A1589" s="125" t="str">
        <f t="shared" si="163"/>
        <v>LIC31R/L L/P - SDLs</v>
      </c>
      <c r="B1589" s="125">
        <f>+IFERROR(VLOOKUP(L1589,'TB mapping'!A:D,4,0),0)</f>
        <v>0</v>
      </c>
      <c r="C1589" s="125">
        <f>+IFERROR(VLOOKUP(L1589,'TB mapping'!A:C,3,0),0)</f>
        <v>5.3</v>
      </c>
      <c r="D1589" s="125" t="str">
        <f t="shared" si="164"/>
        <v>LIC310</v>
      </c>
      <c r="E1589" s="125" t="str">
        <f t="shared" si="165"/>
        <v>LIC315.3</v>
      </c>
      <c r="F1589" s="158" t="str">
        <f>+VLOOKUP(H1589,'code mapping'!A:C,3,0)</f>
        <v>LIC31</v>
      </c>
      <c r="G1589" s="127" t="s">
        <v>453</v>
      </c>
      <c r="H1589" s="127" t="s">
        <v>700</v>
      </c>
      <c r="I1589" s="127" t="s">
        <v>56</v>
      </c>
      <c r="J1589" s="128">
        <v>510000</v>
      </c>
      <c r="K1589" s="127" t="s">
        <v>546</v>
      </c>
      <c r="L1589" s="151">
        <v>512135</v>
      </c>
      <c r="M1589" s="128">
        <v>0</v>
      </c>
      <c r="N1589" s="127" t="s">
        <v>711</v>
      </c>
      <c r="O1589" s="127" t="s">
        <v>457</v>
      </c>
      <c r="P1589" s="128">
        <v>-339950</v>
      </c>
      <c r="Q1589" s="128">
        <v>0</v>
      </c>
      <c r="R1589" s="128">
        <v>0</v>
      </c>
      <c r="S1589" s="128">
        <v>0</v>
      </c>
      <c r="T1589" s="128">
        <v>-339950</v>
      </c>
      <c r="U1589" s="128">
        <v>0</v>
      </c>
      <c r="V1589" s="128">
        <v>-339950</v>
      </c>
      <c r="W1589" s="128">
        <v>0</v>
      </c>
      <c r="X1589" s="128">
        <v>0</v>
      </c>
      <c r="Y1589" s="128">
        <v>0</v>
      </c>
      <c r="Z1589" s="128">
        <v>-339950</v>
      </c>
      <c r="AA1589" s="128">
        <v>0</v>
      </c>
      <c r="AB1589" s="126">
        <f t="shared" si="166"/>
        <v>3.3994999999999997E-2</v>
      </c>
      <c r="AC1589" s="122" t="s">
        <v>1838</v>
      </c>
      <c r="AD1589" s="123">
        <f t="shared" si="168"/>
        <v>-3.5141121210000015</v>
      </c>
    </row>
    <row r="1590" spans="1:30" ht="12.75" hidden="1" customHeight="1">
      <c r="A1590" s="125" t="str">
        <f t="shared" si="163"/>
        <v>LIC31R/L Loss - Inter Sch Govt Bond</v>
      </c>
      <c r="B1590" s="125">
        <f>+IFERROR(VLOOKUP(L1590,'TB mapping'!A:D,4,0),0)</f>
        <v>0</v>
      </c>
      <c r="C1590" s="125">
        <f>+IFERROR(VLOOKUP(L1590,'TB mapping'!A:C,3,0),0)</f>
        <v>5.4</v>
      </c>
      <c r="D1590" s="125" t="str">
        <f t="shared" si="164"/>
        <v>LIC310</v>
      </c>
      <c r="E1590" s="125" t="str">
        <f t="shared" si="165"/>
        <v>LIC315.4</v>
      </c>
      <c r="F1590" s="158" t="str">
        <f>+VLOOKUP(H1590,'code mapping'!A:C,3,0)</f>
        <v>LIC31</v>
      </c>
      <c r="G1590" s="127" t="s">
        <v>453</v>
      </c>
      <c r="H1590" s="127" t="s">
        <v>700</v>
      </c>
      <c r="I1590" s="127" t="s">
        <v>56</v>
      </c>
      <c r="J1590" s="128">
        <v>510000</v>
      </c>
      <c r="K1590" s="127" t="s">
        <v>546</v>
      </c>
      <c r="L1590" s="151">
        <v>527304</v>
      </c>
      <c r="M1590" s="128">
        <v>0</v>
      </c>
      <c r="N1590" s="127" t="s">
        <v>549</v>
      </c>
      <c r="O1590" s="127" t="s">
        <v>457</v>
      </c>
      <c r="P1590" s="128">
        <v>-1230771.8</v>
      </c>
      <c r="Q1590" s="128">
        <v>0</v>
      </c>
      <c r="R1590" s="128">
        <v>0</v>
      </c>
      <c r="S1590" s="128">
        <v>0</v>
      </c>
      <c r="T1590" s="128">
        <v>-1230771.8</v>
      </c>
      <c r="U1590" s="128">
        <v>0</v>
      </c>
      <c r="V1590" s="128">
        <v>-1230771.8</v>
      </c>
      <c r="W1590" s="128">
        <v>0</v>
      </c>
      <c r="X1590" s="128">
        <v>0</v>
      </c>
      <c r="Y1590" s="128">
        <v>0</v>
      </c>
      <c r="Z1590" s="128">
        <v>-1230771.8</v>
      </c>
      <c r="AA1590" s="128">
        <v>0</v>
      </c>
      <c r="AB1590" s="126">
        <f t="shared" si="166"/>
        <v>0.12307718000000001</v>
      </c>
      <c r="AC1590" s="122" t="s">
        <v>1838</v>
      </c>
      <c r="AD1590" s="123">
        <f t="shared" si="168"/>
        <v>8.6932450000000008E-2</v>
      </c>
    </row>
    <row r="1591" spans="1:30" ht="12.75" hidden="1" customHeight="1">
      <c r="A1591" s="125" t="str">
        <f t="shared" si="163"/>
        <v>LIC31SEBI Fees</v>
      </c>
      <c r="B1591" s="125">
        <f>+IFERROR(VLOOKUP(L1591,'TB mapping'!A:D,4,0),0)</f>
        <v>0</v>
      </c>
      <c r="C1591" s="125">
        <f>+IFERROR(VLOOKUP(L1591,'TB mapping'!A:C,3,0),0)</f>
        <v>6.3</v>
      </c>
      <c r="D1591" s="125" t="str">
        <f t="shared" si="164"/>
        <v>LIC310</v>
      </c>
      <c r="E1591" s="125" t="str">
        <f t="shared" si="165"/>
        <v>LIC316.3</v>
      </c>
      <c r="F1591" s="158" t="str">
        <f>+VLOOKUP(H1591,'code mapping'!A:C,3,0)</f>
        <v>LIC31</v>
      </c>
      <c r="G1591" s="127" t="s">
        <v>453</v>
      </c>
      <c r="H1591" s="127" t="s">
        <v>700</v>
      </c>
      <c r="I1591" s="127" t="s">
        <v>56</v>
      </c>
      <c r="J1591" s="128">
        <v>550000</v>
      </c>
      <c r="K1591" s="127" t="s">
        <v>550</v>
      </c>
      <c r="L1591" s="151">
        <v>553007</v>
      </c>
      <c r="M1591" s="128">
        <v>0</v>
      </c>
      <c r="N1591" s="127" t="s">
        <v>551</v>
      </c>
      <c r="O1591" s="127" t="s">
        <v>457</v>
      </c>
      <c r="P1591" s="128">
        <v>-11635.34</v>
      </c>
      <c r="Q1591" s="128">
        <v>0</v>
      </c>
      <c r="R1591" s="128">
        <v>0</v>
      </c>
      <c r="S1591" s="128">
        <v>0</v>
      </c>
      <c r="T1591" s="128">
        <v>-11635.34</v>
      </c>
      <c r="U1591" s="128">
        <v>0</v>
      </c>
      <c r="V1591" s="128">
        <v>-11635.34</v>
      </c>
      <c r="W1591" s="128">
        <v>0</v>
      </c>
      <c r="X1591" s="128">
        <v>0</v>
      </c>
      <c r="Y1591" s="128">
        <v>0</v>
      </c>
      <c r="Z1591" s="128">
        <v>-11635.34</v>
      </c>
      <c r="AA1591" s="128">
        <v>0</v>
      </c>
      <c r="AB1591" s="126">
        <f t="shared" si="166"/>
        <v>1.1635339999999999E-3</v>
      </c>
      <c r="AC1591" s="122" t="s">
        <v>1838</v>
      </c>
      <c r="AD1591" s="123">
        <f t="shared" si="168"/>
        <v>3.077724421000001</v>
      </c>
    </row>
    <row r="1592" spans="1:30" ht="12.75" hidden="1" customHeight="1">
      <c r="A1592" s="125" t="str">
        <f t="shared" si="163"/>
        <v>LIC31Audit Fee</v>
      </c>
      <c r="B1592" s="125">
        <f>+IFERROR(VLOOKUP(L1592,'TB mapping'!A:D,4,0),0)</f>
        <v>0</v>
      </c>
      <c r="C1592" s="125">
        <f>+IFERROR(VLOOKUP(L1592,'TB mapping'!A:C,3,0),0)</f>
        <v>6.3</v>
      </c>
      <c r="D1592" s="125" t="str">
        <f t="shared" si="164"/>
        <v>LIC310</v>
      </c>
      <c r="E1592" s="125" t="str">
        <f t="shared" si="165"/>
        <v>LIC316.3</v>
      </c>
      <c r="F1592" s="158" t="str">
        <f>+VLOOKUP(H1592,'code mapping'!A:C,3,0)</f>
        <v>LIC31</v>
      </c>
      <c r="G1592" s="127" t="s">
        <v>453</v>
      </c>
      <c r="H1592" s="127" t="s">
        <v>700</v>
      </c>
      <c r="I1592" s="127" t="s">
        <v>56</v>
      </c>
      <c r="J1592" s="128">
        <v>550000</v>
      </c>
      <c r="K1592" s="127" t="s">
        <v>550</v>
      </c>
      <c r="L1592" s="151">
        <v>553105</v>
      </c>
      <c r="M1592" s="128">
        <v>0</v>
      </c>
      <c r="N1592" s="127" t="s">
        <v>552</v>
      </c>
      <c r="O1592" s="127" t="s">
        <v>457</v>
      </c>
      <c r="P1592" s="128">
        <v>-20833.16</v>
      </c>
      <c r="Q1592" s="128">
        <v>0</v>
      </c>
      <c r="R1592" s="128">
        <v>0</v>
      </c>
      <c r="S1592" s="128">
        <v>0</v>
      </c>
      <c r="T1592" s="128">
        <v>-20833.16</v>
      </c>
      <c r="U1592" s="128">
        <v>0</v>
      </c>
      <c r="V1592" s="128">
        <v>-20833.16</v>
      </c>
      <c r="W1592" s="128">
        <v>0</v>
      </c>
      <c r="X1592" s="128">
        <v>0</v>
      </c>
      <c r="Y1592" s="128">
        <v>0</v>
      </c>
      <c r="Z1592" s="128">
        <v>-20833.16</v>
      </c>
      <c r="AA1592" s="128">
        <v>0</v>
      </c>
      <c r="AB1592" s="126">
        <f t="shared" si="166"/>
        <v>2.083316E-3</v>
      </c>
      <c r="AC1592" s="122" t="s">
        <v>1838</v>
      </c>
      <c r="AD1592" s="123">
        <f t="shared" si="168"/>
        <v>3.077724421000001</v>
      </c>
    </row>
    <row r="1593" spans="1:30" ht="12.75" hidden="1" customHeight="1">
      <c r="A1593" s="125" t="str">
        <f t="shared" ref="A1593:A1656" si="169">+F1593&amp;N1593</f>
        <v>LIC31Custody Fee</v>
      </c>
      <c r="B1593" s="125">
        <f>+IFERROR(VLOOKUP(L1593,'TB mapping'!A:D,4,0),0)</f>
        <v>0</v>
      </c>
      <c r="C1593" s="125">
        <f>+IFERROR(VLOOKUP(L1593,'TB mapping'!A:C,3,0),0)</f>
        <v>6.3</v>
      </c>
      <c r="D1593" s="125" t="str">
        <f t="shared" ref="D1593:D1656" si="170">+F1593&amp;B1593</f>
        <v>LIC310</v>
      </c>
      <c r="E1593" s="125" t="str">
        <f t="shared" ref="E1593:E1656" si="171">+F1593&amp;C1593</f>
        <v>LIC316.3</v>
      </c>
      <c r="F1593" s="158" t="str">
        <f>+VLOOKUP(H1593,'code mapping'!A:C,3,0)</f>
        <v>LIC31</v>
      </c>
      <c r="G1593" s="127" t="s">
        <v>453</v>
      </c>
      <c r="H1593" s="127" t="s">
        <v>700</v>
      </c>
      <c r="I1593" s="127" t="s">
        <v>56</v>
      </c>
      <c r="J1593" s="128">
        <v>550000</v>
      </c>
      <c r="K1593" s="127" t="s">
        <v>550</v>
      </c>
      <c r="L1593" s="151">
        <v>553107</v>
      </c>
      <c r="M1593" s="128">
        <v>0</v>
      </c>
      <c r="N1593" s="127" t="s">
        <v>553</v>
      </c>
      <c r="O1593" s="127" t="s">
        <v>457</v>
      </c>
      <c r="P1593" s="128">
        <v>-230396.24</v>
      </c>
      <c r="Q1593" s="128">
        <v>0</v>
      </c>
      <c r="R1593" s="128">
        <v>0</v>
      </c>
      <c r="S1593" s="128">
        <v>0</v>
      </c>
      <c r="T1593" s="128">
        <v>-230396.24</v>
      </c>
      <c r="U1593" s="128">
        <v>0</v>
      </c>
      <c r="V1593" s="128">
        <v>-230396.24</v>
      </c>
      <c r="W1593" s="128">
        <v>0</v>
      </c>
      <c r="X1593" s="128">
        <v>0</v>
      </c>
      <c r="Y1593" s="128">
        <v>0</v>
      </c>
      <c r="Z1593" s="128">
        <v>-230396.24</v>
      </c>
      <c r="AA1593" s="128">
        <v>0</v>
      </c>
      <c r="AB1593" s="126">
        <f t="shared" ref="AB1593:AB1656" si="172">SUM(-Z1593-AA1593)/10^7</f>
        <v>2.3039623999999998E-2</v>
      </c>
      <c r="AC1593" s="122" t="s">
        <v>1838</v>
      </c>
      <c r="AD1593" s="123">
        <f t="shared" si="168"/>
        <v>3.077724421000001</v>
      </c>
    </row>
    <row r="1594" spans="1:30" ht="12.75" hidden="1" customHeight="1">
      <c r="A1594" s="125" t="str">
        <f t="shared" si="169"/>
        <v>LIC31Expense Allocation Account</v>
      </c>
      <c r="B1594" s="125">
        <f>+IFERROR(VLOOKUP(L1594,'TB mapping'!A:D,4,0),0)</f>
        <v>0</v>
      </c>
      <c r="C1594" s="125">
        <f>+IFERROR(VLOOKUP(L1594,'TB mapping'!A:C,3,0),0)</f>
        <v>6.3</v>
      </c>
      <c r="D1594" s="125" t="str">
        <f t="shared" si="170"/>
        <v>LIC310</v>
      </c>
      <c r="E1594" s="125" t="str">
        <f t="shared" si="171"/>
        <v>LIC316.3</v>
      </c>
      <c r="F1594" s="158" t="str">
        <f>+VLOOKUP(H1594,'code mapping'!A:C,3,0)</f>
        <v>LIC31</v>
      </c>
      <c r="G1594" s="127" t="s">
        <v>453</v>
      </c>
      <c r="H1594" s="127" t="s">
        <v>700</v>
      </c>
      <c r="I1594" s="127" t="s">
        <v>56</v>
      </c>
      <c r="J1594" s="128">
        <v>550000</v>
      </c>
      <c r="K1594" s="127" t="s">
        <v>550</v>
      </c>
      <c r="L1594" s="151">
        <v>553111</v>
      </c>
      <c r="M1594" s="128">
        <v>0</v>
      </c>
      <c r="N1594" s="127" t="s">
        <v>554</v>
      </c>
      <c r="O1594" s="127" t="s">
        <v>457</v>
      </c>
      <c r="P1594" s="128">
        <v>0</v>
      </c>
      <c r="Q1594" s="128">
        <v>576251</v>
      </c>
      <c r="R1594" s="128">
        <v>0</v>
      </c>
      <c r="S1594" s="128">
        <v>0</v>
      </c>
      <c r="T1594" s="128">
        <v>0</v>
      </c>
      <c r="U1594" s="128">
        <v>576251</v>
      </c>
      <c r="V1594" s="128">
        <v>0</v>
      </c>
      <c r="W1594" s="128">
        <v>576251</v>
      </c>
      <c r="X1594" s="128">
        <v>0</v>
      </c>
      <c r="Y1594" s="128">
        <v>0</v>
      </c>
      <c r="Z1594" s="128">
        <v>0</v>
      </c>
      <c r="AA1594" s="128">
        <v>576251</v>
      </c>
      <c r="AB1594" s="126">
        <f t="shared" si="172"/>
        <v>-5.7625099999999999E-2</v>
      </c>
      <c r="AC1594" s="122" t="s">
        <v>1838</v>
      </c>
      <c r="AD1594" s="123">
        <f t="shared" si="168"/>
        <v>3.077724421000001</v>
      </c>
    </row>
    <row r="1595" spans="1:30" ht="12.75" hidden="1" customHeight="1">
      <c r="A1595" s="125" t="str">
        <f t="shared" si="169"/>
        <v>LIC31Trustee Fee</v>
      </c>
      <c r="B1595" s="125">
        <f>+IFERROR(VLOOKUP(L1595,'TB mapping'!A:D,4,0),0)</f>
        <v>6.2</v>
      </c>
      <c r="C1595" s="125">
        <f>+IFERROR(VLOOKUP(L1595,'TB mapping'!A:C,3,0),0)</f>
        <v>6.3</v>
      </c>
      <c r="D1595" s="125" t="str">
        <f t="shared" si="170"/>
        <v>LIC316.2</v>
      </c>
      <c r="E1595" s="125" t="str">
        <f t="shared" si="171"/>
        <v>LIC316.3</v>
      </c>
      <c r="F1595" s="158" t="str">
        <f>+VLOOKUP(H1595,'code mapping'!A:C,3,0)</f>
        <v>LIC31</v>
      </c>
      <c r="G1595" s="127" t="s">
        <v>453</v>
      </c>
      <c r="H1595" s="127" t="s">
        <v>700</v>
      </c>
      <c r="I1595" s="127" t="s">
        <v>56</v>
      </c>
      <c r="J1595" s="128">
        <v>550000</v>
      </c>
      <c r="K1595" s="127" t="s">
        <v>550</v>
      </c>
      <c r="L1595" s="151">
        <v>553131</v>
      </c>
      <c r="M1595" s="128">
        <v>0</v>
      </c>
      <c r="N1595" s="127" t="s">
        <v>555</v>
      </c>
      <c r="O1595" s="127" t="s">
        <v>457</v>
      </c>
      <c r="P1595" s="128">
        <v>-10894.71</v>
      </c>
      <c r="Q1595" s="128">
        <v>0</v>
      </c>
      <c r="R1595" s="128">
        <v>0</v>
      </c>
      <c r="S1595" s="128">
        <v>0</v>
      </c>
      <c r="T1595" s="128">
        <v>-10894.71</v>
      </c>
      <c r="U1595" s="128">
        <v>0</v>
      </c>
      <c r="V1595" s="128">
        <v>-10894.71</v>
      </c>
      <c r="W1595" s="128">
        <v>0</v>
      </c>
      <c r="X1595" s="128">
        <v>0</v>
      </c>
      <c r="Y1595" s="128">
        <v>0</v>
      </c>
      <c r="Z1595" s="128">
        <v>-10894.71</v>
      </c>
      <c r="AA1595" s="128">
        <v>0</v>
      </c>
      <c r="AB1595" s="126">
        <f t="shared" si="172"/>
        <v>1.0894709999999998E-3</v>
      </c>
      <c r="AC1595" s="122" t="s">
        <v>1838</v>
      </c>
      <c r="AD1595" s="123">
        <f t="shared" si="168"/>
        <v>3.077724421000001</v>
      </c>
    </row>
    <row r="1596" spans="1:30" ht="12.75" hidden="1" customHeight="1">
      <c r="A1596" s="125" t="str">
        <f t="shared" si="169"/>
        <v>LIC31Bank Charges</v>
      </c>
      <c r="B1596" s="125">
        <f>+IFERROR(VLOOKUP(L1596,'TB mapping'!A:D,4,0),0)</f>
        <v>0</v>
      </c>
      <c r="C1596" s="125">
        <f>+IFERROR(VLOOKUP(L1596,'TB mapping'!A:C,3,0),0)</f>
        <v>6.3</v>
      </c>
      <c r="D1596" s="125" t="str">
        <f t="shared" si="170"/>
        <v>LIC310</v>
      </c>
      <c r="E1596" s="125" t="str">
        <f t="shared" si="171"/>
        <v>LIC316.3</v>
      </c>
      <c r="F1596" s="158" t="str">
        <f>+VLOOKUP(H1596,'code mapping'!A:C,3,0)</f>
        <v>LIC31</v>
      </c>
      <c r="G1596" s="127" t="s">
        <v>453</v>
      </c>
      <c r="H1596" s="127" t="s">
        <v>700</v>
      </c>
      <c r="I1596" s="127" t="s">
        <v>56</v>
      </c>
      <c r="J1596" s="128">
        <v>550000</v>
      </c>
      <c r="K1596" s="127" t="s">
        <v>550</v>
      </c>
      <c r="L1596" s="151">
        <v>553141</v>
      </c>
      <c r="M1596" s="128">
        <v>0</v>
      </c>
      <c r="N1596" s="127" t="s">
        <v>556</v>
      </c>
      <c r="O1596" s="127" t="s">
        <v>457</v>
      </c>
      <c r="P1596" s="128">
        <v>-10409.969999999999</v>
      </c>
      <c r="Q1596" s="128">
        <v>0</v>
      </c>
      <c r="R1596" s="128">
        <v>0</v>
      </c>
      <c r="S1596" s="128">
        <v>0</v>
      </c>
      <c r="T1596" s="128">
        <v>-10409.969999999999</v>
      </c>
      <c r="U1596" s="128">
        <v>0</v>
      </c>
      <c r="V1596" s="128">
        <v>-10409.969999999999</v>
      </c>
      <c r="W1596" s="128">
        <v>0</v>
      </c>
      <c r="X1596" s="128">
        <v>0</v>
      </c>
      <c r="Y1596" s="128">
        <v>0</v>
      </c>
      <c r="Z1596" s="128">
        <v>-10409.969999999999</v>
      </c>
      <c r="AA1596" s="128">
        <v>0</v>
      </c>
      <c r="AB1596" s="126">
        <f t="shared" si="172"/>
        <v>1.0409969999999999E-3</v>
      </c>
      <c r="AC1596" s="122" t="s">
        <v>1838</v>
      </c>
      <c r="AD1596" s="123">
        <f t="shared" si="168"/>
        <v>3.077724421000001</v>
      </c>
    </row>
    <row r="1597" spans="1:30" ht="12.75" hidden="1" customHeight="1">
      <c r="A1597" s="125" t="str">
        <f t="shared" si="169"/>
        <v>LIC31Marketing Fees</v>
      </c>
      <c r="B1597" s="125">
        <f>+IFERROR(VLOOKUP(L1597,'TB mapping'!A:D,4,0),0)</f>
        <v>0</v>
      </c>
      <c r="C1597" s="125">
        <f>+IFERROR(VLOOKUP(L1597,'TB mapping'!A:C,3,0),0)</f>
        <v>6.3</v>
      </c>
      <c r="D1597" s="125" t="str">
        <f t="shared" si="170"/>
        <v>LIC310</v>
      </c>
      <c r="E1597" s="125" t="str">
        <f t="shared" si="171"/>
        <v>LIC316.3</v>
      </c>
      <c r="F1597" s="158" t="str">
        <f>+VLOOKUP(H1597,'code mapping'!A:C,3,0)</f>
        <v>LIC31</v>
      </c>
      <c r="G1597" s="127" t="s">
        <v>453</v>
      </c>
      <c r="H1597" s="127" t="s">
        <v>700</v>
      </c>
      <c r="I1597" s="127" t="s">
        <v>56</v>
      </c>
      <c r="J1597" s="128">
        <v>550000</v>
      </c>
      <c r="K1597" s="127" t="s">
        <v>550</v>
      </c>
      <c r="L1597" s="151">
        <v>553147</v>
      </c>
      <c r="M1597" s="128">
        <v>0</v>
      </c>
      <c r="N1597" s="127" t="s">
        <v>712</v>
      </c>
      <c r="O1597" s="127" t="s">
        <v>457</v>
      </c>
      <c r="P1597" s="128">
        <v>-11157</v>
      </c>
      <c r="Q1597" s="128">
        <v>0</v>
      </c>
      <c r="R1597" s="128">
        <v>0</v>
      </c>
      <c r="S1597" s="128">
        <v>0</v>
      </c>
      <c r="T1597" s="128">
        <v>-11157</v>
      </c>
      <c r="U1597" s="128">
        <v>0</v>
      </c>
      <c r="V1597" s="128">
        <v>-11157</v>
      </c>
      <c r="W1597" s="128">
        <v>0</v>
      </c>
      <c r="X1597" s="128">
        <v>0</v>
      </c>
      <c r="Y1597" s="128">
        <v>0</v>
      </c>
      <c r="Z1597" s="128">
        <v>-11157</v>
      </c>
      <c r="AA1597" s="128">
        <v>0</v>
      </c>
      <c r="AB1597" s="126">
        <f t="shared" si="172"/>
        <v>1.1157000000000001E-3</v>
      </c>
      <c r="AC1597" s="122" t="s">
        <v>1838</v>
      </c>
      <c r="AD1597" s="123">
        <f t="shared" ref="AD1597:AD1628" si="173">SUMIF(E:E,E1597,AB:AB)</f>
        <v>3.077724421000001</v>
      </c>
    </row>
    <row r="1598" spans="1:30" ht="12.75" hidden="1" customHeight="1">
      <c r="A1598" s="125" t="str">
        <f t="shared" si="169"/>
        <v>LIC31Investor Education Fund Exps</v>
      </c>
      <c r="B1598" s="125">
        <f>+IFERROR(VLOOKUP(L1598,'TB mapping'!A:D,4,0),0)</f>
        <v>0</v>
      </c>
      <c r="C1598" s="125">
        <f>+IFERROR(VLOOKUP(L1598,'TB mapping'!A:C,3,0),0)</f>
        <v>6.3</v>
      </c>
      <c r="D1598" s="125" t="str">
        <f t="shared" si="170"/>
        <v>LIC310</v>
      </c>
      <c r="E1598" s="125" t="str">
        <f t="shared" si="171"/>
        <v>LIC316.3</v>
      </c>
      <c r="F1598" s="158" t="str">
        <f>+VLOOKUP(H1598,'code mapping'!A:C,3,0)</f>
        <v>LIC31</v>
      </c>
      <c r="G1598" s="127" t="s">
        <v>453</v>
      </c>
      <c r="H1598" s="127" t="s">
        <v>700</v>
      </c>
      <c r="I1598" s="127" t="s">
        <v>56</v>
      </c>
      <c r="J1598" s="128">
        <v>550000</v>
      </c>
      <c r="K1598" s="127" t="s">
        <v>550</v>
      </c>
      <c r="L1598" s="151">
        <v>553171</v>
      </c>
      <c r="M1598" s="128">
        <v>0</v>
      </c>
      <c r="N1598" s="127" t="s">
        <v>557</v>
      </c>
      <c r="O1598" s="127" t="s">
        <v>457</v>
      </c>
      <c r="P1598" s="128">
        <v>-112414.27</v>
      </c>
      <c r="Q1598" s="128">
        <v>0</v>
      </c>
      <c r="R1598" s="128">
        <v>0</v>
      </c>
      <c r="S1598" s="128">
        <v>0</v>
      </c>
      <c r="T1598" s="128">
        <v>-112414.27</v>
      </c>
      <c r="U1598" s="128">
        <v>0</v>
      </c>
      <c r="V1598" s="128">
        <v>-112414.27</v>
      </c>
      <c r="W1598" s="128">
        <v>0</v>
      </c>
      <c r="X1598" s="128">
        <v>0</v>
      </c>
      <c r="Y1598" s="128">
        <v>0</v>
      </c>
      <c r="Z1598" s="128">
        <v>-112414.27</v>
      </c>
      <c r="AA1598" s="128">
        <v>0</v>
      </c>
      <c r="AB1598" s="126">
        <f t="shared" si="172"/>
        <v>1.1241427E-2</v>
      </c>
      <c r="AC1598" s="122" t="s">
        <v>1838</v>
      </c>
      <c r="AD1598" s="123">
        <f t="shared" si="173"/>
        <v>3.077724421000001</v>
      </c>
    </row>
    <row r="1599" spans="1:30" ht="12.75" hidden="1" customHeight="1">
      <c r="A1599" s="125" t="str">
        <f t="shared" si="169"/>
        <v>LIC31Service Tax on Management Fees</v>
      </c>
      <c r="B1599" s="125">
        <f>+IFERROR(VLOOKUP(L1599,'TB mapping'!A:D,4,0),0)</f>
        <v>6.1</v>
      </c>
      <c r="C1599" s="125">
        <f>+IFERROR(VLOOKUP(L1599,'TB mapping'!A:C,3,0),0)</f>
        <v>6.3</v>
      </c>
      <c r="D1599" s="125" t="str">
        <f t="shared" si="170"/>
        <v>LIC316.1</v>
      </c>
      <c r="E1599" s="125" t="str">
        <f t="shared" si="171"/>
        <v>LIC316.3</v>
      </c>
      <c r="F1599" s="158" t="str">
        <f>+VLOOKUP(H1599,'code mapping'!A:C,3,0)</f>
        <v>LIC31</v>
      </c>
      <c r="G1599" s="127" t="s">
        <v>453</v>
      </c>
      <c r="H1599" s="127" t="s">
        <v>700</v>
      </c>
      <c r="I1599" s="127" t="s">
        <v>56</v>
      </c>
      <c r="J1599" s="128">
        <v>550000</v>
      </c>
      <c r="K1599" s="127" t="s">
        <v>550</v>
      </c>
      <c r="L1599" s="151">
        <v>553172</v>
      </c>
      <c r="M1599" s="128">
        <v>0</v>
      </c>
      <c r="N1599" s="127" t="s">
        <v>558</v>
      </c>
      <c r="O1599" s="127" t="s">
        <v>457</v>
      </c>
      <c r="P1599" s="128">
        <v>-652917.63</v>
      </c>
      <c r="Q1599" s="128">
        <v>0</v>
      </c>
      <c r="R1599" s="128">
        <v>0</v>
      </c>
      <c r="S1599" s="128">
        <v>0</v>
      </c>
      <c r="T1599" s="128">
        <v>-652917.63</v>
      </c>
      <c r="U1599" s="128">
        <v>0</v>
      </c>
      <c r="V1599" s="128">
        <v>-652917.63</v>
      </c>
      <c r="W1599" s="128">
        <v>0</v>
      </c>
      <c r="X1599" s="128">
        <v>0</v>
      </c>
      <c r="Y1599" s="128">
        <v>0</v>
      </c>
      <c r="Z1599" s="128">
        <v>-652917.63</v>
      </c>
      <c r="AA1599" s="128">
        <v>0</v>
      </c>
      <c r="AB1599" s="126">
        <f t="shared" si="172"/>
        <v>6.5291763000000003E-2</v>
      </c>
      <c r="AC1599" s="122" t="s">
        <v>1838</v>
      </c>
      <c r="AD1599" s="123">
        <f t="shared" si="173"/>
        <v>3.077724421000001</v>
      </c>
    </row>
    <row r="1600" spans="1:30" ht="12.75" hidden="1" customHeight="1">
      <c r="A1600" s="125" t="str">
        <f t="shared" si="169"/>
        <v>LIC31CCIL Expenses</v>
      </c>
      <c r="B1600" s="125">
        <f>+IFERROR(VLOOKUP(L1600,'TB mapping'!A:D,4,0),0)</f>
        <v>0</v>
      </c>
      <c r="C1600" s="125">
        <f>+IFERROR(VLOOKUP(L1600,'TB mapping'!A:C,3,0),0)</f>
        <v>6.3</v>
      </c>
      <c r="D1600" s="125" t="str">
        <f t="shared" si="170"/>
        <v>LIC310</v>
      </c>
      <c r="E1600" s="125" t="str">
        <f t="shared" si="171"/>
        <v>LIC316.3</v>
      </c>
      <c r="F1600" s="158" t="str">
        <f>+VLOOKUP(H1600,'code mapping'!A:C,3,0)</f>
        <v>LIC31</v>
      </c>
      <c r="G1600" s="127" t="s">
        <v>453</v>
      </c>
      <c r="H1600" s="127" t="s">
        <v>700</v>
      </c>
      <c r="I1600" s="127" t="s">
        <v>56</v>
      </c>
      <c r="J1600" s="128">
        <v>550000</v>
      </c>
      <c r="K1600" s="127" t="s">
        <v>550</v>
      </c>
      <c r="L1600" s="151">
        <v>553176</v>
      </c>
      <c r="M1600" s="128">
        <v>0</v>
      </c>
      <c r="N1600" s="127" t="s">
        <v>559</v>
      </c>
      <c r="O1600" s="127" t="s">
        <v>457</v>
      </c>
      <c r="P1600" s="128">
        <v>-41081.340000000004</v>
      </c>
      <c r="Q1600" s="128">
        <v>0</v>
      </c>
      <c r="R1600" s="128">
        <v>0</v>
      </c>
      <c r="S1600" s="128">
        <v>0</v>
      </c>
      <c r="T1600" s="128">
        <v>-41081.340000000004</v>
      </c>
      <c r="U1600" s="128">
        <v>0</v>
      </c>
      <c r="V1600" s="128">
        <v>-41081.340000000004</v>
      </c>
      <c r="W1600" s="128">
        <v>0</v>
      </c>
      <c r="X1600" s="128">
        <v>0</v>
      </c>
      <c r="Y1600" s="128">
        <v>0</v>
      </c>
      <c r="Z1600" s="128">
        <v>-41081.340000000004</v>
      </c>
      <c r="AA1600" s="128">
        <v>0</v>
      </c>
      <c r="AB1600" s="126">
        <f t="shared" si="172"/>
        <v>4.1081340000000003E-3</v>
      </c>
      <c r="AC1600" s="122" t="s">
        <v>1838</v>
      </c>
      <c r="AD1600" s="123">
        <f t="shared" si="173"/>
        <v>3.077724421000001</v>
      </c>
    </row>
    <row r="1601" spans="1:30" ht="12.75" hidden="1" customHeight="1">
      <c r="A1601" s="125" t="str">
        <f t="shared" si="169"/>
        <v>LIC31Out of Pocket Expenses - R&amp;T</v>
      </c>
      <c r="B1601" s="125">
        <f>+IFERROR(VLOOKUP(L1601,'TB mapping'!A:D,4,0),0)</f>
        <v>0</v>
      </c>
      <c r="C1601" s="125">
        <f>+IFERROR(VLOOKUP(L1601,'TB mapping'!A:C,3,0),0)</f>
        <v>6.3</v>
      </c>
      <c r="D1601" s="125" t="str">
        <f t="shared" si="170"/>
        <v>LIC310</v>
      </c>
      <c r="E1601" s="125" t="str">
        <f t="shared" si="171"/>
        <v>LIC316.3</v>
      </c>
      <c r="F1601" s="158" t="str">
        <f>+VLOOKUP(H1601,'code mapping'!A:C,3,0)</f>
        <v>LIC31</v>
      </c>
      <c r="G1601" s="127" t="s">
        <v>453</v>
      </c>
      <c r="H1601" s="127" t="s">
        <v>700</v>
      </c>
      <c r="I1601" s="127" t="s">
        <v>56</v>
      </c>
      <c r="J1601" s="128">
        <v>550000</v>
      </c>
      <c r="K1601" s="127" t="s">
        <v>550</v>
      </c>
      <c r="L1601" s="151">
        <v>553180</v>
      </c>
      <c r="M1601" s="128">
        <v>0</v>
      </c>
      <c r="N1601" s="127" t="s">
        <v>560</v>
      </c>
      <c r="O1601" s="127" t="s">
        <v>457</v>
      </c>
      <c r="P1601" s="128">
        <v>-45874.5</v>
      </c>
      <c r="Q1601" s="128">
        <v>0</v>
      </c>
      <c r="R1601" s="128">
        <v>0</v>
      </c>
      <c r="S1601" s="128">
        <v>0</v>
      </c>
      <c r="T1601" s="128">
        <v>-45874.5</v>
      </c>
      <c r="U1601" s="128">
        <v>0</v>
      </c>
      <c r="V1601" s="128">
        <v>-45874.5</v>
      </c>
      <c r="W1601" s="128">
        <v>0</v>
      </c>
      <c r="X1601" s="128">
        <v>0</v>
      </c>
      <c r="Y1601" s="128">
        <v>0</v>
      </c>
      <c r="Z1601" s="128">
        <v>-45874.5</v>
      </c>
      <c r="AA1601" s="128">
        <v>0</v>
      </c>
      <c r="AB1601" s="126">
        <f t="shared" si="172"/>
        <v>4.5874499999999999E-3</v>
      </c>
      <c r="AC1601" s="122" t="s">
        <v>1838</v>
      </c>
      <c r="AD1601" s="123">
        <f t="shared" si="173"/>
        <v>3.077724421000001</v>
      </c>
    </row>
    <row r="1602" spans="1:30" ht="12.75" hidden="1" customHeight="1">
      <c r="A1602" s="125" t="str">
        <f t="shared" si="169"/>
        <v>LIC31Other Expenses</v>
      </c>
      <c r="B1602" s="125">
        <f>+IFERROR(VLOOKUP(L1602,'TB mapping'!A:D,4,0),0)</f>
        <v>0</v>
      </c>
      <c r="C1602" s="125">
        <f>+IFERROR(VLOOKUP(L1602,'TB mapping'!A:C,3,0),0)</f>
        <v>6.3</v>
      </c>
      <c r="D1602" s="125" t="str">
        <f t="shared" si="170"/>
        <v>LIC310</v>
      </c>
      <c r="E1602" s="125" t="str">
        <f t="shared" si="171"/>
        <v>LIC316.3</v>
      </c>
      <c r="F1602" s="158" t="str">
        <f>+VLOOKUP(H1602,'code mapping'!A:C,3,0)</f>
        <v>LIC31</v>
      </c>
      <c r="G1602" s="127" t="s">
        <v>453</v>
      </c>
      <c r="H1602" s="127" t="s">
        <v>700</v>
      </c>
      <c r="I1602" s="127" t="s">
        <v>56</v>
      </c>
      <c r="J1602" s="128">
        <v>550000</v>
      </c>
      <c r="K1602" s="127" t="s">
        <v>550</v>
      </c>
      <c r="L1602" s="151">
        <v>553190</v>
      </c>
      <c r="M1602" s="128">
        <v>0</v>
      </c>
      <c r="N1602" s="127" t="s">
        <v>561</v>
      </c>
      <c r="O1602" s="127" t="s">
        <v>457</v>
      </c>
      <c r="P1602" s="128">
        <v>0</v>
      </c>
      <c r="Q1602" s="128">
        <v>689520.84</v>
      </c>
      <c r="R1602" s="128">
        <v>0</v>
      </c>
      <c r="S1602" s="128">
        <v>0</v>
      </c>
      <c r="T1602" s="128">
        <v>0</v>
      </c>
      <c r="U1602" s="128">
        <v>689520.84</v>
      </c>
      <c r="V1602" s="128">
        <v>0</v>
      </c>
      <c r="W1602" s="128">
        <v>689520.84</v>
      </c>
      <c r="X1602" s="128">
        <v>0</v>
      </c>
      <c r="Y1602" s="128">
        <v>0</v>
      </c>
      <c r="Z1602" s="128">
        <v>0</v>
      </c>
      <c r="AA1602" s="128">
        <v>689520.84</v>
      </c>
      <c r="AB1602" s="126">
        <f t="shared" si="172"/>
        <v>-6.8952083999999997E-2</v>
      </c>
      <c r="AC1602" s="122" t="s">
        <v>1838</v>
      </c>
      <c r="AD1602" s="123">
        <f t="shared" si="173"/>
        <v>3.077724421000001</v>
      </c>
    </row>
    <row r="1603" spans="1:30" ht="12.75" hidden="1" customHeight="1">
      <c r="A1603" s="125" t="str">
        <f t="shared" si="169"/>
        <v>LIC31Other Expenses-RG</v>
      </c>
      <c r="B1603" s="125">
        <f>+IFERROR(VLOOKUP(L1603,'TB mapping'!A:D,4,0),0)</f>
        <v>0</v>
      </c>
      <c r="C1603" s="125">
        <f>+IFERROR(VLOOKUP(L1603,'TB mapping'!A:C,3,0),0)</f>
        <v>6.3</v>
      </c>
      <c r="D1603" s="125" t="str">
        <f t="shared" si="170"/>
        <v>LIC310</v>
      </c>
      <c r="E1603" s="125" t="str">
        <f t="shared" si="171"/>
        <v>LIC316.3</v>
      </c>
      <c r="F1603" s="158" t="str">
        <f>+VLOOKUP(H1603,'code mapping'!A:C,3,0)</f>
        <v>LIC31</v>
      </c>
      <c r="G1603" s="127" t="s">
        <v>453</v>
      </c>
      <c r="H1603" s="127" t="s">
        <v>700</v>
      </c>
      <c r="I1603" s="127" t="s">
        <v>56</v>
      </c>
      <c r="J1603" s="128">
        <v>550000</v>
      </c>
      <c r="K1603" s="127" t="s">
        <v>550</v>
      </c>
      <c r="L1603" s="151">
        <v>553191</v>
      </c>
      <c r="M1603" s="128">
        <v>0</v>
      </c>
      <c r="N1603" s="127" t="s">
        <v>562</v>
      </c>
      <c r="O1603" s="127" t="s">
        <v>457</v>
      </c>
      <c r="P1603" s="128">
        <v>-1193219.17</v>
      </c>
      <c r="Q1603" s="128">
        <v>0</v>
      </c>
      <c r="R1603" s="128">
        <v>0</v>
      </c>
      <c r="S1603" s="128">
        <v>0</v>
      </c>
      <c r="T1603" s="128">
        <v>-1193219.17</v>
      </c>
      <c r="U1603" s="128">
        <v>0</v>
      </c>
      <c r="V1603" s="128">
        <v>-1193219.17</v>
      </c>
      <c r="W1603" s="128">
        <v>0</v>
      </c>
      <c r="X1603" s="128">
        <v>0</v>
      </c>
      <c r="Y1603" s="128">
        <v>0</v>
      </c>
      <c r="Z1603" s="128">
        <v>-1193219.17</v>
      </c>
      <c r="AA1603" s="128">
        <v>0</v>
      </c>
      <c r="AB1603" s="126">
        <f t="shared" si="172"/>
        <v>0.11932191699999999</v>
      </c>
      <c r="AC1603" s="122" t="s">
        <v>1838</v>
      </c>
      <c r="AD1603" s="123">
        <f t="shared" si="173"/>
        <v>3.077724421000001</v>
      </c>
    </row>
    <row r="1604" spans="1:30" ht="12.75" hidden="1" customHeight="1">
      <c r="A1604" s="125" t="str">
        <f t="shared" si="169"/>
        <v>LIC31Other Exp - Brok - Indirect</v>
      </c>
      <c r="B1604" s="125">
        <f>+IFERROR(VLOOKUP(L1604,'TB mapping'!A:D,4,0),0)</f>
        <v>0</v>
      </c>
      <c r="C1604" s="125">
        <f>+IFERROR(VLOOKUP(L1604,'TB mapping'!A:C,3,0),0)</f>
        <v>6.3</v>
      </c>
      <c r="D1604" s="125" t="str">
        <f t="shared" si="170"/>
        <v>LIC310</v>
      </c>
      <c r="E1604" s="125" t="str">
        <f t="shared" si="171"/>
        <v>LIC316.3</v>
      </c>
      <c r="F1604" s="158" t="str">
        <f>+VLOOKUP(H1604,'code mapping'!A:C,3,0)</f>
        <v>LIC31</v>
      </c>
      <c r="G1604" s="127" t="s">
        <v>453</v>
      </c>
      <c r="H1604" s="127" t="s">
        <v>700</v>
      </c>
      <c r="I1604" s="127" t="s">
        <v>56</v>
      </c>
      <c r="J1604" s="128">
        <v>550000</v>
      </c>
      <c r="K1604" s="127" t="s">
        <v>550</v>
      </c>
      <c r="L1604" s="151">
        <v>553202</v>
      </c>
      <c r="M1604" s="128">
        <v>0</v>
      </c>
      <c r="N1604" s="127" t="s">
        <v>564</v>
      </c>
      <c r="O1604" s="127" t="s">
        <v>457</v>
      </c>
      <c r="P1604" s="128">
        <v>-2709666.62</v>
      </c>
      <c r="Q1604" s="128">
        <v>0</v>
      </c>
      <c r="R1604" s="128">
        <v>0</v>
      </c>
      <c r="S1604" s="128">
        <v>0</v>
      </c>
      <c r="T1604" s="128">
        <v>-2709666.62</v>
      </c>
      <c r="U1604" s="128">
        <v>0</v>
      </c>
      <c r="V1604" s="128">
        <v>-2709666.62</v>
      </c>
      <c r="W1604" s="128">
        <v>0</v>
      </c>
      <c r="X1604" s="128">
        <v>0</v>
      </c>
      <c r="Y1604" s="128">
        <v>0</v>
      </c>
      <c r="Z1604" s="128">
        <v>-2709666.62</v>
      </c>
      <c r="AA1604" s="128">
        <v>0</v>
      </c>
      <c r="AB1604" s="126">
        <f t="shared" si="172"/>
        <v>0.27096666200000002</v>
      </c>
      <c r="AC1604" s="122" t="s">
        <v>1838</v>
      </c>
      <c r="AD1604" s="123">
        <f t="shared" si="173"/>
        <v>3.077724421000001</v>
      </c>
    </row>
    <row r="1605" spans="1:30" ht="12.75" hidden="1" customHeight="1">
      <c r="A1605" s="125" t="str">
        <f t="shared" si="169"/>
        <v>LIC31Brokerage/Dist Exps</v>
      </c>
      <c r="B1605" s="125">
        <f>+IFERROR(VLOOKUP(L1605,'TB mapping'!A:D,4,0),0)</f>
        <v>0</v>
      </c>
      <c r="C1605" s="125">
        <f>+IFERROR(VLOOKUP(L1605,'TB mapping'!A:C,3,0),0)</f>
        <v>6.3</v>
      </c>
      <c r="D1605" s="125" t="str">
        <f t="shared" si="170"/>
        <v>LIC310</v>
      </c>
      <c r="E1605" s="125" t="str">
        <f t="shared" si="171"/>
        <v>LIC316.3</v>
      </c>
      <c r="F1605" s="158" t="str">
        <f>+VLOOKUP(H1605,'code mapping'!A:C,3,0)</f>
        <v>LIC31</v>
      </c>
      <c r="G1605" s="127" t="s">
        <v>453</v>
      </c>
      <c r="H1605" s="127" t="s">
        <v>700</v>
      </c>
      <c r="I1605" s="127" t="s">
        <v>56</v>
      </c>
      <c r="J1605" s="128">
        <v>550000</v>
      </c>
      <c r="K1605" s="127" t="s">
        <v>550</v>
      </c>
      <c r="L1605" s="151">
        <v>553208</v>
      </c>
      <c r="M1605" s="128">
        <v>0</v>
      </c>
      <c r="N1605" s="127" t="s">
        <v>565</v>
      </c>
      <c r="O1605" s="127" t="s">
        <v>457</v>
      </c>
      <c r="P1605" s="128">
        <v>0</v>
      </c>
      <c r="Q1605" s="128">
        <v>1913616.48</v>
      </c>
      <c r="R1605" s="128">
        <v>0</v>
      </c>
      <c r="S1605" s="128">
        <v>0</v>
      </c>
      <c r="T1605" s="128">
        <v>0</v>
      </c>
      <c r="U1605" s="128">
        <v>1913616.48</v>
      </c>
      <c r="V1605" s="128">
        <v>0</v>
      </c>
      <c r="W1605" s="128">
        <v>1913616.48</v>
      </c>
      <c r="X1605" s="128">
        <v>0</v>
      </c>
      <c r="Y1605" s="128">
        <v>0</v>
      </c>
      <c r="Z1605" s="128">
        <v>0</v>
      </c>
      <c r="AA1605" s="128">
        <v>1913616.48</v>
      </c>
      <c r="AB1605" s="126">
        <f t="shared" si="172"/>
        <v>-0.191361648</v>
      </c>
      <c r="AC1605" s="122" t="s">
        <v>1838</v>
      </c>
      <c r="AD1605" s="123">
        <f t="shared" si="173"/>
        <v>3.077724421000001</v>
      </c>
    </row>
    <row r="1606" spans="1:30" ht="12.75" hidden="1" customHeight="1">
      <c r="A1606" s="125" t="str">
        <f t="shared" si="169"/>
        <v>LIC31Internal Audit Fee</v>
      </c>
      <c r="B1606" s="125">
        <f>+IFERROR(VLOOKUP(L1606,'TB mapping'!A:D,4,0),0)</f>
        <v>0</v>
      </c>
      <c r="C1606" s="125">
        <f>+IFERROR(VLOOKUP(L1606,'TB mapping'!A:C,3,0),0)</f>
        <v>6.3</v>
      </c>
      <c r="D1606" s="125" t="str">
        <f t="shared" si="170"/>
        <v>LIC310</v>
      </c>
      <c r="E1606" s="125" t="str">
        <f t="shared" si="171"/>
        <v>LIC316.3</v>
      </c>
      <c r="F1606" s="158" t="str">
        <f>+VLOOKUP(H1606,'code mapping'!A:C,3,0)</f>
        <v>LIC31</v>
      </c>
      <c r="G1606" s="127" t="s">
        <v>453</v>
      </c>
      <c r="H1606" s="127" t="s">
        <v>700</v>
      </c>
      <c r="I1606" s="127" t="s">
        <v>56</v>
      </c>
      <c r="J1606" s="128">
        <v>550000</v>
      </c>
      <c r="K1606" s="127" t="s">
        <v>550</v>
      </c>
      <c r="L1606" s="151">
        <v>553213</v>
      </c>
      <c r="M1606" s="128">
        <v>0</v>
      </c>
      <c r="N1606" s="127" t="s">
        <v>566</v>
      </c>
      <c r="O1606" s="127" t="s">
        <v>457</v>
      </c>
      <c r="P1606" s="128">
        <v>-17598.43</v>
      </c>
      <c r="Q1606" s="128">
        <v>0</v>
      </c>
      <c r="R1606" s="128">
        <v>0</v>
      </c>
      <c r="S1606" s="128">
        <v>0</v>
      </c>
      <c r="T1606" s="128">
        <v>-17598.43</v>
      </c>
      <c r="U1606" s="128">
        <v>0</v>
      </c>
      <c r="V1606" s="128">
        <v>-17598.43</v>
      </c>
      <c r="W1606" s="128">
        <v>0</v>
      </c>
      <c r="X1606" s="128">
        <v>0</v>
      </c>
      <c r="Y1606" s="128">
        <v>0</v>
      </c>
      <c r="Z1606" s="128">
        <v>-17598.43</v>
      </c>
      <c r="AA1606" s="128">
        <v>0</v>
      </c>
      <c r="AB1606" s="126">
        <f t="shared" si="172"/>
        <v>1.7598430000000001E-3</v>
      </c>
      <c r="AC1606" s="122" t="s">
        <v>1838</v>
      </c>
      <c r="AD1606" s="123">
        <f t="shared" si="173"/>
        <v>3.077724421000001</v>
      </c>
    </row>
    <row r="1607" spans="1:30" ht="12.75" hidden="1" customHeight="1">
      <c r="A1607" s="125" t="str">
        <f t="shared" si="169"/>
        <v>LIC31Other Expenses - RMD</v>
      </c>
      <c r="B1607" s="125">
        <f>+IFERROR(VLOOKUP(L1607,'TB mapping'!A:D,4,0),0)</f>
        <v>0</v>
      </c>
      <c r="C1607" s="125">
        <f>+IFERROR(VLOOKUP(L1607,'TB mapping'!A:C,3,0),0)</f>
        <v>6.3</v>
      </c>
      <c r="D1607" s="125" t="str">
        <f t="shared" si="170"/>
        <v>LIC310</v>
      </c>
      <c r="E1607" s="125" t="str">
        <f t="shared" si="171"/>
        <v>LIC316.3</v>
      </c>
      <c r="F1607" s="158" t="str">
        <f>+VLOOKUP(H1607,'code mapping'!A:C,3,0)</f>
        <v>LIC31</v>
      </c>
      <c r="G1607" s="127" t="s">
        <v>453</v>
      </c>
      <c r="H1607" s="127" t="s">
        <v>700</v>
      </c>
      <c r="I1607" s="127" t="s">
        <v>56</v>
      </c>
      <c r="J1607" s="128">
        <v>550000</v>
      </c>
      <c r="K1607" s="127" t="s">
        <v>550</v>
      </c>
      <c r="L1607" s="151">
        <v>553271</v>
      </c>
      <c r="M1607" s="128">
        <v>0</v>
      </c>
      <c r="N1607" s="127" t="s">
        <v>678</v>
      </c>
      <c r="O1607" s="127" t="s">
        <v>457</v>
      </c>
      <c r="P1607" s="128">
        <v>-112719.29</v>
      </c>
      <c r="Q1607" s="128">
        <v>0</v>
      </c>
      <c r="R1607" s="128">
        <v>0</v>
      </c>
      <c r="S1607" s="128">
        <v>0</v>
      </c>
      <c r="T1607" s="128">
        <v>-112719.29</v>
      </c>
      <c r="U1607" s="128">
        <v>0</v>
      </c>
      <c r="V1607" s="128">
        <v>-112719.29</v>
      </c>
      <c r="W1607" s="128">
        <v>0</v>
      </c>
      <c r="X1607" s="128">
        <v>0</v>
      </c>
      <c r="Y1607" s="128">
        <v>0</v>
      </c>
      <c r="Z1607" s="128">
        <v>-112719.29</v>
      </c>
      <c r="AA1607" s="128">
        <v>0</v>
      </c>
      <c r="AB1607" s="126">
        <f t="shared" si="172"/>
        <v>1.1271929E-2</v>
      </c>
      <c r="AC1607" s="122" t="s">
        <v>1838</v>
      </c>
      <c r="AD1607" s="123">
        <f t="shared" si="173"/>
        <v>3.077724421000001</v>
      </c>
    </row>
    <row r="1608" spans="1:30" ht="12.75" hidden="1" customHeight="1">
      <c r="A1608" s="125" t="str">
        <f t="shared" si="169"/>
        <v>LIC31Other Expenses - RQD</v>
      </c>
      <c r="B1608" s="125">
        <f>+IFERROR(VLOOKUP(L1608,'TB mapping'!A:D,4,0),0)</f>
        <v>0</v>
      </c>
      <c r="C1608" s="125">
        <f>+IFERROR(VLOOKUP(L1608,'TB mapping'!A:C,3,0),0)</f>
        <v>6.3</v>
      </c>
      <c r="D1608" s="125" t="str">
        <f t="shared" si="170"/>
        <v>LIC310</v>
      </c>
      <c r="E1608" s="125" t="str">
        <f t="shared" si="171"/>
        <v>LIC316.3</v>
      </c>
      <c r="F1608" s="158" t="str">
        <f>+VLOOKUP(H1608,'code mapping'!A:C,3,0)</f>
        <v>LIC31</v>
      </c>
      <c r="G1608" s="127" t="s">
        <v>453</v>
      </c>
      <c r="H1608" s="127" t="s">
        <v>700</v>
      </c>
      <c r="I1608" s="127" t="s">
        <v>56</v>
      </c>
      <c r="J1608" s="128">
        <v>550000</v>
      </c>
      <c r="K1608" s="127" t="s">
        <v>550</v>
      </c>
      <c r="L1608" s="151">
        <v>553272</v>
      </c>
      <c r="M1608" s="128">
        <v>0</v>
      </c>
      <c r="N1608" s="127" t="s">
        <v>713</v>
      </c>
      <c r="O1608" s="127" t="s">
        <v>457</v>
      </c>
      <c r="P1608" s="128">
        <v>-35588.120000000003</v>
      </c>
      <c r="Q1608" s="128">
        <v>0</v>
      </c>
      <c r="R1608" s="128">
        <v>0</v>
      </c>
      <c r="S1608" s="128">
        <v>0</v>
      </c>
      <c r="T1608" s="128">
        <v>-35588.120000000003</v>
      </c>
      <c r="U1608" s="128">
        <v>0</v>
      </c>
      <c r="V1608" s="128">
        <v>-35588.120000000003</v>
      </c>
      <c r="W1608" s="128">
        <v>0</v>
      </c>
      <c r="X1608" s="128">
        <v>0</v>
      </c>
      <c r="Y1608" s="128">
        <v>0</v>
      </c>
      <c r="Z1608" s="128">
        <v>-35588.120000000003</v>
      </c>
      <c r="AA1608" s="128">
        <v>0</v>
      </c>
      <c r="AB1608" s="126">
        <f t="shared" si="172"/>
        <v>3.5588120000000002E-3</v>
      </c>
      <c r="AC1608" s="122" t="s">
        <v>1838</v>
      </c>
      <c r="AD1608" s="123">
        <f t="shared" si="173"/>
        <v>3.077724421000001</v>
      </c>
    </row>
    <row r="1609" spans="1:30" ht="12.75" hidden="1" customHeight="1">
      <c r="A1609" s="125" t="str">
        <f t="shared" si="169"/>
        <v>LIC31Other Expenses-GDP</v>
      </c>
      <c r="B1609" s="125">
        <f>+IFERROR(VLOOKUP(L1609,'TB mapping'!A:D,4,0),0)</f>
        <v>0</v>
      </c>
      <c r="C1609" s="125">
        <f>+IFERROR(VLOOKUP(L1609,'TB mapping'!A:C,3,0),0)</f>
        <v>6.3</v>
      </c>
      <c r="D1609" s="125" t="str">
        <f t="shared" si="170"/>
        <v>LIC310</v>
      </c>
      <c r="E1609" s="125" t="str">
        <f t="shared" si="171"/>
        <v>LIC316.3</v>
      </c>
      <c r="F1609" s="158" t="str">
        <f>+VLOOKUP(H1609,'code mapping'!A:C,3,0)</f>
        <v>LIC31</v>
      </c>
      <c r="G1609" s="127" t="s">
        <v>453</v>
      </c>
      <c r="H1609" s="127" t="s">
        <v>700</v>
      </c>
      <c r="I1609" s="127" t="s">
        <v>56</v>
      </c>
      <c r="J1609" s="128">
        <v>550000</v>
      </c>
      <c r="K1609" s="127" t="s">
        <v>550</v>
      </c>
      <c r="L1609" s="151">
        <v>553329</v>
      </c>
      <c r="M1609" s="128">
        <v>0</v>
      </c>
      <c r="N1609" s="127" t="s">
        <v>567</v>
      </c>
      <c r="O1609" s="127" t="s">
        <v>457</v>
      </c>
      <c r="P1609" s="128">
        <v>-105645.87</v>
      </c>
      <c r="Q1609" s="128">
        <v>0</v>
      </c>
      <c r="R1609" s="128">
        <v>0</v>
      </c>
      <c r="S1609" s="128">
        <v>0</v>
      </c>
      <c r="T1609" s="128">
        <v>-105645.87</v>
      </c>
      <c r="U1609" s="128">
        <v>0</v>
      </c>
      <c r="V1609" s="128">
        <v>-105645.87</v>
      </c>
      <c r="W1609" s="128">
        <v>0</v>
      </c>
      <c r="X1609" s="128">
        <v>0</v>
      </c>
      <c r="Y1609" s="128">
        <v>0</v>
      </c>
      <c r="Z1609" s="128">
        <v>-105645.87</v>
      </c>
      <c r="AA1609" s="128">
        <v>0</v>
      </c>
      <c r="AB1609" s="126">
        <f t="shared" si="172"/>
        <v>1.0564587E-2</v>
      </c>
      <c r="AC1609" s="122" t="s">
        <v>1838</v>
      </c>
      <c r="AD1609" s="123">
        <f t="shared" si="173"/>
        <v>3.077724421000001</v>
      </c>
    </row>
    <row r="1610" spans="1:30" ht="12.75" hidden="1" customHeight="1">
      <c r="A1610" s="125" t="str">
        <f t="shared" si="169"/>
        <v>LIC31Other Expenses-MDP</v>
      </c>
      <c r="B1610" s="125">
        <f>+IFERROR(VLOOKUP(L1610,'TB mapping'!A:D,4,0),0)</f>
        <v>0</v>
      </c>
      <c r="C1610" s="125">
        <f>+IFERROR(VLOOKUP(L1610,'TB mapping'!A:C,3,0),0)</f>
        <v>6.3</v>
      </c>
      <c r="D1610" s="125" t="str">
        <f t="shared" si="170"/>
        <v>LIC310</v>
      </c>
      <c r="E1610" s="125" t="str">
        <f t="shared" si="171"/>
        <v>LIC316.3</v>
      </c>
      <c r="F1610" s="158" t="str">
        <f>+VLOOKUP(H1610,'code mapping'!A:C,3,0)</f>
        <v>LIC31</v>
      </c>
      <c r="G1610" s="127" t="s">
        <v>453</v>
      </c>
      <c r="H1610" s="127" t="s">
        <v>700</v>
      </c>
      <c r="I1610" s="127" t="s">
        <v>56</v>
      </c>
      <c r="J1610" s="128">
        <v>550000</v>
      </c>
      <c r="K1610" s="127" t="s">
        <v>550</v>
      </c>
      <c r="L1610" s="151">
        <v>553332</v>
      </c>
      <c r="M1610" s="128">
        <v>0</v>
      </c>
      <c r="N1610" s="127" t="s">
        <v>679</v>
      </c>
      <c r="O1610" s="127" t="s">
        <v>457</v>
      </c>
      <c r="P1610" s="128">
        <v>-2428.4900000000002</v>
      </c>
      <c r="Q1610" s="128">
        <v>0</v>
      </c>
      <c r="R1610" s="128">
        <v>0</v>
      </c>
      <c r="S1610" s="128">
        <v>0</v>
      </c>
      <c r="T1610" s="128">
        <v>-2428.4900000000002</v>
      </c>
      <c r="U1610" s="128">
        <v>0</v>
      </c>
      <c r="V1610" s="128">
        <v>-2428.4900000000002</v>
      </c>
      <c r="W1610" s="128">
        <v>0</v>
      </c>
      <c r="X1610" s="128">
        <v>0</v>
      </c>
      <c r="Y1610" s="128">
        <v>0</v>
      </c>
      <c r="Z1610" s="128">
        <v>-2428.4900000000002</v>
      </c>
      <c r="AA1610" s="128">
        <v>0</v>
      </c>
      <c r="AB1610" s="126">
        <f t="shared" si="172"/>
        <v>2.4284900000000003E-4</v>
      </c>
      <c r="AC1610" s="122" t="s">
        <v>1838</v>
      </c>
      <c r="AD1610" s="123">
        <f t="shared" si="173"/>
        <v>3.077724421000001</v>
      </c>
    </row>
    <row r="1611" spans="1:30" ht="12.75" hidden="1" customHeight="1">
      <c r="A1611" s="125" t="str">
        <f t="shared" si="169"/>
        <v>LIC31Other Expenses-QDP</v>
      </c>
      <c r="B1611" s="125">
        <f>+IFERROR(VLOOKUP(L1611,'TB mapping'!A:D,4,0),0)</f>
        <v>0</v>
      </c>
      <c r="C1611" s="125">
        <f>+IFERROR(VLOOKUP(L1611,'TB mapping'!A:C,3,0),0)</f>
        <v>6.3</v>
      </c>
      <c r="D1611" s="125" t="str">
        <f t="shared" si="170"/>
        <v>LIC310</v>
      </c>
      <c r="E1611" s="125" t="str">
        <f t="shared" si="171"/>
        <v>LIC316.3</v>
      </c>
      <c r="F1611" s="158" t="str">
        <f>+VLOOKUP(H1611,'code mapping'!A:C,3,0)</f>
        <v>LIC31</v>
      </c>
      <c r="G1611" s="127" t="s">
        <v>453</v>
      </c>
      <c r="H1611" s="127" t="s">
        <v>700</v>
      </c>
      <c r="I1611" s="127" t="s">
        <v>56</v>
      </c>
      <c r="J1611" s="128">
        <v>550000</v>
      </c>
      <c r="K1611" s="127" t="s">
        <v>550</v>
      </c>
      <c r="L1611" s="151">
        <v>553333</v>
      </c>
      <c r="M1611" s="128">
        <v>0</v>
      </c>
      <c r="N1611" s="127" t="s">
        <v>714</v>
      </c>
      <c r="O1611" s="127" t="s">
        <v>457</v>
      </c>
      <c r="P1611" s="128">
        <v>-5.4</v>
      </c>
      <c r="Q1611" s="128">
        <v>0</v>
      </c>
      <c r="R1611" s="128">
        <v>0</v>
      </c>
      <c r="S1611" s="128">
        <v>0</v>
      </c>
      <c r="T1611" s="128">
        <v>-5.4</v>
      </c>
      <c r="U1611" s="128">
        <v>0</v>
      </c>
      <c r="V1611" s="128">
        <v>-5.4</v>
      </c>
      <c r="W1611" s="128">
        <v>0</v>
      </c>
      <c r="X1611" s="128">
        <v>0</v>
      </c>
      <c r="Y1611" s="128">
        <v>0</v>
      </c>
      <c r="Z1611" s="128">
        <v>-5.4</v>
      </c>
      <c r="AA1611" s="128">
        <v>0</v>
      </c>
      <c r="AB1611" s="126">
        <f t="shared" si="172"/>
        <v>5.4000000000000002E-7</v>
      </c>
      <c r="AC1611" s="122" t="s">
        <v>1838</v>
      </c>
      <c r="AD1611" s="123">
        <f t="shared" si="173"/>
        <v>3.077724421000001</v>
      </c>
    </row>
    <row r="1612" spans="1:30" ht="12.75" hidden="1" customHeight="1">
      <c r="A1612" s="125" t="str">
        <f t="shared" si="169"/>
        <v>LIC31Other Expenses-YDP</v>
      </c>
      <c r="B1612" s="125">
        <f>+IFERROR(VLOOKUP(L1612,'TB mapping'!A:D,4,0),0)</f>
        <v>0</v>
      </c>
      <c r="C1612" s="125">
        <f>+IFERROR(VLOOKUP(L1612,'TB mapping'!A:C,3,0),0)</f>
        <v>6.3</v>
      </c>
      <c r="D1612" s="125" t="str">
        <f t="shared" si="170"/>
        <v>LIC310</v>
      </c>
      <c r="E1612" s="125" t="str">
        <f t="shared" si="171"/>
        <v>LIC316.3</v>
      </c>
      <c r="F1612" s="158" t="str">
        <f>+VLOOKUP(H1612,'code mapping'!A:C,3,0)</f>
        <v>LIC31</v>
      </c>
      <c r="G1612" s="127" t="s">
        <v>453</v>
      </c>
      <c r="H1612" s="127" t="s">
        <v>700</v>
      </c>
      <c r="I1612" s="127" t="s">
        <v>56</v>
      </c>
      <c r="J1612" s="128">
        <v>550000</v>
      </c>
      <c r="K1612" s="127" t="s">
        <v>550</v>
      </c>
      <c r="L1612" s="151">
        <v>553335</v>
      </c>
      <c r="M1612" s="128">
        <v>0</v>
      </c>
      <c r="N1612" s="127" t="s">
        <v>715</v>
      </c>
      <c r="O1612" s="127" t="s">
        <v>457</v>
      </c>
      <c r="P1612" s="128">
        <v>-680.37</v>
      </c>
      <c r="Q1612" s="128">
        <v>0</v>
      </c>
      <c r="R1612" s="128">
        <v>0</v>
      </c>
      <c r="S1612" s="128">
        <v>0</v>
      </c>
      <c r="T1612" s="128">
        <v>-680.37</v>
      </c>
      <c r="U1612" s="128">
        <v>0</v>
      </c>
      <c r="V1612" s="128">
        <v>-680.37</v>
      </c>
      <c r="W1612" s="128">
        <v>0</v>
      </c>
      <c r="X1612" s="128">
        <v>0</v>
      </c>
      <c r="Y1612" s="128">
        <v>0</v>
      </c>
      <c r="Z1612" s="128">
        <v>-680.37</v>
      </c>
      <c r="AA1612" s="128">
        <v>0</v>
      </c>
      <c r="AB1612" s="126">
        <f t="shared" si="172"/>
        <v>6.8036999999999999E-5</v>
      </c>
      <c r="AC1612" s="122" t="s">
        <v>1838</v>
      </c>
      <c r="AD1612" s="123">
        <f t="shared" si="173"/>
        <v>3.077724421000001</v>
      </c>
    </row>
    <row r="1613" spans="1:30" ht="12.75" hidden="1" customHeight="1">
      <c r="A1613" s="125" t="str">
        <f t="shared" si="169"/>
        <v>LIC31Other Fees-Regular Annual Div</v>
      </c>
      <c r="B1613" s="125">
        <f>+IFERROR(VLOOKUP(L1613,'TB mapping'!A:D,4,0),0)</f>
        <v>0</v>
      </c>
      <c r="C1613" s="125">
        <f>+IFERROR(VLOOKUP(L1613,'TB mapping'!A:C,3,0),0)</f>
        <v>6.3</v>
      </c>
      <c r="D1613" s="125" t="str">
        <f t="shared" si="170"/>
        <v>LIC310</v>
      </c>
      <c r="E1613" s="125" t="str">
        <f t="shared" si="171"/>
        <v>LIC316.3</v>
      </c>
      <c r="F1613" s="158" t="str">
        <f>+VLOOKUP(H1613,'code mapping'!A:C,3,0)</f>
        <v>LIC31</v>
      </c>
      <c r="G1613" s="127" t="s">
        <v>453</v>
      </c>
      <c r="H1613" s="127" t="s">
        <v>700</v>
      </c>
      <c r="I1613" s="127" t="s">
        <v>56</v>
      </c>
      <c r="J1613" s="128">
        <v>550000</v>
      </c>
      <c r="K1613" s="127" t="s">
        <v>550</v>
      </c>
      <c r="L1613" s="151">
        <v>553355</v>
      </c>
      <c r="M1613" s="128">
        <v>0</v>
      </c>
      <c r="N1613" s="127" t="s">
        <v>716</v>
      </c>
      <c r="O1613" s="127" t="s">
        <v>457</v>
      </c>
      <c r="P1613" s="128">
        <v>-64120.33</v>
      </c>
      <c r="Q1613" s="128">
        <v>0</v>
      </c>
      <c r="R1613" s="128">
        <v>0</v>
      </c>
      <c r="S1613" s="128">
        <v>0</v>
      </c>
      <c r="T1613" s="128">
        <v>-64120.33</v>
      </c>
      <c r="U1613" s="128">
        <v>0</v>
      </c>
      <c r="V1613" s="128">
        <v>-64120.33</v>
      </c>
      <c r="W1613" s="128">
        <v>0</v>
      </c>
      <c r="X1613" s="128">
        <v>0</v>
      </c>
      <c r="Y1613" s="128">
        <v>0</v>
      </c>
      <c r="Z1613" s="128">
        <v>-64120.33</v>
      </c>
      <c r="AA1613" s="128">
        <v>0</v>
      </c>
      <c r="AB1613" s="126">
        <f t="shared" si="172"/>
        <v>6.4120330000000001E-3</v>
      </c>
      <c r="AC1613" s="122" t="s">
        <v>1838</v>
      </c>
      <c r="AD1613" s="123">
        <f t="shared" si="173"/>
        <v>3.077724421000001</v>
      </c>
    </row>
    <row r="1614" spans="1:30" ht="12.75" hidden="1" customHeight="1">
      <c r="A1614" s="125" t="str">
        <f t="shared" si="169"/>
        <v>LIC31Exp-Additional TER</v>
      </c>
      <c r="B1614" s="125">
        <f>+IFERROR(VLOOKUP(L1614,'TB mapping'!A:D,4,0),0)</f>
        <v>0</v>
      </c>
      <c r="C1614" s="125">
        <f>+IFERROR(VLOOKUP(L1614,'TB mapping'!A:C,3,0),0)</f>
        <v>6.3</v>
      </c>
      <c r="D1614" s="125" t="str">
        <f t="shared" si="170"/>
        <v>LIC310</v>
      </c>
      <c r="E1614" s="125" t="str">
        <f t="shared" si="171"/>
        <v>LIC316.3</v>
      </c>
      <c r="F1614" s="158" t="str">
        <f>+VLOOKUP(H1614,'code mapping'!A:C,3,0)</f>
        <v>LIC31</v>
      </c>
      <c r="G1614" s="127" t="s">
        <v>453</v>
      </c>
      <c r="H1614" s="127" t="s">
        <v>700</v>
      </c>
      <c r="I1614" s="127" t="s">
        <v>56</v>
      </c>
      <c r="J1614" s="128">
        <v>550000</v>
      </c>
      <c r="K1614" s="127" t="s">
        <v>550</v>
      </c>
      <c r="L1614" s="151">
        <v>553900</v>
      </c>
      <c r="M1614" s="128">
        <v>0</v>
      </c>
      <c r="N1614" s="127" t="s">
        <v>638</v>
      </c>
      <c r="O1614" s="127" t="s">
        <v>457</v>
      </c>
      <c r="P1614" s="128">
        <v>-920867.73</v>
      </c>
      <c r="Q1614" s="128">
        <v>0</v>
      </c>
      <c r="R1614" s="128">
        <v>0</v>
      </c>
      <c r="S1614" s="128">
        <v>0</v>
      </c>
      <c r="T1614" s="128">
        <v>-920867.73</v>
      </c>
      <c r="U1614" s="128">
        <v>0</v>
      </c>
      <c r="V1614" s="128">
        <v>-920867.73</v>
      </c>
      <c r="W1614" s="128">
        <v>0</v>
      </c>
      <c r="X1614" s="128">
        <v>0</v>
      </c>
      <c r="Y1614" s="128">
        <v>0</v>
      </c>
      <c r="Z1614" s="128">
        <v>-920867.73</v>
      </c>
      <c r="AA1614" s="128">
        <v>0</v>
      </c>
      <c r="AB1614" s="126">
        <f t="shared" si="172"/>
        <v>9.2086772999999997E-2</v>
      </c>
      <c r="AC1614" s="122" t="s">
        <v>1838</v>
      </c>
      <c r="AD1614" s="123">
        <f t="shared" si="173"/>
        <v>3.077724421000001</v>
      </c>
    </row>
    <row r="1615" spans="1:30" ht="12.75" hidden="1" customHeight="1">
      <c r="A1615" s="125" t="str">
        <f t="shared" si="169"/>
        <v>LIC31Inv Educ Fund Expense - Amfi</v>
      </c>
      <c r="B1615" s="125">
        <f>+IFERROR(VLOOKUP(L1615,'TB mapping'!A:D,4,0),0)</f>
        <v>0</v>
      </c>
      <c r="C1615" s="125">
        <f>+IFERROR(VLOOKUP(L1615,'TB mapping'!A:C,3,0),0)</f>
        <v>6.3</v>
      </c>
      <c r="D1615" s="125" t="str">
        <f t="shared" si="170"/>
        <v>LIC310</v>
      </c>
      <c r="E1615" s="125" t="str">
        <f t="shared" si="171"/>
        <v>LIC316.3</v>
      </c>
      <c r="F1615" s="158" t="str">
        <f>+VLOOKUP(H1615,'code mapping'!A:C,3,0)</f>
        <v>LIC31</v>
      </c>
      <c r="G1615" s="127" t="s">
        <v>453</v>
      </c>
      <c r="H1615" s="127" t="s">
        <v>700</v>
      </c>
      <c r="I1615" s="127" t="s">
        <v>56</v>
      </c>
      <c r="J1615" s="128">
        <v>550000</v>
      </c>
      <c r="K1615" s="127" t="s">
        <v>550</v>
      </c>
      <c r="L1615" s="151">
        <v>554526</v>
      </c>
      <c r="M1615" s="128">
        <v>0</v>
      </c>
      <c r="N1615" s="127" t="s">
        <v>569</v>
      </c>
      <c r="O1615" s="127" t="s">
        <v>457</v>
      </c>
      <c r="P1615" s="128">
        <v>-112414.27</v>
      </c>
      <c r="Q1615" s="128">
        <v>0</v>
      </c>
      <c r="R1615" s="128">
        <v>0</v>
      </c>
      <c r="S1615" s="128">
        <v>0</v>
      </c>
      <c r="T1615" s="128">
        <v>-112414.27</v>
      </c>
      <c r="U1615" s="128">
        <v>0</v>
      </c>
      <c r="V1615" s="128">
        <v>-112414.27</v>
      </c>
      <c r="W1615" s="128">
        <v>0</v>
      </c>
      <c r="X1615" s="128">
        <v>0</v>
      </c>
      <c r="Y1615" s="128">
        <v>0</v>
      </c>
      <c r="Z1615" s="128">
        <v>-112414.27</v>
      </c>
      <c r="AA1615" s="128">
        <v>0</v>
      </c>
      <c r="AB1615" s="126">
        <f t="shared" si="172"/>
        <v>1.1241427E-2</v>
      </c>
      <c r="AC1615" s="122" t="s">
        <v>1838</v>
      </c>
      <c r="AD1615" s="123">
        <f t="shared" si="173"/>
        <v>3.077724421000001</v>
      </c>
    </row>
    <row r="1616" spans="1:30" ht="12.75" hidden="1" customHeight="1">
      <c r="A1616" s="125" t="str">
        <f t="shared" si="169"/>
        <v>LIC31Transaction Processing Charges</v>
      </c>
      <c r="B1616" s="125">
        <f>+IFERROR(VLOOKUP(L1616,'TB mapping'!A:D,4,0),0)</f>
        <v>0</v>
      </c>
      <c r="C1616" s="125">
        <f>+IFERROR(VLOOKUP(L1616,'TB mapping'!A:C,3,0),0)</f>
        <v>6.3</v>
      </c>
      <c r="D1616" s="125" t="str">
        <f t="shared" si="170"/>
        <v>LIC310</v>
      </c>
      <c r="E1616" s="125" t="str">
        <f t="shared" si="171"/>
        <v>LIC316.3</v>
      </c>
      <c r="F1616" s="158" t="str">
        <f>+VLOOKUP(H1616,'code mapping'!A:C,3,0)</f>
        <v>LIC31</v>
      </c>
      <c r="G1616" s="127" t="s">
        <v>453</v>
      </c>
      <c r="H1616" s="127" t="s">
        <v>700</v>
      </c>
      <c r="I1616" s="127" t="s">
        <v>56</v>
      </c>
      <c r="J1616" s="128">
        <v>550000</v>
      </c>
      <c r="K1616" s="127" t="s">
        <v>550</v>
      </c>
      <c r="L1616" s="151">
        <v>554527</v>
      </c>
      <c r="M1616" s="128">
        <v>0</v>
      </c>
      <c r="N1616" s="127" t="s">
        <v>570</v>
      </c>
      <c r="O1616" s="127" t="s">
        <v>457</v>
      </c>
      <c r="P1616" s="128">
        <v>-448</v>
      </c>
      <c r="Q1616" s="128">
        <v>0</v>
      </c>
      <c r="R1616" s="128">
        <v>0</v>
      </c>
      <c r="S1616" s="128">
        <v>0</v>
      </c>
      <c r="T1616" s="128">
        <v>-448</v>
      </c>
      <c r="U1616" s="128">
        <v>0</v>
      </c>
      <c r="V1616" s="128">
        <v>-448</v>
      </c>
      <c r="W1616" s="128">
        <v>0</v>
      </c>
      <c r="X1616" s="128">
        <v>0</v>
      </c>
      <c r="Y1616" s="128">
        <v>0</v>
      </c>
      <c r="Z1616" s="128">
        <v>-448</v>
      </c>
      <c r="AA1616" s="128">
        <v>0</v>
      </c>
      <c r="AB1616" s="126">
        <f t="shared" si="172"/>
        <v>4.4799999999999998E-5</v>
      </c>
      <c r="AC1616" s="122" t="s">
        <v>1838</v>
      </c>
      <c r="AD1616" s="123">
        <f t="shared" si="173"/>
        <v>3.077724421000001</v>
      </c>
    </row>
    <row r="1617" spans="1:30" ht="12.75" hidden="1" customHeight="1">
      <c r="A1617" s="125" t="str">
        <f t="shared" si="169"/>
        <v>LIC31Client Servicing Expenes</v>
      </c>
      <c r="B1617" s="125">
        <f>+IFERROR(VLOOKUP(L1617,'TB mapping'!A:D,4,0),0)</f>
        <v>0</v>
      </c>
      <c r="C1617" s="125">
        <f>+IFERROR(VLOOKUP(L1617,'TB mapping'!A:C,3,0),0)</f>
        <v>6.3</v>
      </c>
      <c r="D1617" s="125" t="str">
        <f t="shared" si="170"/>
        <v>LIC310</v>
      </c>
      <c r="E1617" s="125" t="str">
        <f t="shared" si="171"/>
        <v>LIC316.3</v>
      </c>
      <c r="F1617" s="158" t="str">
        <f>+VLOOKUP(H1617,'code mapping'!A:C,3,0)</f>
        <v>LIC31</v>
      </c>
      <c r="G1617" s="127" t="s">
        <v>453</v>
      </c>
      <c r="H1617" s="127" t="s">
        <v>700</v>
      </c>
      <c r="I1617" s="127" t="s">
        <v>56</v>
      </c>
      <c r="J1617" s="128">
        <v>550000</v>
      </c>
      <c r="K1617" s="127" t="s">
        <v>550</v>
      </c>
      <c r="L1617" s="151">
        <v>555157</v>
      </c>
      <c r="M1617" s="128">
        <v>0</v>
      </c>
      <c r="N1617" s="127" t="s">
        <v>571</v>
      </c>
      <c r="O1617" s="127" t="s">
        <v>457</v>
      </c>
      <c r="P1617" s="128">
        <v>-5027860.32</v>
      </c>
      <c r="Q1617" s="128">
        <v>0</v>
      </c>
      <c r="R1617" s="128">
        <v>0</v>
      </c>
      <c r="S1617" s="128">
        <v>0</v>
      </c>
      <c r="T1617" s="128">
        <v>-5027860.32</v>
      </c>
      <c r="U1617" s="128">
        <v>0</v>
      </c>
      <c r="V1617" s="128">
        <v>-5027860.32</v>
      </c>
      <c r="W1617" s="128">
        <v>0</v>
      </c>
      <c r="X1617" s="128">
        <v>0</v>
      </c>
      <c r="Y1617" s="128">
        <v>0</v>
      </c>
      <c r="Z1617" s="128">
        <v>-5027860.32</v>
      </c>
      <c r="AA1617" s="128">
        <v>0</v>
      </c>
      <c r="AB1617" s="126">
        <f t="shared" si="172"/>
        <v>0.50278603200000005</v>
      </c>
      <c r="AC1617" s="122" t="s">
        <v>1838</v>
      </c>
      <c r="AD1617" s="123">
        <f t="shared" si="173"/>
        <v>3.077724421000001</v>
      </c>
    </row>
    <row r="1618" spans="1:30" ht="12.75" hidden="1" customHeight="1">
      <c r="A1618" s="125" t="str">
        <f t="shared" si="169"/>
        <v>LIC31Management Fees - RMD</v>
      </c>
      <c r="B1618" s="125">
        <f>+IFERROR(VLOOKUP(L1618,'TB mapping'!A:D,4,0),0)</f>
        <v>6.1</v>
      </c>
      <c r="C1618" s="125">
        <f>+IFERROR(VLOOKUP(L1618,'TB mapping'!A:C,3,0),0)</f>
        <v>6.3</v>
      </c>
      <c r="D1618" s="125" t="str">
        <f t="shared" si="170"/>
        <v>LIC316.1</v>
      </c>
      <c r="E1618" s="125" t="str">
        <f t="shared" si="171"/>
        <v>LIC316.3</v>
      </c>
      <c r="F1618" s="158" t="str">
        <f>+VLOOKUP(H1618,'code mapping'!A:C,3,0)</f>
        <v>LIC31</v>
      </c>
      <c r="G1618" s="127" t="s">
        <v>453</v>
      </c>
      <c r="H1618" s="127" t="s">
        <v>700</v>
      </c>
      <c r="I1618" s="127" t="s">
        <v>56</v>
      </c>
      <c r="J1618" s="128">
        <v>550000</v>
      </c>
      <c r="K1618" s="127" t="s">
        <v>550</v>
      </c>
      <c r="L1618" s="151">
        <v>555271</v>
      </c>
      <c r="M1618" s="128">
        <v>0</v>
      </c>
      <c r="N1618" s="127" t="s">
        <v>684</v>
      </c>
      <c r="O1618" s="127" t="s">
        <v>457</v>
      </c>
      <c r="P1618" s="128">
        <v>-834965.95</v>
      </c>
      <c r="Q1618" s="128">
        <v>0</v>
      </c>
      <c r="R1618" s="128">
        <v>0</v>
      </c>
      <c r="S1618" s="128">
        <v>0</v>
      </c>
      <c r="T1618" s="128">
        <v>-834965.95</v>
      </c>
      <c r="U1618" s="128">
        <v>0</v>
      </c>
      <c r="V1618" s="128">
        <v>-834965.95</v>
      </c>
      <c r="W1618" s="128">
        <v>0</v>
      </c>
      <c r="X1618" s="128">
        <v>0</v>
      </c>
      <c r="Y1618" s="128">
        <v>0</v>
      </c>
      <c r="Z1618" s="128">
        <v>-834965.95</v>
      </c>
      <c r="AA1618" s="128">
        <v>0</v>
      </c>
      <c r="AB1618" s="126">
        <f t="shared" si="172"/>
        <v>8.3496594999999993E-2</v>
      </c>
      <c r="AC1618" s="122" t="s">
        <v>1838</v>
      </c>
      <c r="AD1618" s="123">
        <f t="shared" si="173"/>
        <v>3.077724421000001</v>
      </c>
    </row>
    <row r="1619" spans="1:30" ht="12.75" hidden="1" customHeight="1">
      <c r="A1619" s="125" t="str">
        <f t="shared" si="169"/>
        <v>LIC31Management Fees - RQD</v>
      </c>
      <c r="B1619" s="125">
        <f>+IFERROR(VLOOKUP(L1619,'TB mapping'!A:D,4,0),0)</f>
        <v>6.1</v>
      </c>
      <c r="C1619" s="125">
        <f>+IFERROR(VLOOKUP(L1619,'TB mapping'!A:C,3,0),0)</f>
        <v>6.3</v>
      </c>
      <c r="D1619" s="125" t="str">
        <f t="shared" si="170"/>
        <v>LIC316.1</v>
      </c>
      <c r="E1619" s="125" t="str">
        <f t="shared" si="171"/>
        <v>LIC316.3</v>
      </c>
      <c r="F1619" s="158" t="str">
        <f>+VLOOKUP(H1619,'code mapping'!A:C,3,0)</f>
        <v>LIC31</v>
      </c>
      <c r="G1619" s="127" t="s">
        <v>453</v>
      </c>
      <c r="H1619" s="127" t="s">
        <v>700</v>
      </c>
      <c r="I1619" s="127" t="s">
        <v>56</v>
      </c>
      <c r="J1619" s="128">
        <v>550000</v>
      </c>
      <c r="K1619" s="127" t="s">
        <v>550</v>
      </c>
      <c r="L1619" s="151">
        <v>555272</v>
      </c>
      <c r="M1619" s="128">
        <v>0</v>
      </c>
      <c r="N1619" s="127" t="s">
        <v>717</v>
      </c>
      <c r="O1619" s="127" t="s">
        <v>457</v>
      </c>
      <c r="P1619" s="128">
        <v>-269468.13</v>
      </c>
      <c r="Q1619" s="128">
        <v>0</v>
      </c>
      <c r="R1619" s="128">
        <v>0</v>
      </c>
      <c r="S1619" s="128">
        <v>0</v>
      </c>
      <c r="T1619" s="128">
        <v>-269468.13</v>
      </c>
      <c r="U1619" s="128">
        <v>0</v>
      </c>
      <c r="V1619" s="128">
        <v>-269468.13</v>
      </c>
      <c r="W1619" s="128">
        <v>0</v>
      </c>
      <c r="X1619" s="128">
        <v>0</v>
      </c>
      <c r="Y1619" s="128">
        <v>0</v>
      </c>
      <c r="Z1619" s="128">
        <v>-269468.13</v>
      </c>
      <c r="AA1619" s="128">
        <v>0</v>
      </c>
      <c r="AB1619" s="126">
        <f t="shared" si="172"/>
        <v>2.6946813E-2</v>
      </c>
      <c r="AC1619" s="122" t="s">
        <v>1838</v>
      </c>
      <c r="AD1619" s="123">
        <f t="shared" si="173"/>
        <v>3.077724421000001</v>
      </c>
    </row>
    <row r="1620" spans="1:30" ht="12.75" hidden="1" customHeight="1">
      <c r="A1620" s="125" t="str">
        <f t="shared" si="169"/>
        <v>LIC31Management Fee-Reclassfication</v>
      </c>
      <c r="B1620" s="125">
        <f>+IFERROR(VLOOKUP(L1620,'TB mapping'!A:D,4,0),0)</f>
        <v>6.1</v>
      </c>
      <c r="C1620" s="125">
        <f>+IFERROR(VLOOKUP(L1620,'TB mapping'!A:C,3,0),0)</f>
        <v>6.3</v>
      </c>
      <c r="D1620" s="125" t="str">
        <f t="shared" si="170"/>
        <v>LIC316.1</v>
      </c>
      <c r="E1620" s="125" t="str">
        <f t="shared" si="171"/>
        <v>LIC316.3</v>
      </c>
      <c r="F1620" s="158" t="str">
        <f>+VLOOKUP(H1620,'code mapping'!A:C,3,0)</f>
        <v>LIC31</v>
      </c>
      <c r="G1620" s="127" t="s">
        <v>453</v>
      </c>
      <c r="H1620" s="127" t="s">
        <v>700</v>
      </c>
      <c r="I1620" s="127" t="s">
        <v>56</v>
      </c>
      <c r="J1620" s="128">
        <v>550000</v>
      </c>
      <c r="K1620" s="127" t="s">
        <v>550</v>
      </c>
      <c r="L1620" s="151">
        <v>555274</v>
      </c>
      <c r="M1620" s="128">
        <v>0</v>
      </c>
      <c r="N1620" s="127" t="s">
        <v>583</v>
      </c>
      <c r="O1620" s="127" t="s">
        <v>457</v>
      </c>
      <c r="P1620" s="128">
        <v>-677965.88</v>
      </c>
      <c r="Q1620" s="128">
        <v>0</v>
      </c>
      <c r="R1620" s="128">
        <v>0</v>
      </c>
      <c r="S1620" s="128">
        <v>0</v>
      </c>
      <c r="T1620" s="128">
        <v>-677965.88</v>
      </c>
      <c r="U1620" s="128">
        <v>0</v>
      </c>
      <c r="V1620" s="128">
        <v>-677965.88</v>
      </c>
      <c r="W1620" s="128">
        <v>0</v>
      </c>
      <c r="X1620" s="128">
        <v>0</v>
      </c>
      <c r="Y1620" s="128">
        <v>0</v>
      </c>
      <c r="Z1620" s="128">
        <v>-677965.88</v>
      </c>
      <c r="AA1620" s="128">
        <v>0</v>
      </c>
      <c r="AB1620" s="126">
        <f t="shared" si="172"/>
        <v>6.7796588000000005E-2</v>
      </c>
      <c r="AC1620" s="122" t="s">
        <v>1838</v>
      </c>
      <c r="AD1620" s="123">
        <f t="shared" si="173"/>
        <v>3.077724421000001</v>
      </c>
    </row>
    <row r="1621" spans="1:30" ht="12.75" hidden="1" customHeight="1">
      <c r="A1621" s="125" t="str">
        <f t="shared" si="169"/>
        <v>LIC31CGST on Reclassify of Exp</v>
      </c>
      <c r="B1621" s="125">
        <f>+IFERROR(VLOOKUP(L1621,'TB mapping'!A:D,4,0),0)</f>
        <v>0</v>
      </c>
      <c r="C1621" s="125">
        <f>+IFERROR(VLOOKUP(L1621,'TB mapping'!A:C,3,0),0)</f>
        <v>6.3</v>
      </c>
      <c r="D1621" s="125" t="str">
        <f t="shared" si="170"/>
        <v>LIC310</v>
      </c>
      <c r="E1621" s="125" t="str">
        <f t="shared" si="171"/>
        <v>LIC316.3</v>
      </c>
      <c r="F1621" s="158" t="str">
        <f>+VLOOKUP(H1621,'code mapping'!A:C,3,0)</f>
        <v>LIC31</v>
      </c>
      <c r="G1621" s="127" t="s">
        <v>453</v>
      </c>
      <c r="H1621" s="127" t="s">
        <v>700</v>
      </c>
      <c r="I1621" s="127" t="s">
        <v>56</v>
      </c>
      <c r="J1621" s="128">
        <v>550000</v>
      </c>
      <c r="K1621" s="127" t="s">
        <v>550</v>
      </c>
      <c r="L1621" s="151">
        <v>555276</v>
      </c>
      <c r="M1621" s="128">
        <v>0</v>
      </c>
      <c r="N1621" s="127" t="s">
        <v>572</v>
      </c>
      <c r="O1621" s="127" t="s">
        <v>457</v>
      </c>
      <c r="P1621" s="128">
        <v>-3813.56</v>
      </c>
      <c r="Q1621" s="128">
        <v>0</v>
      </c>
      <c r="R1621" s="128">
        <v>0</v>
      </c>
      <c r="S1621" s="128">
        <v>0</v>
      </c>
      <c r="T1621" s="128">
        <v>-3813.56</v>
      </c>
      <c r="U1621" s="128">
        <v>0</v>
      </c>
      <c r="V1621" s="128">
        <v>-3813.56</v>
      </c>
      <c r="W1621" s="128">
        <v>0</v>
      </c>
      <c r="X1621" s="128">
        <v>0</v>
      </c>
      <c r="Y1621" s="128">
        <v>0</v>
      </c>
      <c r="Z1621" s="128">
        <v>-3813.56</v>
      </c>
      <c r="AA1621" s="128">
        <v>0</v>
      </c>
      <c r="AB1621" s="126">
        <f t="shared" si="172"/>
        <v>3.8135600000000001E-4</v>
      </c>
      <c r="AC1621" s="122" t="s">
        <v>1838</v>
      </c>
      <c r="AD1621" s="123">
        <f t="shared" si="173"/>
        <v>3.077724421000001</v>
      </c>
    </row>
    <row r="1622" spans="1:30" ht="12.75" hidden="1" customHeight="1">
      <c r="A1622" s="125" t="str">
        <f t="shared" si="169"/>
        <v>LIC31SGST on Reclassify of Exp</v>
      </c>
      <c r="B1622" s="125">
        <f>+IFERROR(VLOOKUP(L1622,'TB mapping'!A:D,4,0),0)</f>
        <v>0</v>
      </c>
      <c r="C1622" s="125">
        <f>+IFERROR(VLOOKUP(L1622,'TB mapping'!A:C,3,0),0)</f>
        <v>6.3</v>
      </c>
      <c r="D1622" s="125" t="str">
        <f t="shared" si="170"/>
        <v>LIC310</v>
      </c>
      <c r="E1622" s="125" t="str">
        <f t="shared" si="171"/>
        <v>LIC316.3</v>
      </c>
      <c r="F1622" s="158" t="str">
        <f>+VLOOKUP(H1622,'code mapping'!A:C,3,0)</f>
        <v>LIC31</v>
      </c>
      <c r="G1622" s="127" t="s">
        <v>453</v>
      </c>
      <c r="H1622" s="127" t="s">
        <v>700</v>
      </c>
      <c r="I1622" s="127" t="s">
        <v>56</v>
      </c>
      <c r="J1622" s="128">
        <v>550000</v>
      </c>
      <c r="K1622" s="127" t="s">
        <v>550</v>
      </c>
      <c r="L1622" s="151">
        <v>555277</v>
      </c>
      <c r="M1622" s="128">
        <v>0</v>
      </c>
      <c r="N1622" s="127" t="s">
        <v>573</v>
      </c>
      <c r="O1622" s="127" t="s">
        <v>457</v>
      </c>
      <c r="P1622" s="128">
        <v>-3813.56</v>
      </c>
      <c r="Q1622" s="128">
        <v>0</v>
      </c>
      <c r="R1622" s="128">
        <v>0</v>
      </c>
      <c r="S1622" s="128">
        <v>0</v>
      </c>
      <c r="T1622" s="128">
        <v>-3813.56</v>
      </c>
      <c r="U1622" s="128">
        <v>0</v>
      </c>
      <c r="V1622" s="128">
        <v>-3813.56</v>
      </c>
      <c r="W1622" s="128">
        <v>0</v>
      </c>
      <c r="X1622" s="128">
        <v>0</v>
      </c>
      <c r="Y1622" s="128">
        <v>0</v>
      </c>
      <c r="Z1622" s="128">
        <v>-3813.56</v>
      </c>
      <c r="AA1622" s="128">
        <v>0</v>
      </c>
      <c r="AB1622" s="126">
        <f t="shared" si="172"/>
        <v>3.8135600000000001E-4</v>
      </c>
      <c r="AC1622" s="122" t="s">
        <v>1838</v>
      </c>
      <c r="AD1622" s="123">
        <f t="shared" si="173"/>
        <v>3.077724421000001</v>
      </c>
    </row>
    <row r="1623" spans="1:30" ht="12.75" hidden="1" customHeight="1">
      <c r="A1623" s="125" t="str">
        <f t="shared" si="169"/>
        <v>LIC31Management Fees-Reg Annual Div</v>
      </c>
      <c r="B1623" s="125">
        <f>+IFERROR(VLOOKUP(L1623,'TB mapping'!A:D,4,0),0)</f>
        <v>6.1</v>
      </c>
      <c r="C1623" s="125">
        <f>+IFERROR(VLOOKUP(L1623,'TB mapping'!A:C,3,0),0)</f>
        <v>6.3</v>
      </c>
      <c r="D1623" s="125" t="str">
        <f t="shared" si="170"/>
        <v>LIC316.1</v>
      </c>
      <c r="E1623" s="125" t="str">
        <f t="shared" si="171"/>
        <v>LIC316.3</v>
      </c>
      <c r="F1623" s="158" t="str">
        <f>+VLOOKUP(H1623,'code mapping'!A:C,3,0)</f>
        <v>LIC31</v>
      </c>
      <c r="G1623" s="127" t="s">
        <v>453</v>
      </c>
      <c r="H1623" s="127" t="s">
        <v>700</v>
      </c>
      <c r="I1623" s="127" t="s">
        <v>56</v>
      </c>
      <c r="J1623" s="128">
        <v>550000</v>
      </c>
      <c r="K1623" s="127" t="s">
        <v>550</v>
      </c>
      <c r="L1623" s="151">
        <v>555361</v>
      </c>
      <c r="M1623" s="128">
        <v>0</v>
      </c>
      <c r="N1623" s="127" t="s">
        <v>718</v>
      </c>
      <c r="O1623" s="127" t="s">
        <v>457</v>
      </c>
      <c r="P1623" s="128">
        <v>-494609.71</v>
      </c>
      <c r="Q1623" s="128">
        <v>0</v>
      </c>
      <c r="R1623" s="128">
        <v>0</v>
      </c>
      <c r="S1623" s="128">
        <v>0</v>
      </c>
      <c r="T1623" s="128">
        <v>-494609.71</v>
      </c>
      <c r="U1623" s="128">
        <v>0</v>
      </c>
      <c r="V1623" s="128">
        <v>-494609.71</v>
      </c>
      <c r="W1623" s="128">
        <v>0</v>
      </c>
      <c r="X1623" s="128">
        <v>0</v>
      </c>
      <c r="Y1623" s="128">
        <v>0</v>
      </c>
      <c r="Z1623" s="128">
        <v>-494609.71</v>
      </c>
      <c r="AA1623" s="128">
        <v>0</v>
      </c>
      <c r="AB1623" s="126">
        <f t="shared" si="172"/>
        <v>4.9460970999999999E-2</v>
      </c>
      <c r="AC1623" s="122" t="s">
        <v>1838</v>
      </c>
      <c r="AD1623" s="123">
        <f t="shared" si="173"/>
        <v>3.077724421000001</v>
      </c>
    </row>
    <row r="1624" spans="1:30" ht="12.75" hidden="1" customHeight="1">
      <c r="A1624" s="125" t="str">
        <f t="shared" si="169"/>
        <v>LIC31CGST on Mfees</v>
      </c>
      <c r="B1624" s="125">
        <f>+IFERROR(VLOOKUP(L1624,'TB mapping'!A:D,4,0),0)</f>
        <v>6.1</v>
      </c>
      <c r="C1624" s="125">
        <f>+IFERROR(VLOOKUP(L1624,'TB mapping'!A:C,3,0),0)</f>
        <v>6.3</v>
      </c>
      <c r="D1624" s="125" t="str">
        <f t="shared" si="170"/>
        <v>LIC316.1</v>
      </c>
      <c r="E1624" s="125" t="str">
        <f t="shared" si="171"/>
        <v>LIC316.3</v>
      </c>
      <c r="F1624" s="158" t="str">
        <f>+VLOOKUP(H1624,'code mapping'!A:C,3,0)</f>
        <v>LIC31</v>
      </c>
      <c r="G1624" s="127" t="s">
        <v>453</v>
      </c>
      <c r="H1624" s="127" t="s">
        <v>700</v>
      </c>
      <c r="I1624" s="127" t="s">
        <v>56</v>
      </c>
      <c r="J1624" s="128">
        <v>550000</v>
      </c>
      <c r="K1624" s="127" t="s">
        <v>550</v>
      </c>
      <c r="L1624" s="151">
        <v>555597</v>
      </c>
      <c r="M1624" s="128">
        <v>0</v>
      </c>
      <c r="N1624" s="127" t="s">
        <v>574</v>
      </c>
      <c r="O1624" s="127" t="s">
        <v>457</v>
      </c>
      <c r="P1624" s="128">
        <v>-1383583.82</v>
      </c>
      <c r="Q1624" s="128">
        <v>0</v>
      </c>
      <c r="R1624" s="128">
        <v>0</v>
      </c>
      <c r="S1624" s="128">
        <v>0</v>
      </c>
      <c r="T1624" s="128">
        <v>-1383583.82</v>
      </c>
      <c r="U1624" s="128">
        <v>0</v>
      </c>
      <c r="V1624" s="128">
        <v>-1383583.82</v>
      </c>
      <c r="W1624" s="128">
        <v>0</v>
      </c>
      <c r="X1624" s="128">
        <v>0</v>
      </c>
      <c r="Y1624" s="128">
        <v>0</v>
      </c>
      <c r="Z1624" s="128">
        <v>-1383583.82</v>
      </c>
      <c r="AA1624" s="128">
        <v>0</v>
      </c>
      <c r="AB1624" s="126">
        <f t="shared" si="172"/>
        <v>0.138358382</v>
      </c>
      <c r="AC1624" s="122" t="s">
        <v>1838</v>
      </c>
      <c r="AD1624" s="123">
        <f t="shared" si="173"/>
        <v>3.077724421000001</v>
      </c>
    </row>
    <row r="1625" spans="1:30" ht="12.75" hidden="1" customHeight="1">
      <c r="A1625" s="125" t="str">
        <f t="shared" si="169"/>
        <v>LIC31SGST on Mfees</v>
      </c>
      <c r="B1625" s="125">
        <f>+IFERROR(VLOOKUP(L1625,'TB mapping'!A:D,4,0),0)</f>
        <v>6.1</v>
      </c>
      <c r="C1625" s="125">
        <f>+IFERROR(VLOOKUP(L1625,'TB mapping'!A:C,3,0),0)</f>
        <v>6.3</v>
      </c>
      <c r="D1625" s="125" t="str">
        <f t="shared" si="170"/>
        <v>LIC316.1</v>
      </c>
      <c r="E1625" s="125" t="str">
        <f t="shared" si="171"/>
        <v>LIC316.3</v>
      </c>
      <c r="F1625" s="158" t="str">
        <f>+VLOOKUP(H1625,'code mapping'!A:C,3,0)</f>
        <v>LIC31</v>
      </c>
      <c r="G1625" s="127" t="s">
        <v>453</v>
      </c>
      <c r="H1625" s="127" t="s">
        <v>700</v>
      </c>
      <c r="I1625" s="127" t="s">
        <v>56</v>
      </c>
      <c r="J1625" s="128">
        <v>550000</v>
      </c>
      <c r="K1625" s="127" t="s">
        <v>550</v>
      </c>
      <c r="L1625" s="151">
        <v>555598</v>
      </c>
      <c r="M1625" s="128">
        <v>0</v>
      </c>
      <c r="N1625" s="127" t="s">
        <v>575</v>
      </c>
      <c r="O1625" s="127" t="s">
        <v>457</v>
      </c>
      <c r="P1625" s="128">
        <v>-1383583.98</v>
      </c>
      <c r="Q1625" s="128">
        <v>0</v>
      </c>
      <c r="R1625" s="128">
        <v>0</v>
      </c>
      <c r="S1625" s="128">
        <v>0</v>
      </c>
      <c r="T1625" s="128">
        <v>-1383583.98</v>
      </c>
      <c r="U1625" s="128">
        <v>0</v>
      </c>
      <c r="V1625" s="128">
        <v>-1383583.98</v>
      </c>
      <c r="W1625" s="128">
        <v>0</v>
      </c>
      <c r="X1625" s="128">
        <v>0</v>
      </c>
      <c r="Y1625" s="128">
        <v>0</v>
      </c>
      <c r="Z1625" s="128">
        <v>-1383583.98</v>
      </c>
      <c r="AA1625" s="128">
        <v>0</v>
      </c>
      <c r="AB1625" s="126">
        <f t="shared" si="172"/>
        <v>0.13835839799999999</v>
      </c>
      <c r="AC1625" s="122" t="s">
        <v>1838</v>
      </c>
      <c r="AD1625" s="123">
        <f t="shared" si="173"/>
        <v>3.077724421000001</v>
      </c>
    </row>
    <row r="1626" spans="1:30" ht="12.75" hidden="1" customHeight="1">
      <c r="A1626" s="125" t="str">
        <f t="shared" si="169"/>
        <v>LIC31CGST on Mfees -GDP</v>
      </c>
      <c r="B1626" s="125">
        <f>+IFERROR(VLOOKUP(L1626,'TB mapping'!A:D,4,0),0)</f>
        <v>6.1</v>
      </c>
      <c r="C1626" s="125">
        <f>+IFERROR(VLOOKUP(L1626,'TB mapping'!A:C,3,0),0)</f>
        <v>6.3</v>
      </c>
      <c r="D1626" s="125" t="str">
        <f t="shared" si="170"/>
        <v>LIC316.1</v>
      </c>
      <c r="E1626" s="125" t="str">
        <f t="shared" si="171"/>
        <v>LIC316.3</v>
      </c>
      <c r="F1626" s="158" t="str">
        <f>+VLOOKUP(H1626,'code mapping'!A:C,3,0)</f>
        <v>LIC31</v>
      </c>
      <c r="G1626" s="127" t="s">
        <v>453</v>
      </c>
      <c r="H1626" s="127" t="s">
        <v>700</v>
      </c>
      <c r="I1626" s="127" t="s">
        <v>56</v>
      </c>
      <c r="J1626" s="128">
        <v>550000</v>
      </c>
      <c r="K1626" s="127" t="s">
        <v>550</v>
      </c>
      <c r="L1626" s="151">
        <v>555599</v>
      </c>
      <c r="M1626" s="128">
        <v>0</v>
      </c>
      <c r="N1626" s="127" t="s">
        <v>576</v>
      </c>
      <c r="O1626" s="127" t="s">
        <v>457</v>
      </c>
      <c r="P1626" s="128">
        <v>0</v>
      </c>
      <c r="Q1626" s="128">
        <v>3787.13</v>
      </c>
      <c r="R1626" s="128">
        <v>0</v>
      </c>
      <c r="S1626" s="128">
        <v>0</v>
      </c>
      <c r="T1626" s="128">
        <v>0</v>
      </c>
      <c r="U1626" s="128">
        <v>3787.13</v>
      </c>
      <c r="V1626" s="128">
        <v>0</v>
      </c>
      <c r="W1626" s="128">
        <v>3787.13</v>
      </c>
      <c r="X1626" s="128">
        <v>0</v>
      </c>
      <c r="Y1626" s="128">
        <v>0</v>
      </c>
      <c r="Z1626" s="128">
        <v>0</v>
      </c>
      <c r="AA1626" s="128">
        <v>3787.13</v>
      </c>
      <c r="AB1626" s="126">
        <f t="shared" si="172"/>
        <v>-3.7871300000000003E-4</v>
      </c>
      <c r="AC1626" s="122" t="s">
        <v>1838</v>
      </c>
      <c r="AD1626" s="123">
        <f t="shared" si="173"/>
        <v>3.077724421000001</v>
      </c>
    </row>
    <row r="1627" spans="1:30" ht="12.75" hidden="1" customHeight="1">
      <c r="A1627" s="125" t="str">
        <f t="shared" si="169"/>
        <v>LIC31SGST on Mfees -GDP</v>
      </c>
      <c r="B1627" s="125">
        <f>+IFERROR(VLOOKUP(L1627,'TB mapping'!A:D,4,0),0)</f>
        <v>6.1</v>
      </c>
      <c r="C1627" s="125">
        <f>+IFERROR(VLOOKUP(L1627,'TB mapping'!A:C,3,0),0)</f>
        <v>6.3</v>
      </c>
      <c r="D1627" s="125" t="str">
        <f t="shared" si="170"/>
        <v>LIC316.1</v>
      </c>
      <c r="E1627" s="125" t="str">
        <f t="shared" si="171"/>
        <v>LIC316.3</v>
      </c>
      <c r="F1627" s="158" t="str">
        <f>+VLOOKUP(H1627,'code mapping'!A:C,3,0)</f>
        <v>LIC31</v>
      </c>
      <c r="G1627" s="127" t="s">
        <v>453</v>
      </c>
      <c r="H1627" s="127" t="s">
        <v>700</v>
      </c>
      <c r="I1627" s="127" t="s">
        <v>56</v>
      </c>
      <c r="J1627" s="128">
        <v>550000</v>
      </c>
      <c r="K1627" s="127" t="s">
        <v>550</v>
      </c>
      <c r="L1627" s="151">
        <v>555600</v>
      </c>
      <c r="M1627" s="128">
        <v>0</v>
      </c>
      <c r="N1627" s="127" t="s">
        <v>577</v>
      </c>
      <c r="O1627" s="127" t="s">
        <v>457</v>
      </c>
      <c r="P1627" s="128">
        <v>0</v>
      </c>
      <c r="Q1627" s="128">
        <v>3787.29</v>
      </c>
      <c r="R1627" s="128">
        <v>0</v>
      </c>
      <c r="S1627" s="128">
        <v>0</v>
      </c>
      <c r="T1627" s="128">
        <v>0</v>
      </c>
      <c r="U1627" s="128">
        <v>3787.29</v>
      </c>
      <c r="V1627" s="128">
        <v>0</v>
      </c>
      <c r="W1627" s="128">
        <v>3787.29</v>
      </c>
      <c r="X1627" s="128">
        <v>0</v>
      </c>
      <c r="Y1627" s="128">
        <v>0</v>
      </c>
      <c r="Z1627" s="128">
        <v>0</v>
      </c>
      <c r="AA1627" s="128">
        <v>3787.29</v>
      </c>
      <c r="AB1627" s="126">
        <f t="shared" si="172"/>
        <v>-3.7872900000000001E-4</v>
      </c>
      <c r="AC1627" s="122" t="s">
        <v>1838</v>
      </c>
      <c r="AD1627" s="123">
        <f t="shared" si="173"/>
        <v>3.077724421000001</v>
      </c>
    </row>
    <row r="1628" spans="1:30" ht="12.75" hidden="1" customHeight="1">
      <c r="A1628" s="125" t="str">
        <f t="shared" si="169"/>
        <v>LIC31Operating Expenses</v>
      </c>
      <c r="B1628" s="125">
        <f>+IFERROR(VLOOKUP(L1628,'TB mapping'!A:D,4,0),0)</f>
        <v>0</v>
      </c>
      <c r="C1628" s="125">
        <f>+IFERROR(VLOOKUP(L1628,'TB mapping'!A:C,3,0),0)</f>
        <v>6.3</v>
      </c>
      <c r="D1628" s="125" t="str">
        <f t="shared" si="170"/>
        <v>LIC310</v>
      </c>
      <c r="E1628" s="125" t="str">
        <f t="shared" si="171"/>
        <v>LIC316.3</v>
      </c>
      <c r="F1628" s="158" t="str">
        <f>+VLOOKUP(H1628,'code mapping'!A:C,3,0)</f>
        <v>LIC31</v>
      </c>
      <c r="G1628" s="127" t="s">
        <v>453</v>
      </c>
      <c r="H1628" s="127" t="s">
        <v>700</v>
      </c>
      <c r="I1628" s="127" t="s">
        <v>56</v>
      </c>
      <c r="J1628" s="128">
        <v>550000</v>
      </c>
      <c r="K1628" s="127" t="s">
        <v>550</v>
      </c>
      <c r="L1628" s="151">
        <v>556421</v>
      </c>
      <c r="M1628" s="128">
        <v>0</v>
      </c>
      <c r="N1628" s="127" t="s">
        <v>578</v>
      </c>
      <c r="O1628" s="127" t="s">
        <v>457</v>
      </c>
      <c r="P1628" s="128">
        <v>-12496.93</v>
      </c>
      <c r="Q1628" s="128">
        <v>0</v>
      </c>
      <c r="R1628" s="128">
        <v>0</v>
      </c>
      <c r="S1628" s="128">
        <v>0</v>
      </c>
      <c r="T1628" s="128">
        <v>-12496.93</v>
      </c>
      <c r="U1628" s="128">
        <v>0</v>
      </c>
      <c r="V1628" s="128">
        <v>-12496.93</v>
      </c>
      <c r="W1628" s="128">
        <v>0</v>
      </c>
      <c r="X1628" s="128">
        <v>0</v>
      </c>
      <c r="Y1628" s="128">
        <v>0</v>
      </c>
      <c r="Z1628" s="128">
        <v>-12496.93</v>
      </c>
      <c r="AA1628" s="128">
        <v>0</v>
      </c>
      <c r="AB1628" s="126">
        <f t="shared" si="172"/>
        <v>1.2496930000000001E-3</v>
      </c>
      <c r="AC1628" s="122" t="s">
        <v>1838</v>
      </c>
      <c r="AD1628" s="123">
        <f t="shared" si="173"/>
        <v>3.077724421000001</v>
      </c>
    </row>
    <row r="1629" spans="1:30" ht="12.75" hidden="1" customHeight="1">
      <c r="A1629" s="125" t="str">
        <f t="shared" si="169"/>
        <v>LIC31Management Fee</v>
      </c>
      <c r="B1629" s="125">
        <f>+IFERROR(VLOOKUP(L1629,'TB mapping'!A:D,4,0),0)</f>
        <v>6.1</v>
      </c>
      <c r="C1629" s="125">
        <f>+IFERROR(VLOOKUP(L1629,'TB mapping'!A:C,3,0),0)</f>
        <v>6.3</v>
      </c>
      <c r="D1629" s="125" t="str">
        <f t="shared" si="170"/>
        <v>LIC316.1</v>
      </c>
      <c r="E1629" s="125" t="str">
        <f t="shared" si="171"/>
        <v>LIC316.3</v>
      </c>
      <c r="F1629" s="158" t="str">
        <f>+VLOOKUP(H1629,'code mapping'!A:C,3,0)</f>
        <v>LIC31</v>
      </c>
      <c r="G1629" s="127" t="s">
        <v>453</v>
      </c>
      <c r="H1629" s="127" t="s">
        <v>700</v>
      </c>
      <c r="I1629" s="127" t="s">
        <v>56</v>
      </c>
      <c r="J1629" s="128">
        <v>555100</v>
      </c>
      <c r="K1629" s="127" t="s">
        <v>579</v>
      </c>
      <c r="L1629" s="151">
        <v>555100</v>
      </c>
      <c r="M1629" s="128">
        <v>0</v>
      </c>
      <c r="N1629" s="127" t="s">
        <v>580</v>
      </c>
      <c r="O1629" s="127" t="s">
        <v>457</v>
      </c>
      <c r="P1629" s="128">
        <v>-7358047.54</v>
      </c>
      <c r="Q1629" s="128">
        <v>0</v>
      </c>
      <c r="R1629" s="128">
        <v>0</v>
      </c>
      <c r="S1629" s="128">
        <v>0</v>
      </c>
      <c r="T1629" s="128">
        <v>-7358047.54</v>
      </c>
      <c r="U1629" s="128">
        <v>0</v>
      </c>
      <c r="V1629" s="128">
        <v>-7358047.54</v>
      </c>
      <c r="W1629" s="128">
        <v>0</v>
      </c>
      <c r="X1629" s="128">
        <v>0</v>
      </c>
      <c r="Y1629" s="128">
        <v>0</v>
      </c>
      <c r="Z1629" s="128">
        <v>-7358047.54</v>
      </c>
      <c r="AA1629" s="128">
        <v>0</v>
      </c>
      <c r="AB1629" s="126">
        <f t="shared" si="172"/>
        <v>0.73580475400000001</v>
      </c>
      <c r="AC1629" s="122" t="s">
        <v>1838</v>
      </c>
      <c r="AD1629" s="123">
        <f t="shared" ref="AD1629:AD1634" si="174">SUMIF(E:E,E1629,AB:AB)</f>
        <v>3.077724421000001</v>
      </c>
    </row>
    <row r="1630" spans="1:30" ht="12.75" hidden="1" customHeight="1">
      <c r="A1630" s="125" t="str">
        <f t="shared" si="169"/>
        <v>LIC31Management Fees-RG</v>
      </c>
      <c r="B1630" s="125">
        <f>+IFERROR(VLOOKUP(L1630,'TB mapping'!A:D,4,0),0)</f>
        <v>6.1</v>
      </c>
      <c r="C1630" s="125">
        <f>+IFERROR(VLOOKUP(L1630,'TB mapping'!A:C,3,0),0)</f>
        <v>6.3</v>
      </c>
      <c r="D1630" s="125" t="str">
        <f t="shared" si="170"/>
        <v>LIC316.1</v>
      </c>
      <c r="E1630" s="125" t="str">
        <f t="shared" si="171"/>
        <v>LIC316.3</v>
      </c>
      <c r="F1630" s="158" t="str">
        <f>+VLOOKUP(H1630,'code mapping'!A:C,3,0)</f>
        <v>LIC31</v>
      </c>
      <c r="G1630" s="127" t="s">
        <v>453</v>
      </c>
      <c r="H1630" s="127" t="s">
        <v>700</v>
      </c>
      <c r="I1630" s="127" t="s">
        <v>56</v>
      </c>
      <c r="J1630" s="128">
        <v>555100</v>
      </c>
      <c r="K1630" s="127" t="s">
        <v>579</v>
      </c>
      <c r="L1630" s="151">
        <v>555191</v>
      </c>
      <c r="M1630" s="128">
        <v>0</v>
      </c>
      <c r="N1630" s="127" t="s">
        <v>581</v>
      </c>
      <c r="O1630" s="127" t="s">
        <v>457</v>
      </c>
      <c r="P1630" s="128">
        <v>-9344919.0700000003</v>
      </c>
      <c r="Q1630" s="128">
        <v>0</v>
      </c>
      <c r="R1630" s="128">
        <v>0</v>
      </c>
      <c r="S1630" s="128">
        <v>0</v>
      </c>
      <c r="T1630" s="128">
        <v>-9344919.0700000003</v>
      </c>
      <c r="U1630" s="128">
        <v>0</v>
      </c>
      <c r="V1630" s="128">
        <v>-9344919.0700000003</v>
      </c>
      <c r="W1630" s="128">
        <v>0</v>
      </c>
      <c r="X1630" s="128">
        <v>0</v>
      </c>
      <c r="Y1630" s="128">
        <v>0</v>
      </c>
      <c r="Z1630" s="128">
        <v>-9344919.0700000003</v>
      </c>
      <c r="AA1630" s="128">
        <v>0</v>
      </c>
      <c r="AB1630" s="126">
        <f t="shared" si="172"/>
        <v>0.93449190700000007</v>
      </c>
      <c r="AC1630" s="122" t="s">
        <v>1838</v>
      </c>
      <c r="AD1630" s="123">
        <f t="shared" si="174"/>
        <v>3.077724421000001</v>
      </c>
    </row>
    <row r="1631" spans="1:30" ht="12.75" hidden="1" customHeight="1">
      <c r="A1631" s="125" t="str">
        <f t="shared" si="169"/>
        <v>LIC31Management Fees-GDP</v>
      </c>
      <c r="B1631" s="125">
        <f>+IFERROR(VLOOKUP(L1631,'TB mapping'!A:D,4,0),0)</f>
        <v>6.1</v>
      </c>
      <c r="C1631" s="125">
        <f>+IFERROR(VLOOKUP(L1631,'TB mapping'!A:C,3,0),0)</f>
        <v>6.3</v>
      </c>
      <c r="D1631" s="125" t="str">
        <f t="shared" si="170"/>
        <v>LIC316.1</v>
      </c>
      <c r="E1631" s="125" t="str">
        <f t="shared" si="171"/>
        <v>LIC316.3</v>
      </c>
      <c r="F1631" s="158" t="str">
        <f>+VLOOKUP(H1631,'code mapping'!A:C,3,0)</f>
        <v>LIC31</v>
      </c>
      <c r="G1631" s="127" t="s">
        <v>453</v>
      </c>
      <c r="H1631" s="127" t="s">
        <v>700</v>
      </c>
      <c r="I1631" s="127" t="s">
        <v>56</v>
      </c>
      <c r="J1631" s="128">
        <v>555100</v>
      </c>
      <c r="K1631" s="127" t="s">
        <v>579</v>
      </c>
      <c r="L1631" s="151">
        <v>555329</v>
      </c>
      <c r="M1631" s="128">
        <v>0</v>
      </c>
      <c r="N1631" s="127" t="s">
        <v>584</v>
      </c>
      <c r="O1631" s="127" t="s">
        <v>457</v>
      </c>
      <c r="P1631" s="128">
        <v>-722437.82</v>
      </c>
      <c r="Q1631" s="128">
        <v>0</v>
      </c>
      <c r="R1631" s="128">
        <v>0</v>
      </c>
      <c r="S1631" s="128">
        <v>0</v>
      </c>
      <c r="T1631" s="128">
        <v>-722437.82</v>
      </c>
      <c r="U1631" s="128">
        <v>0</v>
      </c>
      <c r="V1631" s="128">
        <v>-722437.82</v>
      </c>
      <c r="W1631" s="128">
        <v>0</v>
      </c>
      <c r="X1631" s="128">
        <v>0</v>
      </c>
      <c r="Y1631" s="128">
        <v>0</v>
      </c>
      <c r="Z1631" s="128">
        <v>-722437.82</v>
      </c>
      <c r="AA1631" s="128">
        <v>0</v>
      </c>
      <c r="AB1631" s="126">
        <f t="shared" si="172"/>
        <v>7.2243781999999993E-2</v>
      </c>
      <c r="AC1631" s="122" t="s">
        <v>1838</v>
      </c>
      <c r="AD1631" s="123">
        <f t="shared" si="174"/>
        <v>3.077724421000001</v>
      </c>
    </row>
    <row r="1632" spans="1:30" ht="12.75" hidden="1" customHeight="1">
      <c r="A1632" s="125" t="str">
        <f t="shared" si="169"/>
        <v>LIC31Management Fees-MDP</v>
      </c>
      <c r="B1632" s="125">
        <f>+IFERROR(VLOOKUP(L1632,'TB mapping'!A:D,4,0),0)</f>
        <v>6.1</v>
      </c>
      <c r="C1632" s="125">
        <f>+IFERROR(VLOOKUP(L1632,'TB mapping'!A:C,3,0),0)</f>
        <v>6.3</v>
      </c>
      <c r="D1632" s="125" t="str">
        <f t="shared" si="170"/>
        <v>LIC316.1</v>
      </c>
      <c r="E1632" s="125" t="str">
        <f t="shared" si="171"/>
        <v>LIC316.3</v>
      </c>
      <c r="F1632" s="158" t="str">
        <f>+VLOOKUP(H1632,'code mapping'!A:C,3,0)</f>
        <v>LIC31</v>
      </c>
      <c r="G1632" s="127" t="s">
        <v>453</v>
      </c>
      <c r="H1632" s="127" t="s">
        <v>700</v>
      </c>
      <c r="I1632" s="127" t="s">
        <v>56</v>
      </c>
      <c r="J1632" s="128">
        <v>555100</v>
      </c>
      <c r="K1632" s="127" t="s">
        <v>579</v>
      </c>
      <c r="L1632" s="151">
        <v>555332</v>
      </c>
      <c r="M1632" s="128">
        <v>0</v>
      </c>
      <c r="N1632" s="127" t="s">
        <v>685</v>
      </c>
      <c r="O1632" s="127" t="s">
        <v>457</v>
      </c>
      <c r="P1632" s="128">
        <v>-18189.98</v>
      </c>
      <c r="Q1632" s="128">
        <v>0</v>
      </c>
      <c r="R1632" s="128">
        <v>0</v>
      </c>
      <c r="S1632" s="128">
        <v>0</v>
      </c>
      <c r="T1632" s="128">
        <v>-18189.98</v>
      </c>
      <c r="U1632" s="128">
        <v>0</v>
      </c>
      <c r="V1632" s="128">
        <v>-18189.98</v>
      </c>
      <c r="W1632" s="128">
        <v>0</v>
      </c>
      <c r="X1632" s="128">
        <v>0</v>
      </c>
      <c r="Y1632" s="128">
        <v>0</v>
      </c>
      <c r="Z1632" s="128">
        <v>-18189.98</v>
      </c>
      <c r="AA1632" s="128">
        <v>0</v>
      </c>
      <c r="AB1632" s="126">
        <f t="shared" si="172"/>
        <v>1.8189980000000001E-3</v>
      </c>
      <c r="AC1632" s="122" t="s">
        <v>1838</v>
      </c>
      <c r="AD1632" s="123">
        <f t="shared" si="174"/>
        <v>3.077724421000001</v>
      </c>
    </row>
    <row r="1633" spans="1:30" ht="12.75" hidden="1" customHeight="1">
      <c r="A1633" s="125" t="str">
        <f t="shared" si="169"/>
        <v>LIC31Management Fees-QDP</v>
      </c>
      <c r="B1633" s="125">
        <f>+IFERROR(VLOOKUP(L1633,'TB mapping'!A:D,4,0),0)</f>
        <v>6.1</v>
      </c>
      <c r="C1633" s="125">
        <f>+IFERROR(VLOOKUP(L1633,'TB mapping'!A:C,3,0),0)</f>
        <v>6.3</v>
      </c>
      <c r="D1633" s="125" t="str">
        <f t="shared" si="170"/>
        <v>LIC316.1</v>
      </c>
      <c r="E1633" s="125" t="str">
        <f t="shared" si="171"/>
        <v>LIC316.3</v>
      </c>
      <c r="F1633" s="158" t="str">
        <f>+VLOOKUP(H1633,'code mapping'!A:C,3,0)</f>
        <v>LIC31</v>
      </c>
      <c r="G1633" s="127" t="s">
        <v>453</v>
      </c>
      <c r="H1633" s="127" t="s">
        <v>700</v>
      </c>
      <c r="I1633" s="127" t="s">
        <v>56</v>
      </c>
      <c r="J1633" s="128">
        <v>555100</v>
      </c>
      <c r="K1633" s="127" t="s">
        <v>579</v>
      </c>
      <c r="L1633" s="151">
        <v>555333</v>
      </c>
      <c r="M1633" s="128">
        <v>0</v>
      </c>
      <c r="N1633" s="127" t="s">
        <v>719</v>
      </c>
      <c r="O1633" s="127" t="s">
        <v>457</v>
      </c>
      <c r="P1633" s="128">
        <v>-39.270000000000003</v>
      </c>
      <c r="Q1633" s="128">
        <v>0</v>
      </c>
      <c r="R1633" s="128">
        <v>0</v>
      </c>
      <c r="S1633" s="128">
        <v>0</v>
      </c>
      <c r="T1633" s="128">
        <v>-39.270000000000003</v>
      </c>
      <c r="U1633" s="128">
        <v>0</v>
      </c>
      <c r="V1633" s="128">
        <v>-39.270000000000003</v>
      </c>
      <c r="W1633" s="128">
        <v>0</v>
      </c>
      <c r="X1633" s="128">
        <v>0</v>
      </c>
      <c r="Y1633" s="128">
        <v>0</v>
      </c>
      <c r="Z1633" s="128">
        <v>-39.270000000000003</v>
      </c>
      <c r="AA1633" s="128">
        <v>0</v>
      </c>
      <c r="AB1633" s="126">
        <f t="shared" si="172"/>
        <v>3.9270000000000007E-6</v>
      </c>
      <c r="AC1633" s="122" t="s">
        <v>1838</v>
      </c>
      <c r="AD1633" s="123">
        <f t="shared" si="174"/>
        <v>3.077724421000001</v>
      </c>
    </row>
    <row r="1634" spans="1:30" ht="12.75" hidden="1" customHeight="1">
      <c r="A1634" s="125" t="str">
        <f t="shared" si="169"/>
        <v>LIC31Management Fees-YDP</v>
      </c>
      <c r="B1634" s="125">
        <f>+IFERROR(VLOOKUP(L1634,'TB mapping'!A:D,4,0),0)</f>
        <v>6.1</v>
      </c>
      <c r="C1634" s="125">
        <f>+IFERROR(VLOOKUP(L1634,'TB mapping'!A:C,3,0),0)</f>
        <v>6.3</v>
      </c>
      <c r="D1634" s="125" t="str">
        <f t="shared" si="170"/>
        <v>LIC316.1</v>
      </c>
      <c r="E1634" s="125" t="str">
        <f t="shared" si="171"/>
        <v>LIC316.3</v>
      </c>
      <c r="F1634" s="158" t="str">
        <f>+VLOOKUP(H1634,'code mapping'!A:C,3,0)</f>
        <v>LIC31</v>
      </c>
      <c r="G1634" s="127" t="s">
        <v>453</v>
      </c>
      <c r="H1634" s="127" t="s">
        <v>700</v>
      </c>
      <c r="I1634" s="127" t="s">
        <v>56</v>
      </c>
      <c r="J1634" s="128">
        <v>555100</v>
      </c>
      <c r="K1634" s="127" t="s">
        <v>579</v>
      </c>
      <c r="L1634" s="151">
        <v>555335</v>
      </c>
      <c r="M1634" s="128">
        <v>0</v>
      </c>
      <c r="N1634" s="127" t="s">
        <v>720</v>
      </c>
      <c r="O1634" s="127" t="s">
        <v>457</v>
      </c>
      <c r="P1634" s="128">
        <v>-5395.18</v>
      </c>
      <c r="Q1634" s="128">
        <v>0</v>
      </c>
      <c r="R1634" s="128">
        <v>0</v>
      </c>
      <c r="S1634" s="128">
        <v>0</v>
      </c>
      <c r="T1634" s="128">
        <v>-5395.18</v>
      </c>
      <c r="U1634" s="128">
        <v>0</v>
      </c>
      <c r="V1634" s="128">
        <v>-5395.18</v>
      </c>
      <c r="W1634" s="128">
        <v>0</v>
      </c>
      <c r="X1634" s="128">
        <v>0</v>
      </c>
      <c r="Y1634" s="128">
        <v>0</v>
      </c>
      <c r="Z1634" s="128">
        <v>-5395.18</v>
      </c>
      <c r="AA1634" s="128">
        <v>0</v>
      </c>
      <c r="AB1634" s="126">
        <f t="shared" si="172"/>
        <v>5.3951800000000001E-4</v>
      </c>
      <c r="AC1634" s="122" t="s">
        <v>1838</v>
      </c>
      <c r="AD1634" s="123">
        <f t="shared" si="174"/>
        <v>3.077724421000001</v>
      </c>
    </row>
    <row r="1635" spans="1:30" ht="12.75" hidden="1" customHeight="1">
      <c r="A1635" s="125" t="str">
        <f t="shared" si="169"/>
        <v>LIC31Dividend Dist - RMD</v>
      </c>
      <c r="B1635" s="125">
        <f>+IFERROR(VLOOKUP(L1635,'TB mapping'!A:D,4,0),0)</f>
        <v>0</v>
      </c>
      <c r="C1635" s="125" t="str">
        <f>+IFERROR(VLOOKUP(L1635,'TB mapping'!A:C,3,0),0)</f>
        <v>ignore</v>
      </c>
      <c r="D1635" s="125" t="str">
        <f t="shared" si="170"/>
        <v>LIC310</v>
      </c>
      <c r="E1635" s="125" t="str">
        <f t="shared" si="171"/>
        <v>LIC31ignore</v>
      </c>
      <c r="F1635" s="158" t="str">
        <f>+VLOOKUP(H1635,'code mapping'!A:C,3,0)</f>
        <v>LIC31</v>
      </c>
      <c r="G1635" s="127" t="s">
        <v>453</v>
      </c>
      <c r="H1635" s="127" t="s">
        <v>700</v>
      </c>
      <c r="I1635" s="127" t="s">
        <v>56</v>
      </c>
      <c r="J1635" s="128">
        <v>555300</v>
      </c>
      <c r="K1635" s="127" t="s">
        <v>586</v>
      </c>
      <c r="L1635" s="151">
        <v>553306</v>
      </c>
      <c r="M1635" s="128">
        <v>0</v>
      </c>
      <c r="N1635" s="127" t="s">
        <v>690</v>
      </c>
      <c r="O1635" s="127" t="s">
        <v>457</v>
      </c>
      <c r="P1635" s="128">
        <v>-3018335.75</v>
      </c>
      <c r="Q1635" s="128">
        <v>0</v>
      </c>
      <c r="R1635" s="128">
        <v>0</v>
      </c>
      <c r="S1635" s="128">
        <v>0</v>
      </c>
      <c r="T1635" s="128">
        <v>-3018335.75</v>
      </c>
      <c r="U1635" s="128">
        <v>0</v>
      </c>
      <c r="V1635" s="128">
        <v>-3018335.75</v>
      </c>
      <c r="W1635" s="128">
        <v>0</v>
      </c>
      <c r="X1635" s="128">
        <v>0</v>
      </c>
      <c r="Y1635" s="128">
        <v>0</v>
      </c>
      <c r="Z1635" s="128">
        <v>-3018335.75</v>
      </c>
      <c r="AA1635" s="128">
        <v>0</v>
      </c>
      <c r="AB1635" s="126">
        <f t="shared" si="172"/>
        <v>0.30183357500000002</v>
      </c>
      <c r="AC1635" s="122" t="s">
        <v>1838</v>
      </c>
      <c r="AD1635" s="123">
        <f t="shared" ref="AD1635:AD1666" si="175">SUMIF(C:C,C1635,AB:AB)</f>
        <v>-291.7660984179999</v>
      </c>
    </row>
    <row r="1636" spans="1:30" ht="12.75" hidden="1" customHeight="1">
      <c r="A1636" s="125" t="str">
        <f t="shared" si="169"/>
        <v>LIC31Dividend Dist - RQD</v>
      </c>
      <c r="B1636" s="125">
        <f>+IFERROR(VLOOKUP(L1636,'TB mapping'!A:D,4,0),0)</f>
        <v>0</v>
      </c>
      <c r="C1636" s="125" t="str">
        <f>+IFERROR(VLOOKUP(L1636,'TB mapping'!A:C,3,0),0)</f>
        <v>ignore</v>
      </c>
      <c r="D1636" s="125" t="str">
        <f t="shared" si="170"/>
        <v>LIC310</v>
      </c>
      <c r="E1636" s="125" t="str">
        <f t="shared" si="171"/>
        <v>LIC31ignore</v>
      </c>
      <c r="F1636" s="158" t="str">
        <f>+VLOOKUP(H1636,'code mapping'!A:C,3,0)</f>
        <v>LIC31</v>
      </c>
      <c r="G1636" s="127" t="s">
        <v>453</v>
      </c>
      <c r="H1636" s="127" t="s">
        <v>700</v>
      </c>
      <c r="I1636" s="127" t="s">
        <v>56</v>
      </c>
      <c r="J1636" s="128">
        <v>555300</v>
      </c>
      <c r="K1636" s="127" t="s">
        <v>586</v>
      </c>
      <c r="L1636" s="151">
        <v>553308</v>
      </c>
      <c r="M1636" s="128">
        <v>0</v>
      </c>
      <c r="N1636" s="127" t="s">
        <v>721</v>
      </c>
      <c r="O1636" s="127" t="s">
        <v>457</v>
      </c>
      <c r="P1636" s="128">
        <v>-910178.97</v>
      </c>
      <c r="Q1636" s="128">
        <v>0</v>
      </c>
      <c r="R1636" s="128">
        <v>0</v>
      </c>
      <c r="S1636" s="128">
        <v>0</v>
      </c>
      <c r="T1636" s="128">
        <v>-910178.97</v>
      </c>
      <c r="U1636" s="128">
        <v>0</v>
      </c>
      <c r="V1636" s="128">
        <v>-910178.97</v>
      </c>
      <c r="W1636" s="128">
        <v>0</v>
      </c>
      <c r="X1636" s="128">
        <v>0</v>
      </c>
      <c r="Y1636" s="128">
        <v>0</v>
      </c>
      <c r="Z1636" s="128">
        <v>-910178.97</v>
      </c>
      <c r="AA1636" s="128">
        <v>0</v>
      </c>
      <c r="AB1636" s="126">
        <f t="shared" si="172"/>
        <v>9.1017897E-2</v>
      </c>
      <c r="AC1636" s="122" t="s">
        <v>1838</v>
      </c>
      <c r="AD1636" s="123">
        <f t="shared" si="175"/>
        <v>-291.7660984179999</v>
      </c>
    </row>
    <row r="1637" spans="1:30" ht="12.75" hidden="1" customHeight="1">
      <c r="A1637" s="125" t="str">
        <f t="shared" si="169"/>
        <v>LIC31Dividend Distribution-MDP</v>
      </c>
      <c r="B1637" s="125">
        <f>+IFERROR(VLOOKUP(L1637,'TB mapping'!A:D,4,0),0)</f>
        <v>0</v>
      </c>
      <c r="C1637" s="125" t="str">
        <f>+IFERROR(VLOOKUP(L1637,'TB mapping'!A:C,3,0),0)</f>
        <v>ignore</v>
      </c>
      <c r="D1637" s="125" t="str">
        <f t="shared" si="170"/>
        <v>LIC310</v>
      </c>
      <c r="E1637" s="125" t="str">
        <f t="shared" si="171"/>
        <v>LIC31ignore</v>
      </c>
      <c r="F1637" s="158" t="str">
        <f>+VLOOKUP(H1637,'code mapping'!A:C,3,0)</f>
        <v>LIC31</v>
      </c>
      <c r="G1637" s="127" t="s">
        <v>453</v>
      </c>
      <c r="H1637" s="127" t="s">
        <v>700</v>
      </c>
      <c r="I1637" s="127" t="s">
        <v>56</v>
      </c>
      <c r="J1637" s="128">
        <v>555300</v>
      </c>
      <c r="K1637" s="127" t="s">
        <v>586</v>
      </c>
      <c r="L1637" s="151">
        <v>554348</v>
      </c>
      <c r="M1637" s="128">
        <v>0</v>
      </c>
      <c r="N1637" s="127" t="s">
        <v>691</v>
      </c>
      <c r="O1637" s="127" t="s">
        <v>457</v>
      </c>
      <c r="P1637" s="128">
        <v>-65910.37</v>
      </c>
      <c r="Q1637" s="128">
        <v>0</v>
      </c>
      <c r="R1637" s="128">
        <v>0</v>
      </c>
      <c r="S1637" s="128">
        <v>0</v>
      </c>
      <c r="T1637" s="128">
        <v>-65910.37</v>
      </c>
      <c r="U1637" s="128">
        <v>0</v>
      </c>
      <c r="V1637" s="128">
        <v>-65910.37</v>
      </c>
      <c r="W1637" s="128">
        <v>0</v>
      </c>
      <c r="X1637" s="128">
        <v>0</v>
      </c>
      <c r="Y1637" s="128">
        <v>0</v>
      </c>
      <c r="Z1637" s="128">
        <v>-65910.37</v>
      </c>
      <c r="AA1637" s="128">
        <v>0</v>
      </c>
      <c r="AB1637" s="126">
        <f t="shared" si="172"/>
        <v>6.5910369999999992E-3</v>
      </c>
      <c r="AC1637" s="122" t="s">
        <v>1838</v>
      </c>
      <c r="AD1637" s="123">
        <f t="shared" si="175"/>
        <v>-291.7660984179999</v>
      </c>
    </row>
    <row r="1638" spans="1:30" ht="12.75" hidden="1" customHeight="1">
      <c r="A1638" s="125" t="str">
        <f t="shared" si="169"/>
        <v>LIC31Dividend Distribution-QDP</v>
      </c>
      <c r="B1638" s="125">
        <f>+IFERROR(VLOOKUP(L1638,'TB mapping'!A:D,4,0),0)</f>
        <v>0</v>
      </c>
      <c r="C1638" s="125" t="str">
        <f>+IFERROR(VLOOKUP(L1638,'TB mapping'!A:C,3,0),0)</f>
        <v>ignore</v>
      </c>
      <c r="D1638" s="125" t="str">
        <f t="shared" si="170"/>
        <v>LIC310</v>
      </c>
      <c r="E1638" s="125" t="str">
        <f t="shared" si="171"/>
        <v>LIC31ignore</v>
      </c>
      <c r="F1638" s="158" t="str">
        <f>+VLOOKUP(H1638,'code mapping'!A:C,3,0)</f>
        <v>LIC31</v>
      </c>
      <c r="G1638" s="127" t="s">
        <v>453</v>
      </c>
      <c r="H1638" s="127" t="s">
        <v>700</v>
      </c>
      <c r="I1638" s="127" t="s">
        <v>56</v>
      </c>
      <c r="J1638" s="128">
        <v>555300</v>
      </c>
      <c r="K1638" s="127" t="s">
        <v>586</v>
      </c>
      <c r="L1638" s="151">
        <v>554349</v>
      </c>
      <c r="M1638" s="128">
        <v>0</v>
      </c>
      <c r="N1638" s="127" t="s">
        <v>722</v>
      </c>
      <c r="O1638" s="127" t="s">
        <v>457</v>
      </c>
      <c r="P1638" s="128">
        <v>-125.34</v>
      </c>
      <c r="Q1638" s="128">
        <v>0</v>
      </c>
      <c r="R1638" s="128">
        <v>0</v>
      </c>
      <c r="S1638" s="128">
        <v>0</v>
      </c>
      <c r="T1638" s="128">
        <v>-125.34</v>
      </c>
      <c r="U1638" s="128">
        <v>0</v>
      </c>
      <c r="V1638" s="128">
        <v>-125.34</v>
      </c>
      <c r="W1638" s="128">
        <v>0</v>
      </c>
      <c r="X1638" s="128">
        <v>0</v>
      </c>
      <c r="Y1638" s="128">
        <v>0</v>
      </c>
      <c r="Z1638" s="128">
        <v>-125.34</v>
      </c>
      <c r="AA1638" s="128">
        <v>0</v>
      </c>
      <c r="AB1638" s="126">
        <f t="shared" si="172"/>
        <v>1.2534000000000001E-5</v>
      </c>
      <c r="AC1638" s="122" t="s">
        <v>1838</v>
      </c>
      <c r="AD1638" s="123">
        <f t="shared" si="175"/>
        <v>-291.7660984179999</v>
      </c>
    </row>
    <row r="1639" spans="1:30" ht="12.75" hidden="1" customHeight="1">
      <c r="A1639" s="125" t="str">
        <f t="shared" si="169"/>
        <v>LIC31Dividend Distribution-YDP</v>
      </c>
      <c r="B1639" s="125">
        <f>+IFERROR(VLOOKUP(L1639,'TB mapping'!A:D,4,0),0)</f>
        <v>0</v>
      </c>
      <c r="C1639" s="125" t="str">
        <f>+IFERROR(VLOOKUP(L1639,'TB mapping'!A:C,3,0),0)</f>
        <v>Ignore</v>
      </c>
      <c r="D1639" s="125" t="str">
        <f t="shared" si="170"/>
        <v>LIC310</v>
      </c>
      <c r="E1639" s="125" t="str">
        <f t="shared" si="171"/>
        <v>LIC31Ignore</v>
      </c>
      <c r="F1639" s="158" t="str">
        <f>+VLOOKUP(H1639,'code mapping'!A:C,3,0)</f>
        <v>LIC31</v>
      </c>
      <c r="G1639" s="127" t="s">
        <v>453</v>
      </c>
      <c r="H1639" s="127" t="s">
        <v>700</v>
      </c>
      <c r="I1639" s="127" t="s">
        <v>56</v>
      </c>
      <c r="J1639" s="128">
        <v>555300</v>
      </c>
      <c r="K1639" s="127" t="s">
        <v>586</v>
      </c>
      <c r="L1639" s="151">
        <v>554351</v>
      </c>
      <c r="M1639" s="128">
        <v>0</v>
      </c>
      <c r="N1639" s="127" t="s">
        <v>723</v>
      </c>
      <c r="O1639" s="127" t="s">
        <v>457</v>
      </c>
      <c r="P1639" s="128">
        <v>-34971.56</v>
      </c>
      <c r="Q1639" s="128">
        <v>0</v>
      </c>
      <c r="R1639" s="128">
        <v>0</v>
      </c>
      <c r="S1639" s="128">
        <v>0</v>
      </c>
      <c r="T1639" s="128">
        <v>-34971.56</v>
      </c>
      <c r="U1639" s="128">
        <v>0</v>
      </c>
      <c r="V1639" s="128">
        <v>-34971.56</v>
      </c>
      <c r="W1639" s="128">
        <v>0</v>
      </c>
      <c r="X1639" s="128">
        <v>0</v>
      </c>
      <c r="Y1639" s="128">
        <v>0</v>
      </c>
      <c r="Z1639" s="128">
        <v>-34971.56</v>
      </c>
      <c r="AA1639" s="128">
        <v>0</v>
      </c>
      <c r="AB1639" s="126">
        <f t="shared" si="172"/>
        <v>3.497156E-3</v>
      </c>
      <c r="AC1639" s="122" t="s">
        <v>1838</v>
      </c>
      <c r="AD1639" s="123">
        <f t="shared" si="175"/>
        <v>-291.7660984179999</v>
      </c>
    </row>
    <row r="1640" spans="1:30" ht="12.75" hidden="1" customHeight="1">
      <c r="A1640" s="125" t="str">
        <f t="shared" si="169"/>
        <v>LIC31Dividend Distribution-RAD</v>
      </c>
      <c r="B1640" s="125">
        <f>+IFERROR(VLOOKUP(L1640,'TB mapping'!A:D,4,0),0)</f>
        <v>0</v>
      </c>
      <c r="C1640" s="125" t="str">
        <f>+IFERROR(VLOOKUP(L1640,'TB mapping'!A:C,3,0),0)</f>
        <v>ignore</v>
      </c>
      <c r="D1640" s="125" t="str">
        <f t="shared" si="170"/>
        <v>LIC310</v>
      </c>
      <c r="E1640" s="125" t="str">
        <f t="shared" si="171"/>
        <v>LIC31ignore</v>
      </c>
      <c r="F1640" s="158" t="str">
        <f>+VLOOKUP(H1640,'code mapping'!A:C,3,0)</f>
        <v>LIC31</v>
      </c>
      <c r="G1640" s="127" t="s">
        <v>453</v>
      </c>
      <c r="H1640" s="127" t="s">
        <v>700</v>
      </c>
      <c r="I1640" s="127" t="s">
        <v>56</v>
      </c>
      <c r="J1640" s="128">
        <v>555300</v>
      </c>
      <c r="K1640" s="127" t="s">
        <v>586</v>
      </c>
      <c r="L1640" s="151">
        <v>554492</v>
      </c>
      <c r="M1640" s="128">
        <v>0</v>
      </c>
      <c r="N1640" s="127" t="s">
        <v>724</v>
      </c>
      <c r="O1640" s="127" t="s">
        <v>457</v>
      </c>
      <c r="P1640" s="128">
        <v>-3036956.53</v>
      </c>
      <c r="Q1640" s="128">
        <v>0</v>
      </c>
      <c r="R1640" s="128">
        <v>0</v>
      </c>
      <c r="S1640" s="128">
        <v>0</v>
      </c>
      <c r="T1640" s="128">
        <v>-3036956.53</v>
      </c>
      <c r="U1640" s="128">
        <v>0</v>
      </c>
      <c r="V1640" s="128">
        <v>-3036956.53</v>
      </c>
      <c r="W1640" s="128">
        <v>0</v>
      </c>
      <c r="X1640" s="128">
        <v>0</v>
      </c>
      <c r="Y1640" s="128">
        <v>0</v>
      </c>
      <c r="Z1640" s="128">
        <v>-3036956.53</v>
      </c>
      <c r="AA1640" s="128">
        <v>0</v>
      </c>
      <c r="AB1640" s="126">
        <f t="shared" si="172"/>
        <v>0.30369565299999995</v>
      </c>
      <c r="AC1640" s="122" t="s">
        <v>1838</v>
      </c>
      <c r="AD1640" s="123">
        <f t="shared" si="175"/>
        <v>-291.7660984179999</v>
      </c>
    </row>
    <row r="1641" spans="1:30" ht="12.75" hidden="1" customHeight="1">
      <c r="A1641" s="125" t="str">
        <f t="shared" si="169"/>
        <v>LIC31DDT Expense-RMD</v>
      </c>
      <c r="B1641" s="125">
        <f>+IFERROR(VLOOKUP(L1641,'TB mapping'!A:D,4,0),0)</f>
        <v>0</v>
      </c>
      <c r="C1641" s="125" t="str">
        <f>+IFERROR(VLOOKUP(L1641,'TB mapping'!A:C,3,0),0)</f>
        <v>ignore</v>
      </c>
      <c r="D1641" s="125" t="str">
        <f t="shared" si="170"/>
        <v>LIC310</v>
      </c>
      <c r="E1641" s="125" t="str">
        <f t="shared" si="171"/>
        <v>LIC31ignore</v>
      </c>
      <c r="F1641" s="158" t="str">
        <f>+VLOOKUP(H1641,'code mapping'!A:C,3,0)</f>
        <v>LIC31</v>
      </c>
      <c r="G1641" s="127" t="s">
        <v>453</v>
      </c>
      <c r="H1641" s="127" t="s">
        <v>700</v>
      </c>
      <c r="I1641" s="127" t="s">
        <v>56</v>
      </c>
      <c r="J1641" s="128">
        <v>555300</v>
      </c>
      <c r="K1641" s="127" t="s">
        <v>586</v>
      </c>
      <c r="L1641" s="151">
        <v>556306</v>
      </c>
      <c r="M1641" s="128">
        <v>0</v>
      </c>
      <c r="N1641" s="127" t="s">
        <v>696</v>
      </c>
      <c r="O1641" s="127" t="s">
        <v>457</v>
      </c>
      <c r="P1641" s="128">
        <v>-1167475</v>
      </c>
      <c r="Q1641" s="128">
        <v>0</v>
      </c>
      <c r="R1641" s="128">
        <v>0</v>
      </c>
      <c r="S1641" s="128">
        <v>0</v>
      </c>
      <c r="T1641" s="128">
        <v>-1167475</v>
      </c>
      <c r="U1641" s="128">
        <v>0</v>
      </c>
      <c r="V1641" s="128">
        <v>-1167475</v>
      </c>
      <c r="W1641" s="128">
        <v>0</v>
      </c>
      <c r="X1641" s="128">
        <v>0</v>
      </c>
      <c r="Y1641" s="128">
        <v>0</v>
      </c>
      <c r="Z1641" s="128">
        <v>-1167475</v>
      </c>
      <c r="AA1641" s="128">
        <v>0</v>
      </c>
      <c r="AB1641" s="126">
        <f t="shared" si="172"/>
        <v>0.1167475</v>
      </c>
      <c r="AC1641" s="122" t="s">
        <v>1838</v>
      </c>
      <c r="AD1641" s="123">
        <f t="shared" si="175"/>
        <v>-291.7660984179999</v>
      </c>
    </row>
    <row r="1642" spans="1:30" ht="12.75" hidden="1" customHeight="1">
      <c r="A1642" s="125" t="str">
        <f t="shared" si="169"/>
        <v>LIC31DDT Expense-RQD</v>
      </c>
      <c r="B1642" s="125">
        <f>+IFERROR(VLOOKUP(L1642,'TB mapping'!A:D,4,0),0)</f>
        <v>0</v>
      </c>
      <c r="C1642" s="125" t="str">
        <f>+IFERROR(VLOOKUP(L1642,'TB mapping'!A:C,3,0),0)</f>
        <v>ignore</v>
      </c>
      <c r="D1642" s="125" t="str">
        <f t="shared" si="170"/>
        <v>LIC310</v>
      </c>
      <c r="E1642" s="125" t="str">
        <f t="shared" si="171"/>
        <v>LIC31ignore</v>
      </c>
      <c r="F1642" s="158" t="str">
        <f>+VLOOKUP(H1642,'code mapping'!A:C,3,0)</f>
        <v>LIC31</v>
      </c>
      <c r="G1642" s="127" t="s">
        <v>453</v>
      </c>
      <c r="H1642" s="127" t="s">
        <v>700</v>
      </c>
      <c r="I1642" s="127" t="s">
        <v>56</v>
      </c>
      <c r="J1642" s="128">
        <v>555300</v>
      </c>
      <c r="K1642" s="127" t="s">
        <v>586</v>
      </c>
      <c r="L1642" s="151">
        <v>556308</v>
      </c>
      <c r="M1642" s="128">
        <v>0</v>
      </c>
      <c r="N1642" s="127" t="s">
        <v>725</v>
      </c>
      <c r="O1642" s="127" t="s">
        <v>457</v>
      </c>
      <c r="P1642" s="128">
        <v>-355729</v>
      </c>
      <c r="Q1642" s="128">
        <v>0</v>
      </c>
      <c r="R1642" s="128">
        <v>0</v>
      </c>
      <c r="S1642" s="128">
        <v>0</v>
      </c>
      <c r="T1642" s="128">
        <v>-355729</v>
      </c>
      <c r="U1642" s="128">
        <v>0</v>
      </c>
      <c r="V1642" s="128">
        <v>-355729</v>
      </c>
      <c r="W1642" s="128">
        <v>0</v>
      </c>
      <c r="X1642" s="128">
        <v>0</v>
      </c>
      <c r="Y1642" s="128">
        <v>0</v>
      </c>
      <c r="Z1642" s="128">
        <v>-355729</v>
      </c>
      <c r="AA1642" s="128">
        <v>0</v>
      </c>
      <c r="AB1642" s="126">
        <f t="shared" si="172"/>
        <v>3.5572899999999998E-2</v>
      </c>
      <c r="AC1642" s="122" t="s">
        <v>1838</v>
      </c>
      <c r="AD1642" s="123">
        <f t="shared" si="175"/>
        <v>-291.7660984179999</v>
      </c>
    </row>
    <row r="1643" spans="1:30" ht="12.75" hidden="1" customHeight="1">
      <c r="A1643" s="125" t="str">
        <f t="shared" si="169"/>
        <v>LIC31DDT Expense-MDP</v>
      </c>
      <c r="B1643" s="125">
        <f>+IFERROR(VLOOKUP(L1643,'TB mapping'!A:D,4,0),0)</f>
        <v>0</v>
      </c>
      <c r="C1643" s="125" t="str">
        <f>+IFERROR(VLOOKUP(L1643,'TB mapping'!A:C,3,0),0)</f>
        <v>ignore</v>
      </c>
      <c r="D1643" s="125" t="str">
        <f t="shared" si="170"/>
        <v>LIC310</v>
      </c>
      <c r="E1643" s="125" t="str">
        <f t="shared" si="171"/>
        <v>LIC31ignore</v>
      </c>
      <c r="F1643" s="158" t="str">
        <f>+VLOOKUP(H1643,'code mapping'!A:C,3,0)</f>
        <v>LIC31</v>
      </c>
      <c r="G1643" s="127" t="s">
        <v>453</v>
      </c>
      <c r="H1643" s="127" t="s">
        <v>700</v>
      </c>
      <c r="I1643" s="127" t="s">
        <v>56</v>
      </c>
      <c r="J1643" s="128">
        <v>555300</v>
      </c>
      <c r="K1643" s="127" t="s">
        <v>586</v>
      </c>
      <c r="L1643" s="151">
        <v>556348</v>
      </c>
      <c r="M1643" s="128">
        <v>0</v>
      </c>
      <c r="N1643" s="127" t="s">
        <v>697</v>
      </c>
      <c r="O1643" s="127" t="s">
        <v>457</v>
      </c>
      <c r="P1643" s="128">
        <v>-25347</v>
      </c>
      <c r="Q1643" s="128">
        <v>0</v>
      </c>
      <c r="R1643" s="128">
        <v>0</v>
      </c>
      <c r="S1643" s="128">
        <v>0</v>
      </c>
      <c r="T1643" s="128">
        <v>-25347</v>
      </c>
      <c r="U1643" s="128">
        <v>0</v>
      </c>
      <c r="V1643" s="128">
        <v>-25347</v>
      </c>
      <c r="W1643" s="128">
        <v>0</v>
      </c>
      <c r="X1643" s="128">
        <v>0</v>
      </c>
      <c r="Y1643" s="128">
        <v>0</v>
      </c>
      <c r="Z1643" s="128">
        <v>-25347</v>
      </c>
      <c r="AA1643" s="128">
        <v>0</v>
      </c>
      <c r="AB1643" s="126">
        <f t="shared" si="172"/>
        <v>2.5347E-3</v>
      </c>
      <c r="AC1643" s="122" t="s">
        <v>1838</v>
      </c>
      <c r="AD1643" s="123">
        <f t="shared" si="175"/>
        <v>-291.7660984179999</v>
      </c>
    </row>
    <row r="1644" spans="1:30" ht="12.75" hidden="1" customHeight="1">
      <c r="A1644" s="125" t="str">
        <f t="shared" si="169"/>
        <v>LIC31DDT Expense-QDP</v>
      </c>
      <c r="B1644" s="125">
        <f>+IFERROR(VLOOKUP(L1644,'TB mapping'!A:D,4,0),0)</f>
        <v>0</v>
      </c>
      <c r="C1644" s="125" t="str">
        <f>+IFERROR(VLOOKUP(L1644,'TB mapping'!A:C,3,0),0)</f>
        <v>ignore</v>
      </c>
      <c r="D1644" s="125" t="str">
        <f t="shared" si="170"/>
        <v>LIC310</v>
      </c>
      <c r="E1644" s="125" t="str">
        <f t="shared" si="171"/>
        <v>LIC31ignore</v>
      </c>
      <c r="F1644" s="158" t="str">
        <f>+VLOOKUP(H1644,'code mapping'!A:C,3,0)</f>
        <v>LIC31</v>
      </c>
      <c r="G1644" s="127" t="s">
        <v>453</v>
      </c>
      <c r="H1644" s="127" t="s">
        <v>700</v>
      </c>
      <c r="I1644" s="127" t="s">
        <v>56</v>
      </c>
      <c r="J1644" s="128">
        <v>555300</v>
      </c>
      <c r="K1644" s="127" t="s">
        <v>586</v>
      </c>
      <c r="L1644" s="151">
        <v>556349</v>
      </c>
      <c r="M1644" s="128">
        <v>0</v>
      </c>
      <c r="N1644" s="127" t="s">
        <v>726</v>
      </c>
      <c r="O1644" s="127" t="s">
        <v>457</v>
      </c>
      <c r="P1644" s="128">
        <v>-49</v>
      </c>
      <c r="Q1644" s="128">
        <v>0</v>
      </c>
      <c r="R1644" s="128">
        <v>0</v>
      </c>
      <c r="S1644" s="128">
        <v>0</v>
      </c>
      <c r="T1644" s="128">
        <v>-49</v>
      </c>
      <c r="U1644" s="128">
        <v>0</v>
      </c>
      <c r="V1644" s="128">
        <v>-49</v>
      </c>
      <c r="W1644" s="128">
        <v>0</v>
      </c>
      <c r="X1644" s="128">
        <v>0</v>
      </c>
      <c r="Y1644" s="128">
        <v>0</v>
      </c>
      <c r="Z1644" s="128">
        <v>-49</v>
      </c>
      <c r="AA1644" s="128">
        <v>0</v>
      </c>
      <c r="AB1644" s="126">
        <f t="shared" si="172"/>
        <v>4.8999999999999997E-6</v>
      </c>
      <c r="AC1644" s="122" t="s">
        <v>1838</v>
      </c>
      <c r="AD1644" s="123">
        <f t="shared" si="175"/>
        <v>-291.7660984179999</v>
      </c>
    </row>
    <row r="1645" spans="1:30" ht="12.75" hidden="1" customHeight="1">
      <c r="A1645" s="125" t="str">
        <f t="shared" si="169"/>
        <v>LIC31DDT Expense-YDP</v>
      </c>
      <c r="B1645" s="125">
        <f>+IFERROR(VLOOKUP(L1645,'TB mapping'!A:D,4,0),0)</f>
        <v>0</v>
      </c>
      <c r="C1645" s="125" t="str">
        <f>+IFERROR(VLOOKUP(L1645,'TB mapping'!A:C,3,0),0)</f>
        <v>ignore</v>
      </c>
      <c r="D1645" s="125" t="str">
        <f t="shared" si="170"/>
        <v>LIC310</v>
      </c>
      <c r="E1645" s="125" t="str">
        <f t="shared" si="171"/>
        <v>LIC31ignore</v>
      </c>
      <c r="F1645" s="158" t="str">
        <f>+VLOOKUP(H1645,'code mapping'!A:C,3,0)</f>
        <v>LIC31</v>
      </c>
      <c r="G1645" s="127" t="s">
        <v>453</v>
      </c>
      <c r="H1645" s="127" t="s">
        <v>700</v>
      </c>
      <c r="I1645" s="127" t="s">
        <v>56</v>
      </c>
      <c r="J1645" s="128">
        <v>555300</v>
      </c>
      <c r="K1645" s="127" t="s">
        <v>586</v>
      </c>
      <c r="L1645" s="151">
        <v>556351</v>
      </c>
      <c r="M1645" s="128">
        <v>0</v>
      </c>
      <c r="N1645" s="127" t="s">
        <v>727</v>
      </c>
      <c r="O1645" s="127" t="s">
        <v>457</v>
      </c>
      <c r="P1645" s="128">
        <v>-13448</v>
      </c>
      <c r="Q1645" s="128">
        <v>0</v>
      </c>
      <c r="R1645" s="128">
        <v>0</v>
      </c>
      <c r="S1645" s="128">
        <v>0</v>
      </c>
      <c r="T1645" s="128">
        <v>-13448</v>
      </c>
      <c r="U1645" s="128">
        <v>0</v>
      </c>
      <c r="V1645" s="128">
        <v>-13448</v>
      </c>
      <c r="W1645" s="128">
        <v>0</v>
      </c>
      <c r="X1645" s="128">
        <v>0</v>
      </c>
      <c r="Y1645" s="128">
        <v>0</v>
      </c>
      <c r="Z1645" s="128">
        <v>-13448</v>
      </c>
      <c r="AA1645" s="128">
        <v>0</v>
      </c>
      <c r="AB1645" s="126">
        <f t="shared" si="172"/>
        <v>1.3447999999999999E-3</v>
      </c>
      <c r="AC1645" s="122" t="s">
        <v>1838</v>
      </c>
      <c r="AD1645" s="123">
        <f t="shared" si="175"/>
        <v>-291.7660984179999</v>
      </c>
    </row>
    <row r="1646" spans="1:30" ht="12.75" hidden="1" customHeight="1">
      <c r="A1646" s="125" t="str">
        <f t="shared" si="169"/>
        <v>LIC31DDT Expense-RAD</v>
      </c>
      <c r="B1646" s="125">
        <f>+IFERROR(VLOOKUP(L1646,'TB mapping'!A:D,4,0),0)</f>
        <v>0</v>
      </c>
      <c r="C1646" s="125" t="str">
        <f>+IFERROR(VLOOKUP(L1646,'TB mapping'!A:C,3,0),0)</f>
        <v>ignore</v>
      </c>
      <c r="D1646" s="125" t="str">
        <f t="shared" si="170"/>
        <v>LIC310</v>
      </c>
      <c r="E1646" s="125" t="str">
        <f t="shared" si="171"/>
        <v>LIC31ignore</v>
      </c>
      <c r="F1646" s="158" t="str">
        <f>+VLOOKUP(H1646,'code mapping'!A:C,3,0)</f>
        <v>LIC31</v>
      </c>
      <c r="G1646" s="127" t="s">
        <v>453</v>
      </c>
      <c r="H1646" s="127" t="s">
        <v>700</v>
      </c>
      <c r="I1646" s="127" t="s">
        <v>56</v>
      </c>
      <c r="J1646" s="128">
        <v>555300</v>
      </c>
      <c r="K1646" s="127" t="s">
        <v>586</v>
      </c>
      <c r="L1646" s="151">
        <v>556390</v>
      </c>
      <c r="M1646" s="128">
        <v>0</v>
      </c>
      <c r="N1646" s="127" t="s">
        <v>728</v>
      </c>
      <c r="O1646" s="127" t="s">
        <v>457</v>
      </c>
      <c r="P1646" s="128">
        <v>-1214161</v>
      </c>
      <c r="Q1646" s="128">
        <v>0</v>
      </c>
      <c r="R1646" s="128">
        <v>0</v>
      </c>
      <c r="S1646" s="128">
        <v>0</v>
      </c>
      <c r="T1646" s="128">
        <v>-1214161</v>
      </c>
      <c r="U1646" s="128">
        <v>0</v>
      </c>
      <c r="V1646" s="128">
        <v>-1214161</v>
      </c>
      <c r="W1646" s="128">
        <v>0</v>
      </c>
      <c r="X1646" s="128">
        <v>0</v>
      </c>
      <c r="Y1646" s="128">
        <v>0</v>
      </c>
      <c r="Z1646" s="128">
        <v>-1214161</v>
      </c>
      <c r="AA1646" s="128">
        <v>0</v>
      </c>
      <c r="AB1646" s="126">
        <f t="shared" si="172"/>
        <v>0.1214161</v>
      </c>
      <c r="AC1646" s="122" t="s">
        <v>1838</v>
      </c>
      <c r="AD1646" s="123">
        <f t="shared" si="175"/>
        <v>-291.7660984179999</v>
      </c>
    </row>
    <row r="1647" spans="1:30" ht="12.75" hidden="1" customHeight="1">
      <c r="A1647" s="125" t="str">
        <f t="shared" si="169"/>
        <v>LIC40Investment - Corp Bond/Debent.</v>
      </c>
      <c r="B1647" s="125">
        <f>+IFERROR(VLOOKUP(L1647,'TB mapping'!A:D,4,0),0)</f>
        <v>0</v>
      </c>
      <c r="C1647" s="125">
        <f>+IFERROR(VLOOKUP(L1647,'TB mapping'!A:C,3,0),0)</f>
        <v>0</v>
      </c>
      <c r="D1647" s="125" t="str">
        <f t="shared" si="170"/>
        <v>LIC400</v>
      </c>
      <c r="E1647" s="125" t="str">
        <f t="shared" si="171"/>
        <v>LIC400</v>
      </c>
      <c r="F1647" s="158" t="str">
        <f>+VLOOKUP(H1647,'code mapping'!A:C,3,0)</f>
        <v>LIC40</v>
      </c>
      <c r="G1647" s="127" t="s">
        <v>453</v>
      </c>
      <c r="H1647" s="127" t="s">
        <v>729</v>
      </c>
      <c r="I1647" s="127" t="s">
        <v>63</v>
      </c>
      <c r="J1647" s="128">
        <v>102000</v>
      </c>
      <c r="K1647" s="127" t="s">
        <v>455</v>
      </c>
      <c r="L1647" s="151">
        <v>102120</v>
      </c>
      <c r="M1647" s="128">
        <v>0</v>
      </c>
      <c r="N1647" s="127" t="s">
        <v>456</v>
      </c>
      <c r="O1647" s="127" t="s">
        <v>457</v>
      </c>
      <c r="P1647" s="128">
        <v>-7637561220</v>
      </c>
      <c r="Q1647" s="128">
        <v>0</v>
      </c>
      <c r="R1647" s="128">
        <v>0</v>
      </c>
      <c r="S1647" s="128">
        <v>0</v>
      </c>
      <c r="T1647" s="128">
        <v>-7637561220</v>
      </c>
      <c r="U1647" s="128">
        <v>0</v>
      </c>
      <c r="V1647" s="128">
        <v>-7637561220</v>
      </c>
      <c r="W1647" s="128">
        <v>0</v>
      </c>
      <c r="X1647" s="128">
        <v>0</v>
      </c>
      <c r="Y1647" s="128">
        <v>0</v>
      </c>
      <c r="Z1647" s="128">
        <v>-7637561220</v>
      </c>
      <c r="AA1647" s="128">
        <v>0</v>
      </c>
      <c r="AB1647" s="126">
        <f t="shared" si="172"/>
        <v>763.756122</v>
      </c>
      <c r="AC1647" s="122" t="s">
        <v>1838</v>
      </c>
      <c r="AD1647" s="123">
        <f t="shared" si="175"/>
        <v>1983.9723217250009</v>
      </c>
    </row>
    <row r="1648" spans="1:30" ht="12.75" hidden="1" customHeight="1">
      <c r="A1648" s="125" t="str">
        <f t="shared" si="169"/>
        <v>LIC40Investment - Commercial Paper</v>
      </c>
      <c r="B1648" s="125">
        <f>+IFERROR(VLOOKUP(L1648,'TB mapping'!A:D,4,0),0)</f>
        <v>0</v>
      </c>
      <c r="C1648" s="125">
        <f>+IFERROR(VLOOKUP(L1648,'TB mapping'!A:C,3,0),0)</f>
        <v>0</v>
      </c>
      <c r="D1648" s="125" t="str">
        <f t="shared" si="170"/>
        <v>LIC400</v>
      </c>
      <c r="E1648" s="125" t="str">
        <f t="shared" si="171"/>
        <v>LIC400</v>
      </c>
      <c r="F1648" s="158" t="str">
        <f>+VLOOKUP(H1648,'code mapping'!A:C,3,0)</f>
        <v>LIC40</v>
      </c>
      <c r="G1648" s="127" t="s">
        <v>453</v>
      </c>
      <c r="H1648" s="127" t="s">
        <v>729</v>
      </c>
      <c r="I1648" s="127" t="s">
        <v>63</v>
      </c>
      <c r="J1648" s="128">
        <v>102000</v>
      </c>
      <c r="K1648" s="127" t="s">
        <v>455</v>
      </c>
      <c r="L1648" s="151">
        <v>102180</v>
      </c>
      <c r="M1648" s="128">
        <v>0</v>
      </c>
      <c r="N1648" s="127" t="s">
        <v>644</v>
      </c>
      <c r="O1648" s="127" t="s">
        <v>457</v>
      </c>
      <c r="P1648" s="128">
        <v>-9445362140</v>
      </c>
      <c r="Q1648" s="128">
        <v>0</v>
      </c>
      <c r="R1648" s="128">
        <v>0</v>
      </c>
      <c r="S1648" s="128">
        <v>0</v>
      </c>
      <c r="T1648" s="128">
        <v>-9445362140</v>
      </c>
      <c r="U1648" s="128">
        <v>0</v>
      </c>
      <c r="V1648" s="128">
        <v>-9445362140</v>
      </c>
      <c r="W1648" s="128">
        <v>0</v>
      </c>
      <c r="X1648" s="128">
        <v>0</v>
      </c>
      <c r="Y1648" s="128">
        <v>0</v>
      </c>
      <c r="Z1648" s="128">
        <v>-9445362140</v>
      </c>
      <c r="AA1648" s="128">
        <v>0</v>
      </c>
      <c r="AB1648" s="126">
        <f t="shared" si="172"/>
        <v>944.53621399999997</v>
      </c>
      <c r="AC1648" s="122" t="s">
        <v>1838</v>
      </c>
      <c r="AD1648" s="123">
        <f t="shared" si="175"/>
        <v>1983.9723217250009</v>
      </c>
    </row>
    <row r="1649" spans="1:30" ht="12.75" hidden="1" customHeight="1">
      <c r="A1649" s="125" t="str">
        <f t="shared" si="169"/>
        <v>LIC40Investment - Cert of Deposits</v>
      </c>
      <c r="B1649" s="125">
        <f>+IFERROR(VLOOKUP(L1649,'TB mapping'!A:D,4,0),0)</f>
        <v>0</v>
      </c>
      <c r="C1649" s="125">
        <f>+IFERROR(VLOOKUP(L1649,'TB mapping'!A:C,3,0),0)</f>
        <v>0</v>
      </c>
      <c r="D1649" s="125" t="str">
        <f t="shared" si="170"/>
        <v>LIC400</v>
      </c>
      <c r="E1649" s="125" t="str">
        <f t="shared" si="171"/>
        <v>LIC400</v>
      </c>
      <c r="F1649" s="158" t="str">
        <f>+VLOOKUP(H1649,'code mapping'!A:C,3,0)</f>
        <v>LIC40</v>
      </c>
      <c r="G1649" s="127" t="s">
        <v>453</v>
      </c>
      <c r="H1649" s="127" t="s">
        <v>729</v>
      </c>
      <c r="I1649" s="127" t="s">
        <v>63</v>
      </c>
      <c r="J1649" s="128">
        <v>102000</v>
      </c>
      <c r="K1649" s="127" t="s">
        <v>455</v>
      </c>
      <c r="L1649" s="151">
        <v>102190</v>
      </c>
      <c r="M1649" s="128">
        <v>0</v>
      </c>
      <c r="N1649" s="127" t="s">
        <v>730</v>
      </c>
      <c r="O1649" s="127" t="s">
        <v>457</v>
      </c>
      <c r="P1649" s="128">
        <v>-3010305500</v>
      </c>
      <c r="Q1649" s="128">
        <v>0</v>
      </c>
      <c r="R1649" s="128">
        <v>0</v>
      </c>
      <c r="S1649" s="128">
        <v>0</v>
      </c>
      <c r="T1649" s="128">
        <v>-3010305500</v>
      </c>
      <c r="U1649" s="128">
        <v>0</v>
      </c>
      <c r="V1649" s="128">
        <v>-3010305500</v>
      </c>
      <c r="W1649" s="128">
        <v>0</v>
      </c>
      <c r="X1649" s="128">
        <v>0</v>
      </c>
      <c r="Y1649" s="128">
        <v>0</v>
      </c>
      <c r="Z1649" s="128">
        <v>-3010305500</v>
      </c>
      <c r="AA1649" s="128">
        <v>0</v>
      </c>
      <c r="AB1649" s="126">
        <f t="shared" si="172"/>
        <v>301.03055000000001</v>
      </c>
      <c r="AC1649" s="122" t="s">
        <v>1838</v>
      </c>
      <c r="AD1649" s="123">
        <f t="shared" si="175"/>
        <v>1983.9723217250009</v>
      </c>
    </row>
    <row r="1650" spans="1:30" ht="12.75" hidden="1" customHeight="1">
      <c r="A1650" s="125" t="str">
        <f t="shared" si="169"/>
        <v>LIC40Investment Mutual Fund</v>
      </c>
      <c r="B1650" s="125">
        <f>+IFERROR(VLOOKUP(L1650,'TB mapping'!A:D,4,0),0)</f>
        <v>0</v>
      </c>
      <c r="C1650" s="125">
        <f>+IFERROR(VLOOKUP(L1650,'TB mapping'!A:C,3,0),0)</f>
        <v>0</v>
      </c>
      <c r="D1650" s="125" t="str">
        <f t="shared" si="170"/>
        <v>LIC400</v>
      </c>
      <c r="E1650" s="125" t="str">
        <f t="shared" si="171"/>
        <v>LIC400</v>
      </c>
      <c r="F1650" s="158" t="str">
        <f>+VLOOKUP(H1650,'code mapping'!A:C,3,0)</f>
        <v>LIC40</v>
      </c>
      <c r="G1650" s="127" t="s">
        <v>453</v>
      </c>
      <c r="H1650" s="127" t="s">
        <v>729</v>
      </c>
      <c r="I1650" s="127" t="s">
        <v>63</v>
      </c>
      <c r="J1650" s="128">
        <v>105000</v>
      </c>
      <c r="K1650" s="127" t="s">
        <v>460</v>
      </c>
      <c r="L1650" s="151">
        <v>105100</v>
      </c>
      <c r="M1650" s="128">
        <v>0</v>
      </c>
      <c r="N1650" s="127" t="s">
        <v>461</v>
      </c>
      <c r="O1650" s="127" t="s">
        <v>457</v>
      </c>
      <c r="P1650" s="128">
        <v>-0.1</v>
      </c>
      <c r="Q1650" s="128">
        <v>0</v>
      </c>
      <c r="R1650" s="128">
        <v>0</v>
      </c>
      <c r="S1650" s="128">
        <v>0</v>
      </c>
      <c r="T1650" s="128">
        <v>-0.1</v>
      </c>
      <c r="U1650" s="128">
        <v>0</v>
      </c>
      <c r="V1650" s="128">
        <v>-0.1</v>
      </c>
      <c r="W1650" s="128">
        <v>0</v>
      </c>
      <c r="X1650" s="128">
        <v>0</v>
      </c>
      <c r="Y1650" s="128">
        <v>0</v>
      </c>
      <c r="Z1650" s="128">
        <v>-0.1</v>
      </c>
      <c r="AA1650" s="128">
        <v>0</v>
      </c>
      <c r="AB1650" s="126">
        <f t="shared" si="172"/>
        <v>1E-8</v>
      </c>
      <c r="AC1650" s="122" t="s">
        <v>1838</v>
      </c>
      <c r="AD1650" s="123">
        <f t="shared" si="175"/>
        <v>1983.9723217250009</v>
      </c>
    </row>
    <row r="1651" spans="1:30" ht="12.75" hidden="1" customHeight="1">
      <c r="A1651" s="125" t="str">
        <f t="shared" si="169"/>
        <v>LIC40Investment - CBLO</v>
      </c>
      <c r="B1651" s="125">
        <f>+IFERROR(VLOOKUP(L1651,'TB mapping'!A:D,4,0),0)</f>
        <v>0</v>
      </c>
      <c r="C1651" s="125">
        <f>+IFERROR(VLOOKUP(L1651,'TB mapping'!A:C,3,0),0)</f>
        <v>0</v>
      </c>
      <c r="D1651" s="125" t="str">
        <f t="shared" si="170"/>
        <v>LIC400</v>
      </c>
      <c r="E1651" s="125" t="str">
        <f t="shared" si="171"/>
        <v>LIC400</v>
      </c>
      <c r="F1651" s="158" t="str">
        <f>+VLOOKUP(H1651,'code mapping'!A:C,3,0)</f>
        <v>LIC40</v>
      </c>
      <c r="G1651" s="127" t="s">
        <v>453</v>
      </c>
      <c r="H1651" s="127" t="s">
        <v>729</v>
      </c>
      <c r="I1651" s="127" t="s">
        <v>63</v>
      </c>
      <c r="J1651" s="128">
        <v>110000</v>
      </c>
      <c r="K1651" s="127" t="s">
        <v>462</v>
      </c>
      <c r="L1651" s="151">
        <v>110100</v>
      </c>
      <c r="M1651" s="128">
        <v>0</v>
      </c>
      <c r="N1651" s="127" t="s">
        <v>463</v>
      </c>
      <c r="O1651" s="127" t="s">
        <v>457</v>
      </c>
      <c r="P1651" s="128">
        <v>-13627654.539999999</v>
      </c>
      <c r="Q1651" s="128">
        <v>0</v>
      </c>
      <c r="R1651" s="128">
        <v>0</v>
      </c>
      <c r="S1651" s="128">
        <v>0</v>
      </c>
      <c r="T1651" s="128">
        <v>-13627654.539999999</v>
      </c>
      <c r="U1651" s="128">
        <v>0</v>
      </c>
      <c r="V1651" s="128">
        <v>-13627654.539999999</v>
      </c>
      <c r="W1651" s="128">
        <v>0</v>
      </c>
      <c r="X1651" s="128">
        <v>0</v>
      </c>
      <c r="Y1651" s="128">
        <v>0</v>
      </c>
      <c r="Z1651" s="128">
        <v>-13627654.539999999</v>
      </c>
      <c r="AA1651" s="128">
        <v>0</v>
      </c>
      <c r="AB1651" s="126">
        <f t="shared" si="172"/>
        <v>1.3627654539999998</v>
      </c>
      <c r="AC1651" s="122" t="s">
        <v>1838</v>
      </c>
      <c r="AD1651" s="123">
        <f t="shared" si="175"/>
        <v>1983.9723217250009</v>
      </c>
    </row>
    <row r="1652" spans="1:30" ht="12.75" hidden="1" customHeight="1">
      <c r="A1652" s="125" t="str">
        <f t="shared" si="169"/>
        <v>LIC40Margin Money Deposits</v>
      </c>
      <c r="B1652" s="125">
        <f>+IFERROR(VLOOKUP(L1652,'TB mapping'!A:D,4,0),0)</f>
        <v>0</v>
      </c>
      <c r="C1652" s="125">
        <f>+IFERROR(VLOOKUP(L1652,'TB mapping'!A:C,3,0),0)</f>
        <v>0</v>
      </c>
      <c r="D1652" s="125" t="str">
        <f t="shared" si="170"/>
        <v>LIC400</v>
      </c>
      <c r="E1652" s="125" t="str">
        <f t="shared" si="171"/>
        <v>LIC400</v>
      </c>
      <c r="F1652" s="158" t="str">
        <f>+VLOOKUP(H1652,'code mapping'!A:C,3,0)</f>
        <v>LIC40</v>
      </c>
      <c r="G1652" s="127" t="s">
        <v>453</v>
      </c>
      <c r="H1652" s="127" t="s">
        <v>729</v>
      </c>
      <c r="I1652" s="127" t="s">
        <v>63</v>
      </c>
      <c r="J1652" s="128">
        <v>110000</v>
      </c>
      <c r="K1652" s="127" t="s">
        <v>462</v>
      </c>
      <c r="L1652" s="151">
        <v>110110</v>
      </c>
      <c r="M1652" s="128">
        <v>0</v>
      </c>
      <c r="N1652" s="127" t="s">
        <v>464</v>
      </c>
      <c r="O1652" s="127" t="s">
        <v>457</v>
      </c>
      <c r="P1652" s="128">
        <v>-1262725.46</v>
      </c>
      <c r="Q1652" s="128">
        <v>0</v>
      </c>
      <c r="R1652" s="128">
        <v>0</v>
      </c>
      <c r="S1652" s="128">
        <v>0</v>
      </c>
      <c r="T1652" s="128">
        <v>-1262725.46</v>
      </c>
      <c r="U1652" s="128">
        <v>0</v>
      </c>
      <c r="V1652" s="128">
        <v>-1262725.46</v>
      </c>
      <c r="W1652" s="128">
        <v>0</v>
      </c>
      <c r="X1652" s="128">
        <v>0</v>
      </c>
      <c r="Y1652" s="128">
        <v>0</v>
      </c>
      <c r="Z1652" s="128">
        <v>-1262725.46</v>
      </c>
      <c r="AA1652" s="128">
        <v>0</v>
      </c>
      <c r="AB1652" s="126">
        <f t="shared" si="172"/>
        <v>0.12627254599999999</v>
      </c>
      <c r="AC1652" s="122" t="s">
        <v>1838</v>
      </c>
      <c r="AD1652" s="123">
        <f t="shared" si="175"/>
        <v>1983.9723217250009</v>
      </c>
    </row>
    <row r="1653" spans="1:30" ht="12.75" hidden="1" customHeight="1">
      <c r="A1653" s="125" t="str">
        <f t="shared" si="169"/>
        <v>LIC40Margin Deposit For CCIL</v>
      </c>
      <c r="B1653" s="125">
        <f>+IFERROR(VLOOKUP(L1653,'TB mapping'!A:D,4,0),0)</f>
        <v>0</v>
      </c>
      <c r="C1653" s="125">
        <f>+IFERROR(VLOOKUP(L1653,'TB mapping'!A:C,3,0),0)</f>
        <v>0</v>
      </c>
      <c r="D1653" s="125" t="str">
        <f t="shared" si="170"/>
        <v>LIC400</v>
      </c>
      <c r="E1653" s="125" t="str">
        <f t="shared" si="171"/>
        <v>LIC400</v>
      </c>
      <c r="F1653" s="158" t="str">
        <f>+VLOOKUP(H1653,'code mapping'!A:C,3,0)</f>
        <v>LIC40</v>
      </c>
      <c r="G1653" s="127" t="s">
        <v>453</v>
      </c>
      <c r="H1653" s="127" t="s">
        <v>729</v>
      </c>
      <c r="I1653" s="127" t="s">
        <v>63</v>
      </c>
      <c r="J1653" s="128">
        <v>110000</v>
      </c>
      <c r="K1653" s="127" t="s">
        <v>462</v>
      </c>
      <c r="L1653" s="151">
        <v>110116</v>
      </c>
      <c r="M1653" s="128">
        <v>0</v>
      </c>
      <c r="N1653" s="127" t="s">
        <v>465</v>
      </c>
      <c r="O1653" s="127" t="s">
        <v>457</v>
      </c>
      <c r="P1653" s="128">
        <v>-210765.43</v>
      </c>
      <c r="Q1653" s="128">
        <v>0</v>
      </c>
      <c r="R1653" s="128">
        <v>0</v>
      </c>
      <c r="S1653" s="128">
        <v>0</v>
      </c>
      <c r="T1653" s="128">
        <v>-210765.43</v>
      </c>
      <c r="U1653" s="128">
        <v>0</v>
      </c>
      <c r="V1653" s="128">
        <v>-210765.43</v>
      </c>
      <c r="W1653" s="128">
        <v>0</v>
      </c>
      <c r="X1653" s="128">
        <v>0</v>
      </c>
      <c r="Y1653" s="128">
        <v>0</v>
      </c>
      <c r="Z1653" s="128">
        <v>-210765.43</v>
      </c>
      <c r="AA1653" s="128">
        <v>0</v>
      </c>
      <c r="AB1653" s="126">
        <f t="shared" si="172"/>
        <v>2.1076543E-2</v>
      </c>
      <c r="AC1653" s="122" t="s">
        <v>1838</v>
      </c>
      <c r="AD1653" s="123">
        <f t="shared" si="175"/>
        <v>1983.9723217250009</v>
      </c>
    </row>
    <row r="1654" spans="1:30" ht="12.75" hidden="1" customHeight="1">
      <c r="A1654" s="125" t="str">
        <f t="shared" si="169"/>
        <v>LIC40Sub. Rec. Control Account</v>
      </c>
      <c r="B1654" s="125">
        <f>+IFERROR(VLOOKUP(L1654,'TB mapping'!A:D,4,0),0)</f>
        <v>0</v>
      </c>
      <c r="C1654" s="125">
        <f>+IFERROR(VLOOKUP(L1654,'TB mapping'!A:C,3,0),0)</f>
        <v>0</v>
      </c>
      <c r="D1654" s="125" t="str">
        <f t="shared" si="170"/>
        <v>LIC400</v>
      </c>
      <c r="E1654" s="125" t="str">
        <f t="shared" si="171"/>
        <v>LIC400</v>
      </c>
      <c r="F1654" s="158" t="str">
        <f>+VLOOKUP(H1654,'code mapping'!A:C,3,0)</f>
        <v>LIC40</v>
      </c>
      <c r="G1654" s="127" t="s">
        <v>453</v>
      </c>
      <c r="H1654" s="127" t="s">
        <v>729</v>
      </c>
      <c r="I1654" s="127" t="s">
        <v>63</v>
      </c>
      <c r="J1654" s="128">
        <v>132000</v>
      </c>
      <c r="K1654" s="127" t="s">
        <v>466</v>
      </c>
      <c r="L1654" s="151">
        <v>132121</v>
      </c>
      <c r="M1654" s="128">
        <v>0</v>
      </c>
      <c r="N1654" s="127" t="s">
        <v>467</v>
      </c>
      <c r="O1654" s="127" t="s">
        <v>457</v>
      </c>
      <c r="P1654" s="128">
        <v>-226036132.08000001</v>
      </c>
      <c r="Q1654" s="128">
        <v>0</v>
      </c>
      <c r="R1654" s="128">
        <v>0</v>
      </c>
      <c r="S1654" s="128">
        <v>0</v>
      </c>
      <c r="T1654" s="128">
        <v>-226036132.08000001</v>
      </c>
      <c r="U1654" s="128">
        <v>0</v>
      </c>
      <c r="V1654" s="128">
        <v>-226036132.08000001</v>
      </c>
      <c r="W1654" s="128">
        <v>0</v>
      </c>
      <c r="X1654" s="128">
        <v>0</v>
      </c>
      <c r="Y1654" s="128">
        <v>0</v>
      </c>
      <c r="Z1654" s="128">
        <v>-226036132.08000001</v>
      </c>
      <c r="AA1654" s="128">
        <v>0</v>
      </c>
      <c r="AB1654" s="126">
        <f t="shared" si="172"/>
        <v>22.603613208000002</v>
      </c>
      <c r="AC1654" s="122" t="s">
        <v>1838</v>
      </c>
      <c r="AD1654" s="123">
        <f t="shared" si="175"/>
        <v>1983.9723217250009</v>
      </c>
    </row>
    <row r="1655" spans="1:30" ht="12.75" hidden="1" customHeight="1">
      <c r="A1655" s="125" t="str">
        <f t="shared" si="169"/>
        <v>LIC40Switch in Receivable Ct</v>
      </c>
      <c r="B1655" s="125">
        <f>+IFERROR(VLOOKUP(L1655,'TB mapping'!A:D,4,0),0)</f>
        <v>0</v>
      </c>
      <c r="C1655" s="125">
        <f>+IFERROR(VLOOKUP(L1655,'TB mapping'!A:C,3,0),0)</f>
        <v>0</v>
      </c>
      <c r="D1655" s="125" t="str">
        <f t="shared" si="170"/>
        <v>LIC400</v>
      </c>
      <c r="E1655" s="125" t="str">
        <f t="shared" si="171"/>
        <v>LIC400</v>
      </c>
      <c r="F1655" s="158" t="str">
        <f>+VLOOKUP(H1655,'code mapping'!A:C,3,0)</f>
        <v>LIC40</v>
      </c>
      <c r="G1655" s="127" t="s">
        <v>453</v>
      </c>
      <c r="H1655" s="127" t="s">
        <v>729</v>
      </c>
      <c r="I1655" s="127" t="s">
        <v>63</v>
      </c>
      <c r="J1655" s="128">
        <v>132000</v>
      </c>
      <c r="K1655" s="127" t="s">
        <v>466</v>
      </c>
      <c r="L1655" s="151">
        <v>132124</v>
      </c>
      <c r="M1655" s="128">
        <v>0</v>
      </c>
      <c r="N1655" s="127" t="s">
        <v>468</v>
      </c>
      <c r="O1655" s="127" t="s">
        <v>457</v>
      </c>
      <c r="P1655" s="128">
        <v>-1589431.74</v>
      </c>
      <c r="Q1655" s="128">
        <v>0</v>
      </c>
      <c r="R1655" s="128">
        <v>0</v>
      </c>
      <c r="S1655" s="128">
        <v>0</v>
      </c>
      <c r="T1655" s="128">
        <v>-1589431.74</v>
      </c>
      <c r="U1655" s="128">
        <v>0</v>
      </c>
      <c r="V1655" s="128">
        <v>-1589431.74</v>
      </c>
      <c r="W1655" s="128">
        <v>0</v>
      </c>
      <c r="X1655" s="128">
        <v>0</v>
      </c>
      <c r="Y1655" s="128">
        <v>0</v>
      </c>
      <c r="Z1655" s="128">
        <v>-1589431.74</v>
      </c>
      <c r="AA1655" s="128">
        <v>0</v>
      </c>
      <c r="AB1655" s="126">
        <f t="shared" si="172"/>
        <v>0.15894317399999999</v>
      </c>
      <c r="AC1655" s="122" t="s">
        <v>1838</v>
      </c>
      <c r="AD1655" s="123">
        <f t="shared" si="175"/>
        <v>1983.9723217250009</v>
      </c>
    </row>
    <row r="1656" spans="1:30" ht="12.75" hidden="1" customHeight="1">
      <c r="A1656" s="125" t="str">
        <f t="shared" si="169"/>
        <v>LIC40Receivable from AMC</v>
      </c>
      <c r="B1656" s="125">
        <f>+IFERROR(VLOOKUP(L1656,'TB mapping'!A:D,4,0),0)</f>
        <v>0</v>
      </c>
      <c r="C1656" s="125">
        <f>+IFERROR(VLOOKUP(L1656,'TB mapping'!A:C,3,0),0)</f>
        <v>0</v>
      </c>
      <c r="D1656" s="125" t="str">
        <f t="shared" si="170"/>
        <v>LIC400</v>
      </c>
      <c r="E1656" s="125" t="str">
        <f t="shared" si="171"/>
        <v>LIC400</v>
      </c>
      <c r="F1656" s="158" t="str">
        <f>+VLOOKUP(H1656,'code mapping'!A:C,3,0)</f>
        <v>LIC40</v>
      </c>
      <c r="G1656" s="127" t="s">
        <v>453</v>
      </c>
      <c r="H1656" s="127" t="s">
        <v>729</v>
      </c>
      <c r="I1656" s="127" t="s">
        <v>63</v>
      </c>
      <c r="J1656" s="128">
        <v>132000</v>
      </c>
      <c r="K1656" s="127" t="s">
        <v>466</v>
      </c>
      <c r="L1656" s="151">
        <v>152400</v>
      </c>
      <c r="M1656" s="128">
        <v>0</v>
      </c>
      <c r="N1656" s="127" t="s">
        <v>471</v>
      </c>
      <c r="O1656" s="127" t="s">
        <v>457</v>
      </c>
      <c r="P1656" s="128">
        <v>-0.71</v>
      </c>
      <c r="Q1656" s="128">
        <v>0</v>
      </c>
      <c r="R1656" s="128">
        <v>0</v>
      </c>
      <c r="S1656" s="128">
        <v>0</v>
      </c>
      <c r="T1656" s="128">
        <v>-0.71</v>
      </c>
      <c r="U1656" s="128">
        <v>0</v>
      </c>
      <c r="V1656" s="128">
        <v>-0.71</v>
      </c>
      <c r="W1656" s="128">
        <v>0</v>
      </c>
      <c r="X1656" s="128">
        <v>0</v>
      </c>
      <c r="Y1656" s="128">
        <v>0</v>
      </c>
      <c r="Z1656" s="128">
        <v>-0.71</v>
      </c>
      <c r="AA1656" s="128">
        <v>0</v>
      </c>
      <c r="AB1656" s="126">
        <f t="shared" si="172"/>
        <v>7.1E-8</v>
      </c>
      <c r="AC1656" s="122" t="s">
        <v>1838</v>
      </c>
      <c r="AD1656" s="123">
        <f t="shared" si="175"/>
        <v>1983.9723217250009</v>
      </c>
    </row>
    <row r="1657" spans="1:30" ht="12.75" hidden="1" customHeight="1">
      <c r="A1657" s="125" t="str">
        <f t="shared" ref="A1657:A1720" si="176">+F1657&amp;N1657</f>
        <v>LIC40HDFC Bank Ltd</v>
      </c>
      <c r="B1657" s="125">
        <f>+IFERROR(VLOOKUP(L1657,'TB mapping'!A:D,4,0),0)</f>
        <v>0</v>
      </c>
      <c r="C1657" s="125">
        <f>+IFERROR(VLOOKUP(L1657,'TB mapping'!A:C,3,0),0)</f>
        <v>0</v>
      </c>
      <c r="D1657" s="125" t="str">
        <f t="shared" ref="D1657:D1720" si="177">+F1657&amp;B1657</f>
        <v>LIC400</v>
      </c>
      <c r="E1657" s="125" t="str">
        <f t="shared" ref="E1657:E1720" si="178">+F1657&amp;C1657</f>
        <v>LIC400</v>
      </c>
      <c r="F1657" s="158" t="str">
        <f>+VLOOKUP(H1657,'code mapping'!A:C,3,0)</f>
        <v>LIC40</v>
      </c>
      <c r="G1657" s="127" t="s">
        <v>453</v>
      </c>
      <c r="H1657" s="127" t="s">
        <v>729</v>
      </c>
      <c r="I1657" s="127" t="s">
        <v>63</v>
      </c>
      <c r="J1657" s="128">
        <v>140000</v>
      </c>
      <c r="K1657" s="127" t="s">
        <v>472</v>
      </c>
      <c r="L1657" s="151">
        <v>140372</v>
      </c>
      <c r="M1657" s="128">
        <v>0</v>
      </c>
      <c r="N1657" s="127" t="s">
        <v>476</v>
      </c>
      <c r="O1657" s="127" t="s">
        <v>457</v>
      </c>
      <c r="P1657" s="128">
        <v>0</v>
      </c>
      <c r="Q1657" s="128">
        <v>72.77</v>
      </c>
      <c r="R1657" s="128">
        <v>0</v>
      </c>
      <c r="S1657" s="128">
        <v>0</v>
      </c>
      <c r="T1657" s="128">
        <v>0</v>
      </c>
      <c r="U1657" s="128">
        <v>72.77</v>
      </c>
      <c r="V1657" s="128">
        <v>0</v>
      </c>
      <c r="W1657" s="128">
        <v>72.77</v>
      </c>
      <c r="X1657" s="128">
        <v>0</v>
      </c>
      <c r="Y1657" s="128">
        <v>0</v>
      </c>
      <c r="Z1657" s="128">
        <v>0</v>
      </c>
      <c r="AA1657" s="128">
        <v>72.77</v>
      </c>
      <c r="AB1657" s="126">
        <f t="shared" ref="AB1657:AB1720" si="179">SUM(-Z1657-AA1657)/10^7</f>
        <v>-7.277E-6</v>
      </c>
      <c r="AC1657" s="122" t="s">
        <v>1838</v>
      </c>
      <c r="AD1657" s="123">
        <f t="shared" si="175"/>
        <v>1983.9723217250009</v>
      </c>
    </row>
    <row r="1658" spans="1:30" ht="12.75" hidden="1" customHeight="1">
      <c r="A1658" s="125" t="str">
        <f t="shared" si="176"/>
        <v>LIC40Standard Chartered Bank- India</v>
      </c>
      <c r="B1658" s="125">
        <f>+IFERROR(VLOOKUP(L1658,'TB mapping'!A:D,4,0),0)</f>
        <v>0</v>
      </c>
      <c r="C1658" s="125">
        <f>+IFERROR(VLOOKUP(L1658,'TB mapping'!A:C,3,0),0)</f>
        <v>0</v>
      </c>
      <c r="D1658" s="125" t="str">
        <f t="shared" si="177"/>
        <v>LIC400</v>
      </c>
      <c r="E1658" s="125" t="str">
        <f t="shared" si="178"/>
        <v>LIC400</v>
      </c>
      <c r="F1658" s="158" t="str">
        <f>+VLOOKUP(H1658,'code mapping'!A:C,3,0)</f>
        <v>LIC40</v>
      </c>
      <c r="G1658" s="127" t="s">
        <v>453</v>
      </c>
      <c r="H1658" s="127" t="s">
        <v>729</v>
      </c>
      <c r="I1658" s="127" t="s">
        <v>63</v>
      </c>
      <c r="J1658" s="128">
        <v>140000</v>
      </c>
      <c r="K1658" s="127" t="s">
        <v>472</v>
      </c>
      <c r="L1658" s="151">
        <v>140500</v>
      </c>
      <c r="M1658" s="128">
        <v>0</v>
      </c>
      <c r="N1658" s="127" t="s">
        <v>477</v>
      </c>
      <c r="O1658" s="127" t="s">
        <v>457</v>
      </c>
      <c r="P1658" s="128">
        <v>-9204.33</v>
      </c>
      <c r="Q1658" s="128">
        <v>0</v>
      </c>
      <c r="R1658" s="128">
        <v>0</v>
      </c>
      <c r="S1658" s="128">
        <v>0</v>
      </c>
      <c r="T1658" s="128">
        <v>-9204.33</v>
      </c>
      <c r="U1658" s="128">
        <v>0</v>
      </c>
      <c r="V1658" s="128">
        <v>-9204.33</v>
      </c>
      <c r="W1658" s="128">
        <v>0</v>
      </c>
      <c r="X1658" s="128">
        <v>0</v>
      </c>
      <c r="Y1658" s="128">
        <v>0</v>
      </c>
      <c r="Z1658" s="128">
        <v>-9204.33</v>
      </c>
      <c r="AA1658" s="128">
        <v>0</v>
      </c>
      <c r="AB1658" s="126">
        <f t="shared" si="179"/>
        <v>9.2043300000000002E-4</v>
      </c>
      <c r="AC1658" s="122" t="s">
        <v>1838</v>
      </c>
      <c r="AD1658" s="123">
        <f t="shared" si="175"/>
        <v>1983.9723217250009</v>
      </c>
    </row>
    <row r="1659" spans="1:30" ht="12.75" hidden="1" customHeight="1">
      <c r="A1659" s="125" t="str">
        <f t="shared" si="176"/>
        <v>LIC40Int Accrual - Corporate Bonds</v>
      </c>
      <c r="B1659" s="125">
        <f>+IFERROR(VLOOKUP(L1659,'TB mapping'!A:D,4,0),0)</f>
        <v>0</v>
      </c>
      <c r="C1659" s="125">
        <f>+IFERROR(VLOOKUP(L1659,'TB mapping'!A:C,3,0),0)</f>
        <v>0</v>
      </c>
      <c r="D1659" s="125" t="str">
        <f t="shared" si="177"/>
        <v>LIC400</v>
      </c>
      <c r="E1659" s="125" t="str">
        <f t="shared" si="178"/>
        <v>LIC400</v>
      </c>
      <c r="F1659" s="158" t="str">
        <f>+VLOOKUP(H1659,'code mapping'!A:C,3,0)</f>
        <v>LIC40</v>
      </c>
      <c r="G1659" s="127" t="s">
        <v>453</v>
      </c>
      <c r="H1659" s="127" t="s">
        <v>729</v>
      </c>
      <c r="I1659" s="127" t="s">
        <v>63</v>
      </c>
      <c r="J1659" s="128">
        <v>152000</v>
      </c>
      <c r="K1659" s="127" t="s">
        <v>478</v>
      </c>
      <c r="L1659" s="151">
        <v>152120</v>
      </c>
      <c r="M1659" s="128">
        <v>0</v>
      </c>
      <c r="N1659" s="127" t="s">
        <v>479</v>
      </c>
      <c r="O1659" s="127" t="s">
        <v>457</v>
      </c>
      <c r="P1659" s="128">
        <v>-421419624.80000001</v>
      </c>
      <c r="Q1659" s="128">
        <v>0</v>
      </c>
      <c r="R1659" s="128">
        <v>0</v>
      </c>
      <c r="S1659" s="128">
        <v>0</v>
      </c>
      <c r="T1659" s="128">
        <v>-421419624.80000001</v>
      </c>
      <c r="U1659" s="128">
        <v>0</v>
      </c>
      <c r="V1659" s="128">
        <v>-421419624.80000001</v>
      </c>
      <c r="W1659" s="128">
        <v>0</v>
      </c>
      <c r="X1659" s="128">
        <v>0</v>
      </c>
      <c r="Y1659" s="128">
        <v>0</v>
      </c>
      <c r="Z1659" s="128">
        <v>-421419624.80000001</v>
      </c>
      <c r="AA1659" s="128">
        <v>0</v>
      </c>
      <c r="AB1659" s="126">
        <f t="shared" si="179"/>
        <v>42.141962480000004</v>
      </c>
      <c r="AC1659" s="122" t="s">
        <v>1838</v>
      </c>
      <c r="AD1659" s="123">
        <f t="shared" si="175"/>
        <v>1983.9723217250009</v>
      </c>
    </row>
    <row r="1660" spans="1:30" ht="12.75" hidden="1" customHeight="1">
      <c r="A1660" s="125" t="str">
        <f t="shared" si="176"/>
        <v>LIC40Amort Receivable-CP</v>
      </c>
      <c r="B1660" s="125">
        <f>+IFERROR(VLOOKUP(L1660,'TB mapping'!A:D,4,0),0)</f>
        <v>0</v>
      </c>
      <c r="C1660" s="125">
        <f>+IFERROR(VLOOKUP(L1660,'TB mapping'!A:C,3,0),0)</f>
        <v>0</v>
      </c>
      <c r="D1660" s="125" t="str">
        <f t="shared" si="177"/>
        <v>LIC400</v>
      </c>
      <c r="E1660" s="125" t="str">
        <f t="shared" si="178"/>
        <v>LIC400</v>
      </c>
      <c r="F1660" s="158" t="str">
        <f>+VLOOKUP(H1660,'code mapping'!A:C,3,0)</f>
        <v>LIC40</v>
      </c>
      <c r="G1660" s="127" t="s">
        <v>453</v>
      </c>
      <c r="H1660" s="127" t="s">
        <v>729</v>
      </c>
      <c r="I1660" s="127" t="s">
        <v>63</v>
      </c>
      <c r="J1660" s="128">
        <v>152000</v>
      </c>
      <c r="K1660" s="127" t="s">
        <v>478</v>
      </c>
      <c r="L1660" s="151">
        <v>152180</v>
      </c>
      <c r="M1660" s="128">
        <v>0</v>
      </c>
      <c r="N1660" s="127" t="s">
        <v>646</v>
      </c>
      <c r="O1660" s="127" t="s">
        <v>457</v>
      </c>
      <c r="P1660" s="128">
        <v>-82010597.099999994</v>
      </c>
      <c r="Q1660" s="128">
        <v>0</v>
      </c>
      <c r="R1660" s="128">
        <v>0</v>
      </c>
      <c r="S1660" s="128">
        <v>0</v>
      </c>
      <c r="T1660" s="128">
        <v>-82010597.099999994</v>
      </c>
      <c r="U1660" s="128">
        <v>0</v>
      </c>
      <c r="V1660" s="128">
        <v>-82010597.099999994</v>
      </c>
      <c r="W1660" s="128">
        <v>0</v>
      </c>
      <c r="X1660" s="128">
        <v>0</v>
      </c>
      <c r="Y1660" s="128">
        <v>0</v>
      </c>
      <c r="Z1660" s="128">
        <v>-82010597.099999994</v>
      </c>
      <c r="AA1660" s="128">
        <v>0</v>
      </c>
      <c r="AB1660" s="126">
        <f t="shared" si="179"/>
        <v>8.2010597099999991</v>
      </c>
      <c r="AC1660" s="122" t="s">
        <v>1838</v>
      </c>
      <c r="AD1660" s="123">
        <f t="shared" si="175"/>
        <v>1983.9723217250009</v>
      </c>
    </row>
    <row r="1661" spans="1:30" ht="12.75" hidden="1" customHeight="1">
      <c r="A1661" s="125" t="str">
        <f t="shared" si="176"/>
        <v>LIC40Amort Receivable-CD</v>
      </c>
      <c r="B1661" s="125">
        <f>+IFERROR(VLOOKUP(L1661,'TB mapping'!A:D,4,0),0)</f>
        <v>0</v>
      </c>
      <c r="C1661" s="125">
        <f>+IFERROR(VLOOKUP(L1661,'TB mapping'!A:C,3,0),0)</f>
        <v>0</v>
      </c>
      <c r="D1661" s="125" t="str">
        <f t="shared" si="177"/>
        <v>LIC400</v>
      </c>
      <c r="E1661" s="125" t="str">
        <f t="shared" si="178"/>
        <v>LIC400</v>
      </c>
      <c r="F1661" s="158" t="str">
        <f>+VLOOKUP(H1661,'code mapping'!A:C,3,0)</f>
        <v>LIC40</v>
      </c>
      <c r="G1661" s="127" t="s">
        <v>453</v>
      </c>
      <c r="H1661" s="127" t="s">
        <v>729</v>
      </c>
      <c r="I1661" s="127" t="s">
        <v>63</v>
      </c>
      <c r="J1661" s="128">
        <v>152000</v>
      </c>
      <c r="K1661" s="127" t="s">
        <v>478</v>
      </c>
      <c r="L1661" s="151">
        <v>152181</v>
      </c>
      <c r="M1661" s="128">
        <v>0</v>
      </c>
      <c r="N1661" s="127" t="s">
        <v>731</v>
      </c>
      <c r="O1661" s="127" t="s">
        <v>457</v>
      </c>
      <c r="P1661" s="128">
        <v>-45788309.5</v>
      </c>
      <c r="Q1661" s="128">
        <v>0</v>
      </c>
      <c r="R1661" s="128">
        <v>0</v>
      </c>
      <c r="S1661" s="128">
        <v>0</v>
      </c>
      <c r="T1661" s="128">
        <v>-45788309.5</v>
      </c>
      <c r="U1661" s="128">
        <v>0</v>
      </c>
      <c r="V1661" s="128">
        <v>-45788309.5</v>
      </c>
      <c r="W1661" s="128">
        <v>0</v>
      </c>
      <c r="X1661" s="128">
        <v>0</v>
      </c>
      <c r="Y1661" s="128">
        <v>0</v>
      </c>
      <c r="Z1661" s="128">
        <v>-45788309.5</v>
      </c>
      <c r="AA1661" s="128">
        <v>0</v>
      </c>
      <c r="AB1661" s="126">
        <f t="shared" si="179"/>
        <v>4.5788309500000004</v>
      </c>
      <c r="AC1661" s="122" t="s">
        <v>1838</v>
      </c>
      <c r="AD1661" s="123">
        <f t="shared" si="175"/>
        <v>1983.9723217250009</v>
      </c>
    </row>
    <row r="1662" spans="1:30" ht="12.75" hidden="1" customHeight="1">
      <c r="A1662" s="125" t="str">
        <f t="shared" si="176"/>
        <v>LIC40Amort Receivable - CBLO</v>
      </c>
      <c r="B1662" s="125">
        <f>+IFERROR(VLOOKUP(L1662,'TB mapping'!A:D,4,0),0)</f>
        <v>0</v>
      </c>
      <c r="C1662" s="125">
        <f>+IFERROR(VLOOKUP(L1662,'TB mapping'!A:C,3,0),0)</f>
        <v>0</v>
      </c>
      <c r="D1662" s="125" t="str">
        <f t="shared" si="177"/>
        <v>LIC400</v>
      </c>
      <c r="E1662" s="125" t="str">
        <f t="shared" si="178"/>
        <v>LIC400</v>
      </c>
      <c r="F1662" s="158" t="str">
        <f>+VLOOKUP(H1662,'code mapping'!A:C,3,0)</f>
        <v>LIC40</v>
      </c>
      <c r="G1662" s="127" t="s">
        <v>453</v>
      </c>
      <c r="H1662" s="127" t="s">
        <v>729</v>
      </c>
      <c r="I1662" s="127" t="s">
        <v>63</v>
      </c>
      <c r="J1662" s="128">
        <v>152000</v>
      </c>
      <c r="K1662" s="127" t="s">
        <v>478</v>
      </c>
      <c r="L1662" s="151">
        <v>152232</v>
      </c>
      <c r="M1662" s="128">
        <v>0</v>
      </c>
      <c r="N1662" s="127" t="s">
        <v>482</v>
      </c>
      <c r="O1662" s="127" t="s">
        <v>457</v>
      </c>
      <c r="P1662" s="128">
        <v>-6096.76</v>
      </c>
      <c r="Q1662" s="128">
        <v>0</v>
      </c>
      <c r="R1662" s="128">
        <v>0</v>
      </c>
      <c r="S1662" s="128">
        <v>0</v>
      </c>
      <c r="T1662" s="128">
        <v>-6096.76</v>
      </c>
      <c r="U1662" s="128">
        <v>0</v>
      </c>
      <c r="V1662" s="128">
        <v>-6096.76</v>
      </c>
      <c r="W1662" s="128">
        <v>0</v>
      </c>
      <c r="X1662" s="128">
        <v>0</v>
      </c>
      <c r="Y1662" s="128">
        <v>0</v>
      </c>
      <c r="Z1662" s="128">
        <v>-6096.76</v>
      </c>
      <c r="AA1662" s="128">
        <v>0</v>
      </c>
      <c r="AB1662" s="126">
        <f t="shared" si="179"/>
        <v>6.0967599999999997E-4</v>
      </c>
      <c r="AC1662" s="122" t="s">
        <v>1838</v>
      </c>
      <c r="AD1662" s="123">
        <f t="shared" si="175"/>
        <v>1983.9723217250009</v>
      </c>
    </row>
    <row r="1663" spans="1:30" ht="12.75" hidden="1" customHeight="1">
      <c r="A1663" s="125" t="str">
        <f t="shared" si="176"/>
        <v>LIC40Prov Unr P/L - CorpBond/Debent</v>
      </c>
      <c r="B1663" s="125">
        <f>+IFERROR(VLOOKUP(L1663,'TB mapping'!A:D,4,0),0)</f>
        <v>0</v>
      </c>
      <c r="C1663" s="125">
        <f>+IFERROR(VLOOKUP(L1663,'TB mapping'!A:C,3,0),0)</f>
        <v>0</v>
      </c>
      <c r="D1663" s="125" t="str">
        <f t="shared" si="177"/>
        <v>LIC400</v>
      </c>
      <c r="E1663" s="125" t="str">
        <f t="shared" si="178"/>
        <v>LIC400</v>
      </c>
      <c r="F1663" s="158" t="str">
        <f>+VLOOKUP(H1663,'code mapping'!A:C,3,0)</f>
        <v>LIC40</v>
      </c>
      <c r="G1663" s="127" t="s">
        <v>453</v>
      </c>
      <c r="H1663" s="127" t="s">
        <v>729</v>
      </c>
      <c r="I1663" s="127" t="s">
        <v>63</v>
      </c>
      <c r="J1663" s="128">
        <v>160000</v>
      </c>
      <c r="K1663" s="127" t="s">
        <v>483</v>
      </c>
      <c r="L1663" s="151">
        <v>162120</v>
      </c>
      <c r="M1663" s="128">
        <v>0</v>
      </c>
      <c r="N1663" s="127" t="s">
        <v>484</v>
      </c>
      <c r="O1663" s="127" t="s">
        <v>457</v>
      </c>
      <c r="P1663" s="128">
        <v>0</v>
      </c>
      <c r="Q1663" s="128">
        <v>1485570</v>
      </c>
      <c r="R1663" s="128">
        <v>0</v>
      </c>
      <c r="S1663" s="128">
        <v>0</v>
      </c>
      <c r="T1663" s="128">
        <v>0</v>
      </c>
      <c r="U1663" s="128">
        <v>1485570</v>
      </c>
      <c r="V1663" s="128">
        <v>0</v>
      </c>
      <c r="W1663" s="128">
        <v>1485570</v>
      </c>
      <c r="X1663" s="128">
        <v>0</v>
      </c>
      <c r="Y1663" s="128">
        <v>0</v>
      </c>
      <c r="Z1663" s="128">
        <v>0</v>
      </c>
      <c r="AA1663" s="128">
        <v>1485570</v>
      </c>
      <c r="AB1663" s="126">
        <f t="shared" si="179"/>
        <v>-0.14855699999999999</v>
      </c>
      <c r="AC1663" s="122" t="s">
        <v>1838</v>
      </c>
      <c r="AD1663" s="123">
        <f t="shared" si="175"/>
        <v>1983.9723217250009</v>
      </c>
    </row>
    <row r="1664" spans="1:30" ht="12.75" hidden="1" customHeight="1">
      <c r="A1664" s="125" t="str">
        <f t="shared" si="176"/>
        <v>LIC40Prov Unr P/L -Commercial Paper</v>
      </c>
      <c r="B1664" s="125">
        <f>+IFERROR(VLOOKUP(L1664,'TB mapping'!A:D,4,0),0)</f>
        <v>0</v>
      </c>
      <c r="C1664" s="125">
        <f>+IFERROR(VLOOKUP(L1664,'TB mapping'!A:C,3,0),0)</f>
        <v>0</v>
      </c>
      <c r="D1664" s="125" t="str">
        <f t="shared" si="177"/>
        <v>LIC400</v>
      </c>
      <c r="E1664" s="125" t="str">
        <f t="shared" si="178"/>
        <v>LIC400</v>
      </c>
      <c r="F1664" s="158" t="str">
        <f>+VLOOKUP(H1664,'code mapping'!A:C,3,0)</f>
        <v>LIC40</v>
      </c>
      <c r="G1664" s="127" t="s">
        <v>453</v>
      </c>
      <c r="H1664" s="127" t="s">
        <v>729</v>
      </c>
      <c r="I1664" s="127" t="s">
        <v>63</v>
      </c>
      <c r="J1664" s="128">
        <v>160000</v>
      </c>
      <c r="K1664" s="127" t="s">
        <v>483</v>
      </c>
      <c r="L1664" s="151">
        <v>162180</v>
      </c>
      <c r="M1664" s="128">
        <v>0</v>
      </c>
      <c r="N1664" s="127" t="s">
        <v>649</v>
      </c>
      <c r="O1664" s="127" t="s">
        <v>457</v>
      </c>
      <c r="P1664" s="128">
        <v>-6162992.9000000004</v>
      </c>
      <c r="Q1664" s="128">
        <v>0</v>
      </c>
      <c r="R1664" s="128">
        <v>0</v>
      </c>
      <c r="S1664" s="128">
        <v>0</v>
      </c>
      <c r="T1664" s="128">
        <v>-6162992.9000000004</v>
      </c>
      <c r="U1664" s="128">
        <v>0</v>
      </c>
      <c r="V1664" s="128">
        <v>-6162992.9000000004</v>
      </c>
      <c r="W1664" s="128">
        <v>0</v>
      </c>
      <c r="X1664" s="128">
        <v>0</v>
      </c>
      <c r="Y1664" s="128">
        <v>0</v>
      </c>
      <c r="Z1664" s="128">
        <v>-6162992.9000000004</v>
      </c>
      <c r="AA1664" s="128">
        <v>0</v>
      </c>
      <c r="AB1664" s="126">
        <f t="shared" si="179"/>
        <v>0.61629929000000006</v>
      </c>
      <c r="AC1664" s="122" t="s">
        <v>1838</v>
      </c>
      <c r="AD1664" s="123">
        <f t="shared" si="175"/>
        <v>1983.9723217250009</v>
      </c>
    </row>
    <row r="1665" spans="1:30" ht="12.75" hidden="1" customHeight="1">
      <c r="A1665" s="125" t="str">
        <f t="shared" si="176"/>
        <v>LIC40Prov Unr P/L - Cert of Deposit</v>
      </c>
      <c r="B1665" s="125">
        <f>+IFERROR(VLOOKUP(L1665,'TB mapping'!A:D,4,0),0)</f>
        <v>0</v>
      </c>
      <c r="C1665" s="125">
        <f>+IFERROR(VLOOKUP(L1665,'TB mapping'!A:C,3,0),0)</f>
        <v>0</v>
      </c>
      <c r="D1665" s="125" t="str">
        <f t="shared" si="177"/>
        <v>LIC400</v>
      </c>
      <c r="E1665" s="125" t="str">
        <f t="shared" si="178"/>
        <v>LIC400</v>
      </c>
      <c r="F1665" s="158" t="str">
        <f>+VLOOKUP(H1665,'code mapping'!A:C,3,0)</f>
        <v>LIC40</v>
      </c>
      <c r="G1665" s="127" t="s">
        <v>453</v>
      </c>
      <c r="H1665" s="127" t="s">
        <v>729</v>
      </c>
      <c r="I1665" s="127" t="s">
        <v>63</v>
      </c>
      <c r="J1665" s="128">
        <v>160000</v>
      </c>
      <c r="K1665" s="127" t="s">
        <v>483</v>
      </c>
      <c r="L1665" s="151">
        <v>162190</v>
      </c>
      <c r="M1665" s="128">
        <v>0</v>
      </c>
      <c r="N1665" s="127" t="s">
        <v>732</v>
      </c>
      <c r="O1665" s="127" t="s">
        <v>457</v>
      </c>
      <c r="P1665" s="128">
        <v>-1194790.5</v>
      </c>
      <c r="Q1665" s="128">
        <v>0</v>
      </c>
      <c r="R1665" s="128">
        <v>0</v>
      </c>
      <c r="S1665" s="128">
        <v>0</v>
      </c>
      <c r="T1665" s="128">
        <v>-1194790.5</v>
      </c>
      <c r="U1665" s="128">
        <v>0</v>
      </c>
      <c r="V1665" s="128">
        <v>-1194790.5</v>
      </c>
      <c r="W1665" s="128">
        <v>0</v>
      </c>
      <c r="X1665" s="128">
        <v>0</v>
      </c>
      <c r="Y1665" s="128">
        <v>0</v>
      </c>
      <c r="Z1665" s="128">
        <v>-1194790.5</v>
      </c>
      <c r="AA1665" s="128">
        <v>0</v>
      </c>
      <c r="AB1665" s="126">
        <f t="shared" si="179"/>
        <v>0.11947905</v>
      </c>
      <c r="AC1665" s="122" t="s">
        <v>1838</v>
      </c>
      <c r="AD1665" s="123">
        <f t="shared" si="175"/>
        <v>1983.9723217250009</v>
      </c>
    </row>
    <row r="1666" spans="1:30" ht="12.75" hidden="1" customHeight="1">
      <c r="A1666" s="125" t="str">
        <f t="shared" si="176"/>
        <v>LIC40Payable - Withhold Brokerage</v>
      </c>
      <c r="B1666" s="125">
        <f>+IFERROR(VLOOKUP(L1666,'TB mapping'!A:D,4,0),0)</f>
        <v>0</v>
      </c>
      <c r="C1666" s="125">
        <f>+IFERROR(VLOOKUP(L1666,'TB mapping'!A:C,3,0),0)</f>
        <v>0</v>
      </c>
      <c r="D1666" s="125" t="str">
        <f t="shared" si="177"/>
        <v>LIC400</v>
      </c>
      <c r="E1666" s="125" t="str">
        <f t="shared" si="178"/>
        <v>LIC400</v>
      </c>
      <c r="F1666" s="158" t="str">
        <f>+VLOOKUP(H1666,'code mapping'!A:C,3,0)</f>
        <v>LIC40</v>
      </c>
      <c r="G1666" s="127" t="s">
        <v>453</v>
      </c>
      <c r="H1666" s="127" t="s">
        <v>729</v>
      </c>
      <c r="I1666" s="127" t="s">
        <v>63</v>
      </c>
      <c r="J1666" s="128">
        <v>212000</v>
      </c>
      <c r="K1666" s="127" t="s">
        <v>487</v>
      </c>
      <c r="L1666" s="151">
        <v>210164</v>
      </c>
      <c r="M1666" s="128">
        <v>0</v>
      </c>
      <c r="N1666" s="127" t="s">
        <v>488</v>
      </c>
      <c r="O1666" s="127" t="s">
        <v>457</v>
      </c>
      <c r="P1666" s="128">
        <v>0</v>
      </c>
      <c r="Q1666" s="128">
        <v>619883.98</v>
      </c>
      <c r="R1666" s="128">
        <v>0</v>
      </c>
      <c r="S1666" s="128">
        <v>0</v>
      </c>
      <c r="T1666" s="128">
        <v>0</v>
      </c>
      <c r="U1666" s="128">
        <v>619883.98</v>
      </c>
      <c r="V1666" s="128">
        <v>0</v>
      </c>
      <c r="W1666" s="128">
        <v>619883.98</v>
      </c>
      <c r="X1666" s="128">
        <v>0</v>
      </c>
      <c r="Y1666" s="128">
        <v>0</v>
      </c>
      <c r="Z1666" s="128">
        <v>0</v>
      </c>
      <c r="AA1666" s="128">
        <v>619883.98</v>
      </c>
      <c r="AB1666" s="126">
        <f t="shared" si="179"/>
        <v>-6.1988398E-2</v>
      </c>
      <c r="AC1666" s="122" t="s">
        <v>1838</v>
      </c>
      <c r="AD1666" s="123">
        <f t="shared" si="175"/>
        <v>1983.9723217250009</v>
      </c>
    </row>
    <row r="1667" spans="1:30" ht="12.75" hidden="1" customHeight="1">
      <c r="A1667" s="125" t="str">
        <f t="shared" si="176"/>
        <v>LIC40Dividend Payable</v>
      </c>
      <c r="B1667" s="125">
        <f>+IFERROR(VLOOKUP(L1667,'TB mapping'!A:D,4,0),0)</f>
        <v>0</v>
      </c>
      <c r="C1667" s="125">
        <f>+IFERROR(VLOOKUP(L1667,'TB mapping'!A:C,3,0),0)</f>
        <v>0</v>
      </c>
      <c r="D1667" s="125" t="str">
        <f t="shared" si="177"/>
        <v>LIC400</v>
      </c>
      <c r="E1667" s="125" t="str">
        <f t="shared" si="178"/>
        <v>LIC400</v>
      </c>
      <c r="F1667" s="158" t="str">
        <f>+VLOOKUP(H1667,'code mapping'!A:C,3,0)</f>
        <v>LIC40</v>
      </c>
      <c r="G1667" s="127" t="s">
        <v>453</v>
      </c>
      <c r="H1667" s="127" t="s">
        <v>729</v>
      </c>
      <c r="I1667" s="127" t="s">
        <v>63</v>
      </c>
      <c r="J1667" s="128">
        <v>212000</v>
      </c>
      <c r="K1667" s="127" t="s">
        <v>487</v>
      </c>
      <c r="L1667" s="151">
        <v>212100</v>
      </c>
      <c r="M1667" s="128">
        <v>0</v>
      </c>
      <c r="N1667" s="127" t="s">
        <v>489</v>
      </c>
      <c r="O1667" s="127" t="s">
        <v>457</v>
      </c>
      <c r="P1667" s="128">
        <v>0</v>
      </c>
      <c r="Q1667" s="128">
        <v>75607.990000000005</v>
      </c>
      <c r="R1667" s="128">
        <v>0</v>
      </c>
      <c r="S1667" s="128">
        <v>0</v>
      </c>
      <c r="T1667" s="128">
        <v>0</v>
      </c>
      <c r="U1667" s="128">
        <v>75607.990000000005</v>
      </c>
      <c r="V1667" s="128">
        <v>0</v>
      </c>
      <c r="W1667" s="128">
        <v>75607.990000000005</v>
      </c>
      <c r="X1667" s="128">
        <v>0</v>
      </c>
      <c r="Y1667" s="128">
        <v>0</v>
      </c>
      <c r="Z1667" s="128">
        <v>0</v>
      </c>
      <c r="AA1667" s="128">
        <v>75607.990000000005</v>
      </c>
      <c r="AB1667" s="126">
        <f t="shared" si="179"/>
        <v>-7.5607990000000009E-3</v>
      </c>
      <c r="AC1667" s="122" t="s">
        <v>1838</v>
      </c>
      <c r="AD1667" s="123">
        <f t="shared" ref="AD1667:AD1702" si="180">SUMIF(C:C,C1667,AB:AB)</f>
        <v>1983.9723217250009</v>
      </c>
    </row>
    <row r="1668" spans="1:30" ht="12.75" hidden="1" customHeight="1">
      <c r="A1668" s="125" t="str">
        <f t="shared" si="176"/>
        <v>LIC40CGST Payable</v>
      </c>
      <c r="B1668" s="125">
        <f>+IFERROR(VLOOKUP(L1668,'TB mapping'!A:D,4,0),0)</f>
        <v>0</v>
      </c>
      <c r="C1668" s="125">
        <f>+IFERROR(VLOOKUP(L1668,'TB mapping'!A:C,3,0),0)</f>
        <v>0</v>
      </c>
      <c r="D1668" s="125" t="str">
        <f t="shared" si="177"/>
        <v>LIC400</v>
      </c>
      <c r="E1668" s="125" t="str">
        <f t="shared" si="178"/>
        <v>LIC400</v>
      </c>
      <c r="F1668" s="158" t="str">
        <f>+VLOOKUP(H1668,'code mapping'!A:C,3,0)</f>
        <v>LIC40</v>
      </c>
      <c r="G1668" s="127" t="s">
        <v>453</v>
      </c>
      <c r="H1668" s="127" t="s">
        <v>729</v>
      </c>
      <c r="I1668" s="127" t="s">
        <v>63</v>
      </c>
      <c r="J1668" s="128">
        <v>212000</v>
      </c>
      <c r="K1668" s="127" t="s">
        <v>487</v>
      </c>
      <c r="L1668" s="151">
        <v>212112</v>
      </c>
      <c r="M1668" s="128">
        <v>0</v>
      </c>
      <c r="N1668" s="127" t="s">
        <v>490</v>
      </c>
      <c r="O1668" s="127" t="s">
        <v>457</v>
      </c>
      <c r="P1668" s="128">
        <v>0</v>
      </c>
      <c r="Q1668" s="128">
        <v>2.76</v>
      </c>
      <c r="R1668" s="128">
        <v>0</v>
      </c>
      <c r="S1668" s="128">
        <v>0</v>
      </c>
      <c r="T1668" s="128">
        <v>0</v>
      </c>
      <c r="U1668" s="128">
        <v>2.76</v>
      </c>
      <c r="V1668" s="128">
        <v>0</v>
      </c>
      <c r="W1668" s="128">
        <v>2.76</v>
      </c>
      <c r="X1668" s="128">
        <v>0</v>
      </c>
      <c r="Y1668" s="128">
        <v>0</v>
      </c>
      <c r="Z1668" s="128">
        <v>0</v>
      </c>
      <c r="AA1668" s="128">
        <v>2.76</v>
      </c>
      <c r="AB1668" s="126">
        <f t="shared" si="179"/>
        <v>-2.7599999999999998E-7</v>
      </c>
      <c r="AC1668" s="122" t="s">
        <v>1838</v>
      </c>
      <c r="AD1668" s="123">
        <f t="shared" si="180"/>
        <v>1983.9723217250009</v>
      </c>
    </row>
    <row r="1669" spans="1:30" ht="12.75" hidden="1" customHeight="1">
      <c r="A1669" s="125" t="str">
        <f t="shared" si="176"/>
        <v>LIC40SGST Payable</v>
      </c>
      <c r="B1669" s="125">
        <f>+IFERROR(VLOOKUP(L1669,'TB mapping'!A:D,4,0),0)</f>
        <v>0</v>
      </c>
      <c r="C1669" s="125">
        <f>+IFERROR(VLOOKUP(L1669,'TB mapping'!A:C,3,0),0)</f>
        <v>0</v>
      </c>
      <c r="D1669" s="125" t="str">
        <f t="shared" si="177"/>
        <v>LIC400</v>
      </c>
      <c r="E1669" s="125" t="str">
        <f t="shared" si="178"/>
        <v>LIC400</v>
      </c>
      <c r="F1669" s="158" t="str">
        <f>+VLOOKUP(H1669,'code mapping'!A:C,3,0)</f>
        <v>LIC40</v>
      </c>
      <c r="G1669" s="127" t="s">
        <v>453</v>
      </c>
      <c r="H1669" s="127" t="s">
        <v>729</v>
      </c>
      <c r="I1669" s="127" t="s">
        <v>63</v>
      </c>
      <c r="J1669" s="128">
        <v>212000</v>
      </c>
      <c r="K1669" s="127" t="s">
        <v>487</v>
      </c>
      <c r="L1669" s="151">
        <v>212113</v>
      </c>
      <c r="M1669" s="128">
        <v>0</v>
      </c>
      <c r="N1669" s="127" t="s">
        <v>491</v>
      </c>
      <c r="O1669" s="127" t="s">
        <v>457</v>
      </c>
      <c r="P1669" s="128">
        <v>0</v>
      </c>
      <c r="Q1669" s="128">
        <v>2.76</v>
      </c>
      <c r="R1669" s="128">
        <v>0</v>
      </c>
      <c r="S1669" s="128">
        <v>0</v>
      </c>
      <c r="T1669" s="128">
        <v>0</v>
      </c>
      <c r="U1669" s="128">
        <v>2.76</v>
      </c>
      <c r="V1669" s="128">
        <v>0</v>
      </c>
      <c r="W1669" s="128">
        <v>2.76</v>
      </c>
      <c r="X1669" s="128">
        <v>0</v>
      </c>
      <c r="Y1669" s="128">
        <v>0</v>
      </c>
      <c r="Z1669" s="128">
        <v>0</v>
      </c>
      <c r="AA1669" s="128">
        <v>2.76</v>
      </c>
      <c r="AB1669" s="126">
        <f t="shared" si="179"/>
        <v>-2.7599999999999998E-7</v>
      </c>
      <c r="AC1669" s="122" t="s">
        <v>1838</v>
      </c>
      <c r="AD1669" s="123">
        <f t="shared" si="180"/>
        <v>1983.9723217250009</v>
      </c>
    </row>
    <row r="1670" spans="1:30" ht="12.75" hidden="1" customHeight="1">
      <c r="A1670" s="125" t="str">
        <f t="shared" si="176"/>
        <v>LIC40IGST Payable</v>
      </c>
      <c r="B1670" s="125">
        <f>+IFERROR(VLOOKUP(L1670,'TB mapping'!A:D,4,0),0)</f>
        <v>0</v>
      </c>
      <c r="C1670" s="125">
        <f>+IFERROR(VLOOKUP(L1670,'TB mapping'!A:C,3,0),0)</f>
        <v>0</v>
      </c>
      <c r="D1670" s="125" t="str">
        <f t="shared" si="177"/>
        <v>LIC400</v>
      </c>
      <c r="E1670" s="125" t="str">
        <f t="shared" si="178"/>
        <v>LIC400</v>
      </c>
      <c r="F1670" s="158" t="str">
        <f>+VLOOKUP(H1670,'code mapping'!A:C,3,0)</f>
        <v>LIC40</v>
      </c>
      <c r="G1670" s="127" t="s">
        <v>453</v>
      </c>
      <c r="H1670" s="127" t="s">
        <v>729</v>
      </c>
      <c r="I1670" s="127" t="s">
        <v>63</v>
      </c>
      <c r="J1670" s="128">
        <v>212000</v>
      </c>
      <c r="K1670" s="127" t="s">
        <v>487</v>
      </c>
      <c r="L1670" s="151">
        <v>212114</v>
      </c>
      <c r="M1670" s="128">
        <v>0</v>
      </c>
      <c r="N1670" s="127" t="s">
        <v>492</v>
      </c>
      <c r="O1670" s="127" t="s">
        <v>457</v>
      </c>
      <c r="P1670" s="128">
        <v>0</v>
      </c>
      <c r="Q1670" s="128">
        <v>55.34</v>
      </c>
      <c r="R1670" s="128">
        <v>0</v>
      </c>
      <c r="S1670" s="128">
        <v>0</v>
      </c>
      <c r="T1670" s="128">
        <v>0</v>
      </c>
      <c r="U1670" s="128">
        <v>55.34</v>
      </c>
      <c r="V1670" s="128">
        <v>0</v>
      </c>
      <c r="W1670" s="128">
        <v>55.34</v>
      </c>
      <c r="X1670" s="128">
        <v>0</v>
      </c>
      <c r="Y1670" s="128">
        <v>0</v>
      </c>
      <c r="Z1670" s="128">
        <v>0</v>
      </c>
      <c r="AA1670" s="128">
        <v>55.34</v>
      </c>
      <c r="AB1670" s="126">
        <f t="shared" si="179"/>
        <v>-5.5340000000000007E-6</v>
      </c>
      <c r="AC1670" s="122" t="s">
        <v>1838</v>
      </c>
      <c r="AD1670" s="123">
        <f t="shared" si="180"/>
        <v>1983.9723217250009</v>
      </c>
    </row>
    <row r="1671" spans="1:30" ht="12.75" hidden="1" customHeight="1">
      <c r="A1671" s="125" t="str">
        <f t="shared" si="176"/>
        <v>LIC40Redemption Payable Ct</v>
      </c>
      <c r="B1671" s="125">
        <f>+IFERROR(VLOOKUP(L1671,'TB mapping'!A:D,4,0),0)</f>
        <v>0</v>
      </c>
      <c r="C1671" s="125">
        <f>+IFERROR(VLOOKUP(L1671,'TB mapping'!A:C,3,0),0)</f>
        <v>0</v>
      </c>
      <c r="D1671" s="125" t="str">
        <f t="shared" si="177"/>
        <v>LIC400</v>
      </c>
      <c r="E1671" s="125" t="str">
        <f t="shared" si="178"/>
        <v>LIC400</v>
      </c>
      <c r="F1671" s="158" t="str">
        <f>+VLOOKUP(H1671,'code mapping'!A:C,3,0)</f>
        <v>LIC40</v>
      </c>
      <c r="G1671" s="127" t="s">
        <v>453</v>
      </c>
      <c r="H1671" s="127" t="s">
        <v>729</v>
      </c>
      <c r="I1671" s="127" t="s">
        <v>63</v>
      </c>
      <c r="J1671" s="128">
        <v>212000</v>
      </c>
      <c r="K1671" s="127" t="s">
        <v>487</v>
      </c>
      <c r="L1671" s="151">
        <v>212121</v>
      </c>
      <c r="M1671" s="128">
        <v>0</v>
      </c>
      <c r="N1671" s="127" t="s">
        <v>493</v>
      </c>
      <c r="O1671" s="127" t="s">
        <v>457</v>
      </c>
      <c r="P1671" s="128">
        <v>0</v>
      </c>
      <c r="Q1671" s="128">
        <v>25434081.18</v>
      </c>
      <c r="R1671" s="128">
        <v>0</v>
      </c>
      <c r="S1671" s="128">
        <v>0</v>
      </c>
      <c r="T1671" s="128">
        <v>0</v>
      </c>
      <c r="U1671" s="128">
        <v>25434081.18</v>
      </c>
      <c r="V1671" s="128">
        <v>0</v>
      </c>
      <c r="W1671" s="128">
        <v>25434081.18</v>
      </c>
      <c r="X1671" s="128">
        <v>0</v>
      </c>
      <c r="Y1671" s="128">
        <v>0</v>
      </c>
      <c r="Z1671" s="128">
        <v>0</v>
      </c>
      <c r="AA1671" s="128">
        <v>25434081.18</v>
      </c>
      <c r="AB1671" s="126">
        <f t="shared" si="179"/>
        <v>-2.5434081179999999</v>
      </c>
      <c r="AC1671" s="122" t="s">
        <v>1838</v>
      </c>
      <c r="AD1671" s="123">
        <f t="shared" si="180"/>
        <v>1983.9723217250009</v>
      </c>
    </row>
    <row r="1672" spans="1:30" ht="12.75" hidden="1" customHeight="1">
      <c r="A1672" s="125" t="str">
        <f t="shared" si="176"/>
        <v>LIC40Switch Out Payable Ct</v>
      </c>
      <c r="B1672" s="125">
        <f>+IFERROR(VLOOKUP(L1672,'TB mapping'!A:D,4,0),0)</f>
        <v>0</v>
      </c>
      <c r="C1672" s="125">
        <f>+IFERROR(VLOOKUP(L1672,'TB mapping'!A:C,3,0),0)</f>
        <v>0</v>
      </c>
      <c r="D1672" s="125" t="str">
        <f t="shared" si="177"/>
        <v>LIC400</v>
      </c>
      <c r="E1672" s="125" t="str">
        <f t="shared" si="178"/>
        <v>LIC400</v>
      </c>
      <c r="F1672" s="158" t="str">
        <f>+VLOOKUP(H1672,'code mapping'!A:C,3,0)</f>
        <v>LIC40</v>
      </c>
      <c r="G1672" s="127" t="s">
        <v>453</v>
      </c>
      <c r="H1672" s="127" t="s">
        <v>729</v>
      </c>
      <c r="I1672" s="127" t="s">
        <v>63</v>
      </c>
      <c r="J1672" s="128">
        <v>212000</v>
      </c>
      <c r="K1672" s="127" t="s">
        <v>487</v>
      </c>
      <c r="L1672" s="151">
        <v>212124</v>
      </c>
      <c r="M1672" s="128">
        <v>0</v>
      </c>
      <c r="N1672" s="127" t="s">
        <v>494</v>
      </c>
      <c r="O1672" s="127" t="s">
        <v>457</v>
      </c>
      <c r="P1672" s="128">
        <v>0</v>
      </c>
      <c r="Q1672" s="128">
        <v>8489304.9900000002</v>
      </c>
      <c r="R1672" s="128">
        <v>0</v>
      </c>
      <c r="S1672" s="128">
        <v>0</v>
      </c>
      <c r="T1672" s="128">
        <v>0</v>
      </c>
      <c r="U1672" s="128">
        <v>8489304.9900000002</v>
      </c>
      <c r="V1672" s="128">
        <v>0</v>
      </c>
      <c r="W1672" s="128">
        <v>8489304.9900000002</v>
      </c>
      <c r="X1672" s="128">
        <v>0</v>
      </c>
      <c r="Y1672" s="128">
        <v>0</v>
      </c>
      <c r="Z1672" s="128">
        <v>0</v>
      </c>
      <c r="AA1672" s="128">
        <v>8489304.9900000002</v>
      </c>
      <c r="AB1672" s="126">
        <f t="shared" si="179"/>
        <v>-0.84893049900000006</v>
      </c>
      <c r="AC1672" s="122" t="s">
        <v>1838</v>
      </c>
      <c r="AD1672" s="123">
        <f t="shared" si="180"/>
        <v>1983.9723217250009</v>
      </c>
    </row>
    <row r="1673" spans="1:30" ht="12.75" hidden="1" customHeight="1">
      <c r="A1673" s="125" t="str">
        <f t="shared" si="176"/>
        <v>LIC40Due to Broker - Bonds</v>
      </c>
      <c r="B1673" s="125">
        <f>+IFERROR(VLOOKUP(L1673,'TB mapping'!A:D,4,0),0)</f>
        <v>0</v>
      </c>
      <c r="C1673" s="125">
        <f>+IFERROR(VLOOKUP(L1673,'TB mapping'!A:C,3,0),0)</f>
        <v>0</v>
      </c>
      <c r="D1673" s="125" t="str">
        <f t="shared" si="177"/>
        <v>LIC400</v>
      </c>
      <c r="E1673" s="125" t="str">
        <f t="shared" si="178"/>
        <v>LIC400</v>
      </c>
      <c r="F1673" s="158" t="str">
        <f>+VLOOKUP(H1673,'code mapping'!A:C,3,0)</f>
        <v>LIC40</v>
      </c>
      <c r="G1673" s="127" t="s">
        <v>453</v>
      </c>
      <c r="H1673" s="127" t="s">
        <v>729</v>
      </c>
      <c r="I1673" s="127" t="s">
        <v>63</v>
      </c>
      <c r="J1673" s="128">
        <v>212000</v>
      </c>
      <c r="K1673" s="127" t="s">
        <v>487</v>
      </c>
      <c r="L1673" s="151">
        <v>212160</v>
      </c>
      <c r="M1673" s="128">
        <v>0</v>
      </c>
      <c r="N1673" s="127" t="s">
        <v>495</v>
      </c>
      <c r="O1673" s="127" t="s">
        <v>457</v>
      </c>
      <c r="P1673" s="128">
        <v>0</v>
      </c>
      <c r="Q1673" s="128">
        <v>99215000</v>
      </c>
      <c r="R1673" s="128">
        <v>0</v>
      </c>
      <c r="S1673" s="128">
        <v>0</v>
      </c>
      <c r="T1673" s="128">
        <v>0</v>
      </c>
      <c r="U1673" s="128">
        <v>99215000</v>
      </c>
      <c r="V1673" s="128">
        <v>0</v>
      </c>
      <c r="W1673" s="128">
        <v>99215000</v>
      </c>
      <c r="X1673" s="128">
        <v>0</v>
      </c>
      <c r="Y1673" s="128">
        <v>0</v>
      </c>
      <c r="Z1673" s="128">
        <v>0</v>
      </c>
      <c r="AA1673" s="128">
        <v>99215000</v>
      </c>
      <c r="AB1673" s="126">
        <f t="shared" si="179"/>
        <v>-9.9215</v>
      </c>
      <c r="AC1673" s="122" t="s">
        <v>1838</v>
      </c>
      <c r="AD1673" s="123">
        <f t="shared" si="180"/>
        <v>1983.9723217250009</v>
      </c>
    </row>
    <row r="1674" spans="1:30" ht="12.75" hidden="1" customHeight="1">
      <c r="A1674" s="125" t="str">
        <f t="shared" si="176"/>
        <v>LIC40CBLO Borrowing A/c</v>
      </c>
      <c r="B1674" s="125">
        <f>+IFERROR(VLOOKUP(L1674,'TB mapping'!A:D,4,0),0)</f>
        <v>0</v>
      </c>
      <c r="C1674" s="125">
        <f>+IFERROR(VLOOKUP(L1674,'TB mapping'!A:C,3,0),0)</f>
        <v>0</v>
      </c>
      <c r="D1674" s="125" t="str">
        <f t="shared" si="177"/>
        <v>LIC400</v>
      </c>
      <c r="E1674" s="125" t="str">
        <f t="shared" si="178"/>
        <v>LIC400</v>
      </c>
      <c r="F1674" s="158" t="str">
        <f>+VLOOKUP(H1674,'code mapping'!A:C,3,0)</f>
        <v>LIC40</v>
      </c>
      <c r="G1674" s="127" t="s">
        <v>453</v>
      </c>
      <c r="H1674" s="127" t="s">
        <v>729</v>
      </c>
      <c r="I1674" s="127" t="s">
        <v>63</v>
      </c>
      <c r="J1674" s="128">
        <v>212000</v>
      </c>
      <c r="K1674" s="127" t="s">
        <v>487</v>
      </c>
      <c r="L1674" s="151">
        <v>212181</v>
      </c>
      <c r="M1674" s="128">
        <v>0</v>
      </c>
      <c r="N1674" s="127" t="s">
        <v>733</v>
      </c>
      <c r="O1674" s="127" t="s">
        <v>457</v>
      </c>
      <c r="P1674" s="128">
        <v>-0.01</v>
      </c>
      <c r="Q1674" s="128">
        <v>0</v>
      </c>
      <c r="R1674" s="128">
        <v>0</v>
      </c>
      <c r="S1674" s="128">
        <v>0</v>
      </c>
      <c r="T1674" s="128">
        <v>-0.01</v>
      </c>
      <c r="U1674" s="128">
        <v>0</v>
      </c>
      <c r="V1674" s="128">
        <v>-0.01</v>
      </c>
      <c r="W1674" s="128">
        <v>0</v>
      </c>
      <c r="X1674" s="128">
        <v>0</v>
      </c>
      <c r="Y1674" s="128">
        <v>0</v>
      </c>
      <c r="Z1674" s="128">
        <v>-0.01</v>
      </c>
      <c r="AA1674" s="128">
        <v>0</v>
      </c>
      <c r="AB1674" s="126">
        <f t="shared" si="179"/>
        <v>1.0000000000000001E-9</v>
      </c>
      <c r="AC1674" s="122" t="s">
        <v>1838</v>
      </c>
      <c r="AD1674" s="123">
        <f t="shared" si="180"/>
        <v>1983.9723217250009</v>
      </c>
    </row>
    <row r="1675" spans="1:30" ht="12.75" hidden="1" customHeight="1">
      <c r="A1675" s="125" t="str">
        <f t="shared" si="176"/>
        <v>LIC40Audit Fee-Payable</v>
      </c>
      <c r="B1675" s="125">
        <f>+IFERROR(VLOOKUP(L1675,'TB mapping'!A:D,4,0),0)</f>
        <v>0</v>
      </c>
      <c r="C1675" s="125">
        <f>+IFERROR(VLOOKUP(L1675,'TB mapping'!A:C,3,0),0)</f>
        <v>0</v>
      </c>
      <c r="D1675" s="125" t="str">
        <f t="shared" si="177"/>
        <v>LIC400</v>
      </c>
      <c r="E1675" s="125" t="str">
        <f t="shared" si="178"/>
        <v>LIC400</v>
      </c>
      <c r="F1675" s="158" t="str">
        <f>+VLOOKUP(H1675,'code mapping'!A:C,3,0)</f>
        <v>LIC40</v>
      </c>
      <c r="G1675" s="127" t="s">
        <v>453</v>
      </c>
      <c r="H1675" s="127" t="s">
        <v>729</v>
      </c>
      <c r="I1675" s="127" t="s">
        <v>63</v>
      </c>
      <c r="J1675" s="128">
        <v>212000</v>
      </c>
      <c r="K1675" s="127" t="s">
        <v>487</v>
      </c>
      <c r="L1675" s="151">
        <v>212194</v>
      </c>
      <c r="M1675" s="128">
        <v>0</v>
      </c>
      <c r="N1675" s="127" t="s">
        <v>496</v>
      </c>
      <c r="O1675" s="127" t="s">
        <v>457</v>
      </c>
      <c r="P1675" s="128">
        <v>-573.06000000000006</v>
      </c>
      <c r="Q1675" s="128">
        <v>0</v>
      </c>
      <c r="R1675" s="128">
        <v>0</v>
      </c>
      <c r="S1675" s="128">
        <v>0</v>
      </c>
      <c r="T1675" s="128">
        <v>-573.06000000000006</v>
      </c>
      <c r="U1675" s="128">
        <v>0</v>
      </c>
      <c r="V1675" s="128">
        <v>-573.06000000000006</v>
      </c>
      <c r="W1675" s="128">
        <v>0</v>
      </c>
      <c r="X1675" s="128">
        <v>0</v>
      </c>
      <c r="Y1675" s="128">
        <v>0</v>
      </c>
      <c r="Z1675" s="128">
        <v>-573.06000000000006</v>
      </c>
      <c r="AA1675" s="128">
        <v>0</v>
      </c>
      <c r="AB1675" s="126">
        <f t="shared" si="179"/>
        <v>5.7306000000000003E-5</v>
      </c>
      <c r="AC1675" s="122" t="s">
        <v>1838</v>
      </c>
      <c r="AD1675" s="123">
        <f t="shared" si="180"/>
        <v>1983.9723217250009</v>
      </c>
    </row>
    <row r="1676" spans="1:30" ht="12.75" hidden="1" customHeight="1">
      <c r="A1676" s="125" t="str">
        <f t="shared" si="176"/>
        <v>LIC40Other Exp- Payable</v>
      </c>
      <c r="B1676" s="125">
        <f>+IFERROR(VLOOKUP(L1676,'TB mapping'!A:D,4,0),0)</f>
        <v>0</v>
      </c>
      <c r="C1676" s="125">
        <f>+IFERROR(VLOOKUP(L1676,'TB mapping'!A:C,3,0),0)</f>
        <v>0</v>
      </c>
      <c r="D1676" s="125" t="str">
        <f t="shared" si="177"/>
        <v>LIC400</v>
      </c>
      <c r="E1676" s="125" t="str">
        <f t="shared" si="178"/>
        <v>LIC400</v>
      </c>
      <c r="F1676" s="158" t="str">
        <f>+VLOOKUP(H1676,'code mapping'!A:C,3,0)</f>
        <v>LIC40</v>
      </c>
      <c r="G1676" s="127" t="s">
        <v>453</v>
      </c>
      <c r="H1676" s="127" t="s">
        <v>729</v>
      </c>
      <c r="I1676" s="127" t="s">
        <v>63</v>
      </c>
      <c r="J1676" s="128">
        <v>212000</v>
      </c>
      <c r="K1676" s="127" t="s">
        <v>487</v>
      </c>
      <c r="L1676" s="151">
        <v>212220</v>
      </c>
      <c r="M1676" s="128">
        <v>0</v>
      </c>
      <c r="N1676" s="127" t="s">
        <v>497</v>
      </c>
      <c r="O1676" s="127" t="s">
        <v>457</v>
      </c>
      <c r="P1676" s="128">
        <v>0</v>
      </c>
      <c r="Q1676" s="128">
        <v>16048003.449999999</v>
      </c>
      <c r="R1676" s="128">
        <v>0</v>
      </c>
      <c r="S1676" s="128">
        <v>0</v>
      </c>
      <c r="T1676" s="128">
        <v>0</v>
      </c>
      <c r="U1676" s="128">
        <v>16048003.449999999</v>
      </c>
      <c r="V1676" s="128">
        <v>0</v>
      </c>
      <c r="W1676" s="128">
        <v>16048003.449999999</v>
      </c>
      <c r="X1676" s="128">
        <v>0</v>
      </c>
      <c r="Y1676" s="128">
        <v>0</v>
      </c>
      <c r="Z1676" s="128">
        <v>0</v>
      </c>
      <c r="AA1676" s="128">
        <v>16048003.449999999</v>
      </c>
      <c r="AB1676" s="126">
        <f t="shared" si="179"/>
        <v>-1.6048003449999999</v>
      </c>
      <c r="AC1676" s="122" t="s">
        <v>1838</v>
      </c>
      <c r="AD1676" s="123">
        <f t="shared" si="180"/>
        <v>1983.9723217250009</v>
      </c>
    </row>
    <row r="1677" spans="1:30" ht="12.75" hidden="1" customHeight="1">
      <c r="A1677" s="125" t="str">
        <f t="shared" si="176"/>
        <v>LIC40Expense Allocation-Liab'ity Ac</v>
      </c>
      <c r="B1677" s="125">
        <f>+IFERROR(VLOOKUP(L1677,'TB mapping'!A:D,4,0),0)</f>
        <v>0</v>
      </c>
      <c r="C1677" s="125">
        <f>+IFERROR(VLOOKUP(L1677,'TB mapping'!A:C,3,0),0)</f>
        <v>0</v>
      </c>
      <c r="D1677" s="125" t="str">
        <f t="shared" si="177"/>
        <v>LIC400</v>
      </c>
      <c r="E1677" s="125" t="str">
        <f t="shared" si="178"/>
        <v>LIC400</v>
      </c>
      <c r="F1677" s="158" t="str">
        <f>+VLOOKUP(H1677,'code mapping'!A:C,3,0)</f>
        <v>LIC40</v>
      </c>
      <c r="G1677" s="127" t="s">
        <v>453</v>
      </c>
      <c r="H1677" s="127" t="s">
        <v>729</v>
      </c>
      <c r="I1677" s="127" t="s">
        <v>63</v>
      </c>
      <c r="J1677" s="128">
        <v>212000</v>
      </c>
      <c r="K1677" s="127" t="s">
        <v>487</v>
      </c>
      <c r="L1677" s="151">
        <v>212223</v>
      </c>
      <c r="M1677" s="128">
        <v>0</v>
      </c>
      <c r="N1677" s="127" t="s">
        <v>498</v>
      </c>
      <c r="O1677" s="127" t="s">
        <v>457</v>
      </c>
      <c r="P1677" s="128">
        <v>-14826505.91</v>
      </c>
      <c r="Q1677" s="128">
        <v>0</v>
      </c>
      <c r="R1677" s="128">
        <v>0</v>
      </c>
      <c r="S1677" s="128">
        <v>0</v>
      </c>
      <c r="T1677" s="128">
        <v>-14826505.91</v>
      </c>
      <c r="U1677" s="128">
        <v>0</v>
      </c>
      <c r="V1677" s="128">
        <v>-14826505.91</v>
      </c>
      <c r="W1677" s="128">
        <v>0</v>
      </c>
      <c r="X1677" s="128">
        <v>0</v>
      </c>
      <c r="Y1677" s="128">
        <v>0</v>
      </c>
      <c r="Z1677" s="128">
        <v>-14826505.91</v>
      </c>
      <c r="AA1677" s="128">
        <v>0</v>
      </c>
      <c r="AB1677" s="126">
        <f t="shared" si="179"/>
        <v>1.4826505910000001</v>
      </c>
      <c r="AC1677" s="122" t="s">
        <v>1838</v>
      </c>
      <c r="AD1677" s="123">
        <f t="shared" si="180"/>
        <v>1983.9723217250009</v>
      </c>
    </row>
    <row r="1678" spans="1:30" ht="12.75" hidden="1" customHeight="1">
      <c r="A1678" s="125" t="str">
        <f t="shared" si="176"/>
        <v>LIC40Exp- Additional TER Payable</v>
      </c>
      <c r="B1678" s="125">
        <f>+IFERROR(VLOOKUP(L1678,'TB mapping'!A:D,4,0),0)</f>
        <v>0</v>
      </c>
      <c r="C1678" s="125">
        <f>+IFERROR(VLOOKUP(L1678,'TB mapping'!A:C,3,0),0)</f>
        <v>0</v>
      </c>
      <c r="D1678" s="125" t="str">
        <f t="shared" si="177"/>
        <v>LIC400</v>
      </c>
      <c r="E1678" s="125" t="str">
        <f t="shared" si="178"/>
        <v>LIC400</v>
      </c>
      <c r="F1678" s="158" t="str">
        <f>+VLOOKUP(H1678,'code mapping'!A:C,3,0)</f>
        <v>LIC40</v>
      </c>
      <c r="G1678" s="127" t="s">
        <v>453</v>
      </c>
      <c r="H1678" s="127" t="s">
        <v>729</v>
      </c>
      <c r="I1678" s="127" t="s">
        <v>63</v>
      </c>
      <c r="J1678" s="128">
        <v>212000</v>
      </c>
      <c r="K1678" s="127" t="s">
        <v>487</v>
      </c>
      <c r="L1678" s="151">
        <v>212227</v>
      </c>
      <c r="M1678" s="128">
        <v>0</v>
      </c>
      <c r="N1678" s="127" t="s">
        <v>627</v>
      </c>
      <c r="O1678" s="127" t="s">
        <v>457</v>
      </c>
      <c r="P1678" s="128">
        <v>0</v>
      </c>
      <c r="Q1678" s="128">
        <v>0.18</v>
      </c>
      <c r="R1678" s="128">
        <v>0</v>
      </c>
      <c r="S1678" s="128">
        <v>0</v>
      </c>
      <c r="T1678" s="128">
        <v>0</v>
      </c>
      <c r="U1678" s="128">
        <v>0.18</v>
      </c>
      <c r="V1678" s="128">
        <v>0</v>
      </c>
      <c r="W1678" s="128">
        <v>0.18</v>
      </c>
      <c r="X1678" s="128">
        <v>0</v>
      </c>
      <c r="Y1678" s="128">
        <v>0</v>
      </c>
      <c r="Z1678" s="128">
        <v>0</v>
      </c>
      <c r="AA1678" s="128">
        <v>0.18</v>
      </c>
      <c r="AB1678" s="126">
        <f t="shared" si="179"/>
        <v>-1.7999999999999999E-8</v>
      </c>
      <c r="AC1678" s="122" t="s">
        <v>1838</v>
      </c>
      <c r="AD1678" s="123">
        <f t="shared" si="180"/>
        <v>1983.9723217250009</v>
      </c>
    </row>
    <row r="1679" spans="1:30" ht="12.75" hidden="1" customHeight="1">
      <c r="A1679" s="125" t="str">
        <f t="shared" si="176"/>
        <v>LIC40NRI TDS Payable</v>
      </c>
      <c r="B1679" s="125">
        <f>+IFERROR(VLOOKUP(L1679,'TB mapping'!A:D,4,0),0)</f>
        <v>0</v>
      </c>
      <c r="C1679" s="125">
        <f>+IFERROR(VLOOKUP(L1679,'TB mapping'!A:C,3,0),0)</f>
        <v>0</v>
      </c>
      <c r="D1679" s="125" t="str">
        <f t="shared" si="177"/>
        <v>LIC400</v>
      </c>
      <c r="E1679" s="125" t="str">
        <f t="shared" si="178"/>
        <v>LIC400</v>
      </c>
      <c r="F1679" s="158" t="str">
        <f>+VLOOKUP(H1679,'code mapping'!A:C,3,0)</f>
        <v>LIC40</v>
      </c>
      <c r="G1679" s="127" t="s">
        <v>453</v>
      </c>
      <c r="H1679" s="127" t="s">
        <v>729</v>
      </c>
      <c r="I1679" s="127" t="s">
        <v>63</v>
      </c>
      <c r="J1679" s="128">
        <v>212000</v>
      </c>
      <c r="K1679" s="127" t="s">
        <v>487</v>
      </c>
      <c r="L1679" s="151">
        <v>212233</v>
      </c>
      <c r="M1679" s="128">
        <v>0</v>
      </c>
      <c r="N1679" s="127" t="s">
        <v>499</v>
      </c>
      <c r="O1679" s="127" t="s">
        <v>457</v>
      </c>
      <c r="P1679" s="128">
        <v>0</v>
      </c>
      <c r="Q1679" s="128">
        <v>71276</v>
      </c>
      <c r="R1679" s="128">
        <v>0</v>
      </c>
      <c r="S1679" s="128">
        <v>0</v>
      </c>
      <c r="T1679" s="128">
        <v>0</v>
      </c>
      <c r="U1679" s="128">
        <v>71276</v>
      </c>
      <c r="V1679" s="128">
        <v>0</v>
      </c>
      <c r="W1679" s="128">
        <v>71276</v>
      </c>
      <c r="X1679" s="128">
        <v>0</v>
      </c>
      <c r="Y1679" s="128">
        <v>0</v>
      </c>
      <c r="Z1679" s="128">
        <v>0</v>
      </c>
      <c r="AA1679" s="128">
        <v>71276</v>
      </c>
      <c r="AB1679" s="126">
        <f t="shared" si="179"/>
        <v>-7.1276000000000004E-3</v>
      </c>
      <c r="AC1679" s="122" t="s">
        <v>1838</v>
      </c>
      <c r="AD1679" s="123">
        <f t="shared" si="180"/>
        <v>1983.9723217250009</v>
      </c>
    </row>
    <row r="1680" spans="1:30" ht="12.75" hidden="1" customHeight="1">
      <c r="A1680" s="125" t="str">
        <f t="shared" si="176"/>
        <v>LIC40Investor Education Payable</v>
      </c>
      <c r="B1680" s="125">
        <f>+IFERROR(VLOOKUP(L1680,'TB mapping'!A:D,4,0),0)</f>
        <v>0</v>
      </c>
      <c r="C1680" s="125">
        <f>+IFERROR(VLOOKUP(L1680,'TB mapping'!A:C,3,0),0)</f>
        <v>0</v>
      </c>
      <c r="D1680" s="125" t="str">
        <f t="shared" si="177"/>
        <v>LIC400</v>
      </c>
      <c r="E1680" s="125" t="str">
        <f t="shared" si="178"/>
        <v>LIC400</v>
      </c>
      <c r="F1680" s="158" t="str">
        <f>+VLOOKUP(H1680,'code mapping'!A:C,3,0)</f>
        <v>LIC40</v>
      </c>
      <c r="G1680" s="127" t="s">
        <v>453</v>
      </c>
      <c r="H1680" s="127" t="s">
        <v>729</v>
      </c>
      <c r="I1680" s="127" t="s">
        <v>63</v>
      </c>
      <c r="J1680" s="128">
        <v>212000</v>
      </c>
      <c r="K1680" s="127" t="s">
        <v>487</v>
      </c>
      <c r="L1680" s="151">
        <v>212240</v>
      </c>
      <c r="M1680" s="128">
        <v>0</v>
      </c>
      <c r="N1680" s="127" t="s">
        <v>500</v>
      </c>
      <c r="O1680" s="127" t="s">
        <v>457</v>
      </c>
      <c r="P1680" s="128">
        <v>0</v>
      </c>
      <c r="Q1680" s="128">
        <v>183879.4</v>
      </c>
      <c r="R1680" s="128">
        <v>0</v>
      </c>
      <c r="S1680" s="128">
        <v>0</v>
      </c>
      <c r="T1680" s="128">
        <v>0</v>
      </c>
      <c r="U1680" s="128">
        <v>183879.4</v>
      </c>
      <c r="V1680" s="128">
        <v>0</v>
      </c>
      <c r="W1680" s="128">
        <v>183879.4</v>
      </c>
      <c r="X1680" s="128">
        <v>0</v>
      </c>
      <c r="Y1680" s="128">
        <v>0</v>
      </c>
      <c r="Z1680" s="128">
        <v>0</v>
      </c>
      <c r="AA1680" s="128">
        <v>183879.4</v>
      </c>
      <c r="AB1680" s="126">
        <f t="shared" si="179"/>
        <v>-1.8387939999999998E-2</v>
      </c>
      <c r="AC1680" s="122" t="s">
        <v>1838</v>
      </c>
      <c r="AD1680" s="123">
        <f t="shared" si="180"/>
        <v>1983.9723217250009</v>
      </c>
    </row>
    <row r="1681" spans="1:30" ht="12.75" hidden="1" customHeight="1">
      <c r="A1681" s="125" t="str">
        <f t="shared" si="176"/>
        <v>LIC40Payable - Dividend Dist Tax</v>
      </c>
      <c r="B1681" s="125">
        <f>+IFERROR(VLOOKUP(L1681,'TB mapping'!A:D,4,0),0)</f>
        <v>0</v>
      </c>
      <c r="C1681" s="125">
        <f>+IFERROR(VLOOKUP(L1681,'TB mapping'!A:C,3,0),0)</f>
        <v>0</v>
      </c>
      <c r="D1681" s="125" t="str">
        <f t="shared" si="177"/>
        <v>LIC400</v>
      </c>
      <c r="E1681" s="125" t="str">
        <f t="shared" si="178"/>
        <v>LIC400</v>
      </c>
      <c r="F1681" s="158" t="str">
        <f>+VLOOKUP(H1681,'code mapping'!A:C,3,0)</f>
        <v>LIC40</v>
      </c>
      <c r="G1681" s="127" t="s">
        <v>453</v>
      </c>
      <c r="H1681" s="127" t="s">
        <v>729</v>
      </c>
      <c r="I1681" s="127" t="s">
        <v>63</v>
      </c>
      <c r="J1681" s="128">
        <v>212000</v>
      </c>
      <c r="K1681" s="127" t="s">
        <v>487</v>
      </c>
      <c r="L1681" s="151">
        <v>212242</v>
      </c>
      <c r="M1681" s="128">
        <v>0</v>
      </c>
      <c r="N1681" s="127" t="s">
        <v>650</v>
      </c>
      <c r="O1681" s="127" t="s">
        <v>457</v>
      </c>
      <c r="P1681" s="128">
        <v>0</v>
      </c>
      <c r="Q1681" s="128">
        <v>1131453.67</v>
      </c>
      <c r="R1681" s="128">
        <v>0</v>
      </c>
      <c r="S1681" s="128">
        <v>0</v>
      </c>
      <c r="T1681" s="128">
        <v>0</v>
      </c>
      <c r="U1681" s="128">
        <v>1131453.67</v>
      </c>
      <c r="V1681" s="128">
        <v>0</v>
      </c>
      <c r="W1681" s="128">
        <v>1131453.67</v>
      </c>
      <c r="X1681" s="128">
        <v>0</v>
      </c>
      <c r="Y1681" s="128">
        <v>0</v>
      </c>
      <c r="Z1681" s="128">
        <v>0</v>
      </c>
      <c r="AA1681" s="128">
        <v>1131453.67</v>
      </c>
      <c r="AB1681" s="126">
        <f t="shared" si="179"/>
        <v>-0.113145367</v>
      </c>
      <c r="AC1681" s="122" t="s">
        <v>1838</v>
      </c>
      <c r="AD1681" s="123">
        <f t="shared" si="180"/>
        <v>1983.9723217250009</v>
      </c>
    </row>
    <row r="1682" spans="1:30" ht="12.75" hidden="1" customHeight="1">
      <c r="A1682" s="125" t="str">
        <f t="shared" si="176"/>
        <v>LIC40Transaction Charges Payable</v>
      </c>
      <c r="B1682" s="125">
        <f>+IFERROR(VLOOKUP(L1682,'TB mapping'!A:D,4,0),0)</f>
        <v>0</v>
      </c>
      <c r="C1682" s="125">
        <f>+IFERROR(VLOOKUP(L1682,'TB mapping'!A:C,3,0),0)</f>
        <v>0</v>
      </c>
      <c r="D1682" s="125" t="str">
        <f t="shared" si="177"/>
        <v>LIC400</v>
      </c>
      <c r="E1682" s="125" t="str">
        <f t="shared" si="178"/>
        <v>LIC400</v>
      </c>
      <c r="F1682" s="158" t="str">
        <f>+VLOOKUP(H1682,'code mapping'!A:C,3,0)</f>
        <v>LIC40</v>
      </c>
      <c r="G1682" s="127" t="s">
        <v>453</v>
      </c>
      <c r="H1682" s="127" t="s">
        <v>729</v>
      </c>
      <c r="I1682" s="127" t="s">
        <v>63</v>
      </c>
      <c r="J1682" s="128">
        <v>212000</v>
      </c>
      <c r="K1682" s="127" t="s">
        <v>487</v>
      </c>
      <c r="L1682" s="151">
        <v>212247</v>
      </c>
      <c r="M1682" s="128">
        <v>0</v>
      </c>
      <c r="N1682" s="127" t="s">
        <v>501</v>
      </c>
      <c r="O1682" s="127" t="s">
        <v>457</v>
      </c>
      <c r="P1682" s="128">
        <v>0</v>
      </c>
      <c r="Q1682" s="128">
        <v>30787</v>
      </c>
      <c r="R1682" s="128">
        <v>0</v>
      </c>
      <c r="S1682" s="128">
        <v>0</v>
      </c>
      <c r="T1682" s="128">
        <v>0</v>
      </c>
      <c r="U1682" s="128">
        <v>30787</v>
      </c>
      <c r="V1682" s="128">
        <v>0</v>
      </c>
      <c r="W1682" s="128">
        <v>30787</v>
      </c>
      <c r="X1682" s="128">
        <v>0</v>
      </c>
      <c r="Y1682" s="128">
        <v>0</v>
      </c>
      <c r="Z1682" s="128">
        <v>0</v>
      </c>
      <c r="AA1682" s="128">
        <v>30787</v>
      </c>
      <c r="AB1682" s="126">
        <f t="shared" si="179"/>
        <v>-3.0787000000000002E-3</v>
      </c>
      <c r="AC1682" s="122" t="s">
        <v>1838</v>
      </c>
      <c r="AD1682" s="123">
        <f t="shared" si="180"/>
        <v>1983.9723217250009</v>
      </c>
    </row>
    <row r="1683" spans="1:30" ht="12.75" hidden="1" customHeight="1">
      <c r="A1683" s="125" t="str">
        <f t="shared" si="176"/>
        <v>LIC40Brokerage &amp; Dist Exp Payable</v>
      </c>
      <c r="B1683" s="125">
        <f>+IFERROR(VLOOKUP(L1683,'TB mapping'!A:D,4,0),0)</f>
        <v>0</v>
      </c>
      <c r="C1683" s="125">
        <f>+IFERROR(VLOOKUP(L1683,'TB mapping'!A:C,3,0),0)</f>
        <v>0</v>
      </c>
      <c r="D1683" s="125" t="str">
        <f t="shared" si="177"/>
        <v>LIC400</v>
      </c>
      <c r="E1683" s="125" t="str">
        <f t="shared" si="178"/>
        <v>LIC400</v>
      </c>
      <c r="F1683" s="158" t="str">
        <f>+VLOOKUP(H1683,'code mapping'!A:C,3,0)</f>
        <v>LIC40</v>
      </c>
      <c r="G1683" s="127" t="s">
        <v>453</v>
      </c>
      <c r="H1683" s="127" t="s">
        <v>729</v>
      </c>
      <c r="I1683" s="127" t="s">
        <v>63</v>
      </c>
      <c r="J1683" s="128">
        <v>212000</v>
      </c>
      <c r="K1683" s="127" t="s">
        <v>487</v>
      </c>
      <c r="L1683" s="151">
        <v>212255</v>
      </c>
      <c r="M1683" s="128">
        <v>0</v>
      </c>
      <c r="N1683" s="127" t="s">
        <v>503</v>
      </c>
      <c r="O1683" s="127" t="s">
        <v>457</v>
      </c>
      <c r="P1683" s="128">
        <v>0</v>
      </c>
      <c r="Q1683" s="128">
        <v>5870503.8300000001</v>
      </c>
      <c r="R1683" s="128">
        <v>0</v>
      </c>
      <c r="S1683" s="128">
        <v>0</v>
      </c>
      <c r="T1683" s="128">
        <v>0</v>
      </c>
      <c r="U1683" s="128">
        <v>5870503.8300000001</v>
      </c>
      <c r="V1683" s="128">
        <v>0</v>
      </c>
      <c r="W1683" s="128">
        <v>5870503.8300000001</v>
      </c>
      <c r="X1683" s="128">
        <v>0</v>
      </c>
      <c r="Y1683" s="128">
        <v>0</v>
      </c>
      <c r="Z1683" s="128">
        <v>0</v>
      </c>
      <c r="AA1683" s="128">
        <v>5870503.8300000001</v>
      </c>
      <c r="AB1683" s="126">
        <f t="shared" si="179"/>
        <v>-0.58705038300000001</v>
      </c>
      <c r="AC1683" s="122" t="s">
        <v>1838</v>
      </c>
      <c r="AD1683" s="123">
        <f t="shared" si="180"/>
        <v>1983.9723217250009</v>
      </c>
    </row>
    <row r="1684" spans="1:30" ht="12.75" hidden="1" customHeight="1">
      <c r="A1684" s="125" t="str">
        <f t="shared" si="176"/>
        <v>LIC40Upfront Brk &amp; Trail Paid-Liab</v>
      </c>
      <c r="B1684" s="125">
        <f>+IFERROR(VLOOKUP(L1684,'TB mapping'!A:D,4,0),0)</f>
        <v>0</v>
      </c>
      <c r="C1684" s="125">
        <f>+IFERROR(VLOOKUP(L1684,'TB mapping'!A:C,3,0),0)</f>
        <v>0</v>
      </c>
      <c r="D1684" s="125" t="str">
        <f t="shared" si="177"/>
        <v>LIC400</v>
      </c>
      <c r="E1684" s="125" t="str">
        <f t="shared" si="178"/>
        <v>LIC400</v>
      </c>
      <c r="F1684" s="158" t="str">
        <f>+VLOOKUP(H1684,'code mapping'!A:C,3,0)</f>
        <v>LIC40</v>
      </c>
      <c r="G1684" s="127" t="s">
        <v>453</v>
      </c>
      <c r="H1684" s="127" t="s">
        <v>729</v>
      </c>
      <c r="I1684" s="127" t="s">
        <v>63</v>
      </c>
      <c r="J1684" s="128">
        <v>212000</v>
      </c>
      <c r="K1684" s="127" t="s">
        <v>487</v>
      </c>
      <c r="L1684" s="151">
        <v>212257</v>
      </c>
      <c r="M1684" s="128">
        <v>0</v>
      </c>
      <c r="N1684" s="127" t="s">
        <v>504</v>
      </c>
      <c r="O1684" s="127" t="s">
        <v>457</v>
      </c>
      <c r="P1684" s="128">
        <v>-34066.36</v>
      </c>
      <c r="Q1684" s="128">
        <v>0</v>
      </c>
      <c r="R1684" s="128">
        <v>0</v>
      </c>
      <c r="S1684" s="128">
        <v>0</v>
      </c>
      <c r="T1684" s="128">
        <v>-34066.36</v>
      </c>
      <c r="U1684" s="128">
        <v>0</v>
      </c>
      <c r="V1684" s="128">
        <v>-34066.36</v>
      </c>
      <c r="W1684" s="128">
        <v>0</v>
      </c>
      <c r="X1684" s="128">
        <v>0</v>
      </c>
      <c r="Y1684" s="128">
        <v>0</v>
      </c>
      <c r="Z1684" s="128">
        <v>-34066.36</v>
      </c>
      <c r="AA1684" s="128">
        <v>0</v>
      </c>
      <c r="AB1684" s="126">
        <f t="shared" si="179"/>
        <v>3.4066360000000002E-3</v>
      </c>
      <c r="AC1684" s="122" t="s">
        <v>1838</v>
      </c>
      <c r="AD1684" s="123">
        <f t="shared" si="180"/>
        <v>1983.9723217250009</v>
      </c>
    </row>
    <row r="1685" spans="1:30" ht="12.75" hidden="1" customHeight="1">
      <c r="A1685" s="125" t="str">
        <f t="shared" si="176"/>
        <v>LIC40Payable CGST on Mfees</v>
      </c>
      <c r="B1685" s="125">
        <f>+IFERROR(VLOOKUP(L1685,'TB mapping'!A:D,4,0),0)</f>
        <v>0</v>
      </c>
      <c r="C1685" s="125">
        <f>+IFERROR(VLOOKUP(L1685,'TB mapping'!A:C,3,0),0)</f>
        <v>0</v>
      </c>
      <c r="D1685" s="125" t="str">
        <f t="shared" si="177"/>
        <v>LIC400</v>
      </c>
      <c r="E1685" s="125" t="str">
        <f t="shared" si="178"/>
        <v>LIC400</v>
      </c>
      <c r="F1685" s="158" t="str">
        <f>+VLOOKUP(H1685,'code mapping'!A:C,3,0)</f>
        <v>LIC40</v>
      </c>
      <c r="G1685" s="127" t="s">
        <v>453</v>
      </c>
      <c r="H1685" s="127" t="s">
        <v>729</v>
      </c>
      <c r="I1685" s="127" t="s">
        <v>63</v>
      </c>
      <c r="J1685" s="128">
        <v>212000</v>
      </c>
      <c r="K1685" s="127" t="s">
        <v>487</v>
      </c>
      <c r="L1685" s="151">
        <v>212271</v>
      </c>
      <c r="M1685" s="128">
        <v>0</v>
      </c>
      <c r="N1685" s="127" t="s">
        <v>505</v>
      </c>
      <c r="O1685" s="127" t="s">
        <v>457</v>
      </c>
      <c r="P1685" s="128">
        <v>0</v>
      </c>
      <c r="Q1685" s="128">
        <v>53815.46</v>
      </c>
      <c r="R1685" s="128">
        <v>0</v>
      </c>
      <c r="S1685" s="128">
        <v>0</v>
      </c>
      <c r="T1685" s="128">
        <v>0</v>
      </c>
      <c r="U1685" s="128">
        <v>53815.46</v>
      </c>
      <c r="V1685" s="128">
        <v>0</v>
      </c>
      <c r="W1685" s="128">
        <v>53815.46</v>
      </c>
      <c r="X1685" s="128">
        <v>0</v>
      </c>
      <c r="Y1685" s="128">
        <v>0</v>
      </c>
      <c r="Z1685" s="128">
        <v>0</v>
      </c>
      <c r="AA1685" s="128">
        <v>53815.46</v>
      </c>
      <c r="AB1685" s="126">
        <f t="shared" si="179"/>
        <v>-5.3815460000000001E-3</v>
      </c>
      <c r="AC1685" s="122" t="s">
        <v>1838</v>
      </c>
      <c r="AD1685" s="123">
        <f t="shared" si="180"/>
        <v>1983.9723217250009</v>
      </c>
    </row>
    <row r="1686" spans="1:30" ht="12.75" hidden="1" customHeight="1">
      <c r="A1686" s="125" t="str">
        <f t="shared" si="176"/>
        <v>LIC40Payable SGST on Mfees</v>
      </c>
      <c r="B1686" s="125">
        <f>+IFERROR(VLOOKUP(L1686,'TB mapping'!A:D,4,0),0)</f>
        <v>0</v>
      </c>
      <c r="C1686" s="125">
        <f>+IFERROR(VLOOKUP(L1686,'TB mapping'!A:C,3,0),0)</f>
        <v>0</v>
      </c>
      <c r="D1686" s="125" t="str">
        <f t="shared" si="177"/>
        <v>LIC400</v>
      </c>
      <c r="E1686" s="125" t="str">
        <f t="shared" si="178"/>
        <v>LIC400</v>
      </c>
      <c r="F1686" s="158" t="str">
        <f>+VLOOKUP(H1686,'code mapping'!A:C,3,0)</f>
        <v>LIC40</v>
      </c>
      <c r="G1686" s="127" t="s">
        <v>453</v>
      </c>
      <c r="H1686" s="127" t="s">
        <v>729</v>
      </c>
      <c r="I1686" s="127" t="s">
        <v>63</v>
      </c>
      <c r="J1686" s="128">
        <v>212000</v>
      </c>
      <c r="K1686" s="127" t="s">
        <v>487</v>
      </c>
      <c r="L1686" s="151">
        <v>212272</v>
      </c>
      <c r="M1686" s="128">
        <v>0</v>
      </c>
      <c r="N1686" s="127" t="s">
        <v>506</v>
      </c>
      <c r="O1686" s="127" t="s">
        <v>457</v>
      </c>
      <c r="P1686" s="128">
        <v>0</v>
      </c>
      <c r="Q1686" s="128">
        <v>53815.46</v>
      </c>
      <c r="R1686" s="128">
        <v>0</v>
      </c>
      <c r="S1686" s="128">
        <v>0</v>
      </c>
      <c r="T1686" s="128">
        <v>0</v>
      </c>
      <c r="U1686" s="128">
        <v>53815.46</v>
      </c>
      <c r="V1686" s="128">
        <v>0</v>
      </c>
      <c r="W1686" s="128">
        <v>53815.46</v>
      </c>
      <c r="X1686" s="128">
        <v>0</v>
      </c>
      <c r="Y1686" s="128">
        <v>0</v>
      </c>
      <c r="Z1686" s="128">
        <v>0</v>
      </c>
      <c r="AA1686" s="128">
        <v>53815.46</v>
      </c>
      <c r="AB1686" s="126">
        <f t="shared" si="179"/>
        <v>-5.3815460000000001E-3</v>
      </c>
      <c r="AC1686" s="122" t="s">
        <v>1838</v>
      </c>
      <c r="AD1686" s="123">
        <f t="shared" si="180"/>
        <v>1983.9723217250009</v>
      </c>
    </row>
    <row r="1687" spans="1:30" ht="12.75" hidden="1" customHeight="1">
      <c r="A1687" s="125" t="str">
        <f t="shared" si="176"/>
        <v>LIC40Payable -Inv Educ Fund-AMFI</v>
      </c>
      <c r="B1687" s="125">
        <f>+IFERROR(VLOOKUP(L1687,'TB mapping'!A:D,4,0),0)</f>
        <v>0</v>
      </c>
      <c r="C1687" s="125">
        <f>+IFERROR(VLOOKUP(L1687,'TB mapping'!A:C,3,0),0)</f>
        <v>0</v>
      </c>
      <c r="D1687" s="125" t="str">
        <f t="shared" si="177"/>
        <v>LIC400</v>
      </c>
      <c r="E1687" s="125" t="str">
        <f t="shared" si="178"/>
        <v>LIC400</v>
      </c>
      <c r="F1687" s="158" t="str">
        <f>+VLOOKUP(H1687,'code mapping'!A:C,3,0)</f>
        <v>LIC40</v>
      </c>
      <c r="G1687" s="127" t="s">
        <v>453</v>
      </c>
      <c r="H1687" s="127" t="s">
        <v>729</v>
      </c>
      <c r="I1687" s="127" t="s">
        <v>63</v>
      </c>
      <c r="J1687" s="128">
        <v>212000</v>
      </c>
      <c r="K1687" s="127" t="s">
        <v>487</v>
      </c>
      <c r="L1687" s="151">
        <v>213166</v>
      </c>
      <c r="M1687" s="128">
        <v>0</v>
      </c>
      <c r="N1687" s="127" t="s">
        <v>507</v>
      </c>
      <c r="O1687" s="127" t="s">
        <v>457</v>
      </c>
      <c r="P1687" s="128">
        <v>0</v>
      </c>
      <c r="Q1687" s="128">
        <v>183879.4</v>
      </c>
      <c r="R1687" s="128">
        <v>0</v>
      </c>
      <c r="S1687" s="128">
        <v>0</v>
      </c>
      <c r="T1687" s="128">
        <v>0</v>
      </c>
      <c r="U1687" s="128">
        <v>183879.4</v>
      </c>
      <c r="V1687" s="128">
        <v>0</v>
      </c>
      <c r="W1687" s="128">
        <v>183879.4</v>
      </c>
      <c r="X1687" s="128">
        <v>0</v>
      </c>
      <c r="Y1687" s="128">
        <v>0</v>
      </c>
      <c r="Z1687" s="128">
        <v>0</v>
      </c>
      <c r="AA1687" s="128">
        <v>183879.4</v>
      </c>
      <c r="AB1687" s="126">
        <f t="shared" si="179"/>
        <v>-1.8387939999999998E-2</v>
      </c>
      <c r="AC1687" s="122" t="s">
        <v>1838</v>
      </c>
      <c r="AD1687" s="123">
        <f t="shared" si="180"/>
        <v>1983.9723217250009</v>
      </c>
    </row>
    <row r="1688" spans="1:30" ht="12.75" hidden="1" customHeight="1">
      <c r="A1688" s="125" t="str">
        <f t="shared" si="176"/>
        <v>LIC40Interest Expense Payable</v>
      </c>
      <c r="B1688" s="125">
        <f>+IFERROR(VLOOKUP(L1688,'TB mapping'!A:D,4,0),0)</f>
        <v>0</v>
      </c>
      <c r="C1688" s="125">
        <f>+IFERROR(VLOOKUP(L1688,'TB mapping'!A:C,3,0),0)</f>
        <v>0</v>
      </c>
      <c r="D1688" s="125" t="str">
        <f t="shared" si="177"/>
        <v>LIC400</v>
      </c>
      <c r="E1688" s="125" t="str">
        <f t="shared" si="178"/>
        <v>LIC400</v>
      </c>
      <c r="F1688" s="158" t="str">
        <f>+VLOOKUP(H1688,'code mapping'!A:C,3,0)</f>
        <v>LIC40</v>
      </c>
      <c r="G1688" s="127" t="s">
        <v>453</v>
      </c>
      <c r="H1688" s="127" t="s">
        <v>729</v>
      </c>
      <c r="I1688" s="127" t="s">
        <v>63</v>
      </c>
      <c r="J1688" s="128">
        <v>212000</v>
      </c>
      <c r="K1688" s="127" t="s">
        <v>487</v>
      </c>
      <c r="L1688" s="151">
        <v>252226</v>
      </c>
      <c r="M1688" s="128">
        <v>0</v>
      </c>
      <c r="N1688" s="127" t="s">
        <v>734</v>
      </c>
      <c r="O1688" s="127" t="s">
        <v>457</v>
      </c>
      <c r="P1688" s="128">
        <v>-0.03</v>
      </c>
      <c r="Q1688" s="128">
        <v>0</v>
      </c>
      <c r="R1688" s="128">
        <v>0</v>
      </c>
      <c r="S1688" s="128">
        <v>0</v>
      </c>
      <c r="T1688" s="128">
        <v>-0.03</v>
      </c>
      <c r="U1688" s="128">
        <v>0</v>
      </c>
      <c r="V1688" s="128">
        <v>-0.03</v>
      </c>
      <c r="W1688" s="128">
        <v>0</v>
      </c>
      <c r="X1688" s="128">
        <v>0</v>
      </c>
      <c r="Y1688" s="128">
        <v>0</v>
      </c>
      <c r="Z1688" s="128">
        <v>-0.03</v>
      </c>
      <c r="AA1688" s="128">
        <v>0</v>
      </c>
      <c r="AB1688" s="126">
        <f t="shared" si="179"/>
        <v>3E-9</v>
      </c>
      <c r="AC1688" s="122" t="s">
        <v>1838</v>
      </c>
      <c r="AD1688" s="123">
        <f t="shared" si="180"/>
        <v>1983.9723217250009</v>
      </c>
    </row>
    <row r="1689" spans="1:30" ht="12.75" hidden="1" customHeight="1">
      <c r="A1689" s="125" t="str">
        <f t="shared" si="176"/>
        <v>LIC40Management Fee Payable</v>
      </c>
      <c r="B1689" s="125">
        <f>+IFERROR(VLOOKUP(L1689,'TB mapping'!A:D,4,0),0)</f>
        <v>0</v>
      </c>
      <c r="C1689" s="125">
        <f>+IFERROR(VLOOKUP(L1689,'TB mapping'!A:C,3,0),0)</f>
        <v>0</v>
      </c>
      <c r="D1689" s="125" t="str">
        <f t="shared" si="177"/>
        <v>LIC400</v>
      </c>
      <c r="E1689" s="125" t="str">
        <f t="shared" si="178"/>
        <v>LIC400</v>
      </c>
      <c r="F1689" s="158" t="str">
        <f>+VLOOKUP(H1689,'code mapping'!A:C,3,0)</f>
        <v>LIC40</v>
      </c>
      <c r="G1689" s="127" t="s">
        <v>453</v>
      </c>
      <c r="H1689" s="127" t="s">
        <v>729</v>
      </c>
      <c r="I1689" s="127" t="s">
        <v>63</v>
      </c>
      <c r="J1689" s="128">
        <v>213000</v>
      </c>
      <c r="K1689" s="127" t="s">
        <v>508</v>
      </c>
      <c r="L1689" s="151">
        <v>213500</v>
      </c>
      <c r="M1689" s="128">
        <v>0</v>
      </c>
      <c r="N1689" s="127" t="s">
        <v>509</v>
      </c>
      <c r="O1689" s="127" t="s">
        <v>457</v>
      </c>
      <c r="P1689" s="128">
        <v>0</v>
      </c>
      <c r="Q1689" s="128">
        <v>597932.67000000004</v>
      </c>
      <c r="R1689" s="128">
        <v>0</v>
      </c>
      <c r="S1689" s="128">
        <v>0</v>
      </c>
      <c r="T1689" s="128">
        <v>0</v>
      </c>
      <c r="U1689" s="128">
        <v>597932.67000000004</v>
      </c>
      <c r="V1689" s="128">
        <v>0</v>
      </c>
      <c r="W1689" s="128">
        <v>597932.67000000004</v>
      </c>
      <c r="X1689" s="128">
        <v>0</v>
      </c>
      <c r="Y1689" s="128">
        <v>0</v>
      </c>
      <c r="Z1689" s="128">
        <v>0</v>
      </c>
      <c r="AA1689" s="128">
        <v>597932.67000000004</v>
      </c>
      <c r="AB1689" s="126">
        <f t="shared" si="179"/>
        <v>-5.9793267000000004E-2</v>
      </c>
      <c r="AC1689" s="122" t="s">
        <v>1838</v>
      </c>
      <c r="AD1689" s="123">
        <f t="shared" si="180"/>
        <v>1983.9723217250009</v>
      </c>
    </row>
    <row r="1690" spans="1:30" ht="12.75" hidden="1" customHeight="1">
      <c r="A1690" s="125" t="str">
        <f t="shared" si="176"/>
        <v>LIC40Other Adjustment A/c.</v>
      </c>
      <c r="B1690" s="125">
        <f>+IFERROR(VLOOKUP(L1690,'TB mapping'!A:D,4,0),0)</f>
        <v>0</v>
      </c>
      <c r="C1690" s="125">
        <f>+IFERROR(VLOOKUP(L1690,'TB mapping'!A:C,3,0),0)</f>
        <v>0</v>
      </c>
      <c r="D1690" s="125" t="str">
        <f t="shared" si="177"/>
        <v>LIC400</v>
      </c>
      <c r="E1690" s="125" t="str">
        <f t="shared" si="178"/>
        <v>LIC400</v>
      </c>
      <c r="F1690" s="158" t="str">
        <f>+VLOOKUP(H1690,'code mapping'!A:C,3,0)</f>
        <v>LIC40</v>
      </c>
      <c r="G1690" s="127" t="s">
        <v>453</v>
      </c>
      <c r="H1690" s="127" t="s">
        <v>729</v>
      </c>
      <c r="I1690" s="127" t="s">
        <v>63</v>
      </c>
      <c r="J1690" s="128">
        <v>220000</v>
      </c>
      <c r="K1690" s="127" t="s">
        <v>510</v>
      </c>
      <c r="L1690" s="151">
        <v>190000</v>
      </c>
      <c r="M1690" s="128">
        <v>0</v>
      </c>
      <c r="N1690" s="127" t="s">
        <v>511</v>
      </c>
      <c r="O1690" s="127" t="s">
        <v>457</v>
      </c>
      <c r="P1690" s="128">
        <v>0</v>
      </c>
      <c r="Q1690" s="128">
        <v>9.2900000000000009</v>
      </c>
      <c r="R1690" s="128">
        <v>0</v>
      </c>
      <c r="S1690" s="128">
        <v>0</v>
      </c>
      <c r="T1690" s="128">
        <v>0</v>
      </c>
      <c r="U1690" s="128">
        <v>9.2900000000000009</v>
      </c>
      <c r="V1690" s="128">
        <v>0</v>
      </c>
      <c r="W1690" s="128">
        <v>9.2900000000000009</v>
      </c>
      <c r="X1690" s="128">
        <v>0</v>
      </c>
      <c r="Y1690" s="128">
        <v>0</v>
      </c>
      <c r="Z1690" s="128">
        <v>0</v>
      </c>
      <c r="AA1690" s="128">
        <v>9.2900000000000009</v>
      </c>
      <c r="AB1690" s="126">
        <f t="shared" si="179"/>
        <v>-9.2900000000000013E-7</v>
      </c>
      <c r="AC1690" s="122" t="s">
        <v>1838</v>
      </c>
      <c r="AD1690" s="123">
        <f t="shared" si="180"/>
        <v>1983.9723217250009</v>
      </c>
    </row>
    <row r="1691" spans="1:30" ht="12.75" hidden="1" customHeight="1">
      <c r="A1691" s="125" t="str">
        <f t="shared" si="176"/>
        <v>LIC40Prov For Withholding Brokerage</v>
      </c>
      <c r="B1691" s="125">
        <f>+IFERROR(VLOOKUP(L1691,'TB mapping'!A:D,4,0),0)</f>
        <v>0</v>
      </c>
      <c r="C1691" s="125">
        <f>+IFERROR(VLOOKUP(L1691,'TB mapping'!A:C,3,0),0)</f>
        <v>0</v>
      </c>
      <c r="D1691" s="125" t="str">
        <f t="shared" si="177"/>
        <v>LIC400</v>
      </c>
      <c r="E1691" s="125" t="str">
        <f t="shared" si="178"/>
        <v>LIC400</v>
      </c>
      <c r="F1691" s="158" t="str">
        <f>+VLOOKUP(H1691,'code mapping'!A:C,3,0)</f>
        <v>LIC40</v>
      </c>
      <c r="G1691" s="127" t="s">
        <v>453</v>
      </c>
      <c r="H1691" s="127" t="s">
        <v>729</v>
      </c>
      <c r="I1691" s="127" t="s">
        <v>63</v>
      </c>
      <c r="J1691" s="128">
        <v>220000</v>
      </c>
      <c r="K1691" s="127" t="s">
        <v>510</v>
      </c>
      <c r="L1691" s="151">
        <v>210162</v>
      </c>
      <c r="M1691" s="128">
        <v>0</v>
      </c>
      <c r="N1691" s="127" t="s">
        <v>512</v>
      </c>
      <c r="O1691" s="127" t="s">
        <v>457</v>
      </c>
      <c r="P1691" s="128">
        <v>0</v>
      </c>
      <c r="Q1691" s="128">
        <v>376381.2</v>
      </c>
      <c r="R1691" s="128">
        <v>0</v>
      </c>
      <c r="S1691" s="128">
        <v>0</v>
      </c>
      <c r="T1691" s="128">
        <v>0</v>
      </c>
      <c r="U1691" s="128">
        <v>376381.2</v>
      </c>
      <c r="V1691" s="128">
        <v>0</v>
      </c>
      <c r="W1691" s="128">
        <v>376381.2</v>
      </c>
      <c r="X1691" s="128">
        <v>0</v>
      </c>
      <c r="Y1691" s="128">
        <v>0</v>
      </c>
      <c r="Z1691" s="128">
        <v>0</v>
      </c>
      <c r="AA1691" s="128">
        <v>376381.2</v>
      </c>
      <c r="AB1691" s="126">
        <f t="shared" si="179"/>
        <v>-3.7638120000000004E-2</v>
      </c>
      <c r="AC1691" s="122" t="s">
        <v>1838</v>
      </c>
      <c r="AD1691" s="123">
        <f t="shared" si="180"/>
        <v>1983.9723217250009</v>
      </c>
    </row>
    <row r="1692" spans="1:30" ht="12.75" hidden="1" customHeight="1">
      <c r="A1692" s="125" t="str">
        <f t="shared" si="176"/>
        <v>LIC40Prov  Withholding Brok 2016-17</v>
      </c>
      <c r="B1692" s="125">
        <f>+IFERROR(VLOOKUP(L1692,'TB mapping'!A:D,4,0),0)</f>
        <v>0</v>
      </c>
      <c r="C1692" s="125">
        <f>+IFERROR(VLOOKUP(L1692,'TB mapping'!A:C,3,0),0)</f>
        <v>0</v>
      </c>
      <c r="D1692" s="125" t="str">
        <f t="shared" si="177"/>
        <v>LIC400</v>
      </c>
      <c r="E1692" s="125" t="str">
        <f t="shared" si="178"/>
        <v>LIC400</v>
      </c>
      <c r="F1692" s="158" t="str">
        <f>+VLOOKUP(H1692,'code mapping'!A:C,3,0)</f>
        <v>LIC40</v>
      </c>
      <c r="G1692" s="127" t="s">
        <v>453</v>
      </c>
      <c r="H1692" s="127" t="s">
        <v>729</v>
      </c>
      <c r="I1692" s="127" t="s">
        <v>63</v>
      </c>
      <c r="J1692" s="128">
        <v>220000</v>
      </c>
      <c r="K1692" s="127" t="s">
        <v>510</v>
      </c>
      <c r="L1692" s="151">
        <v>210163</v>
      </c>
      <c r="M1692" s="128">
        <v>0</v>
      </c>
      <c r="N1692" s="127" t="s">
        <v>513</v>
      </c>
      <c r="O1692" s="127" t="s">
        <v>457</v>
      </c>
      <c r="P1692" s="128">
        <v>0</v>
      </c>
      <c r="Q1692" s="128">
        <v>708440.05</v>
      </c>
      <c r="R1692" s="128">
        <v>0</v>
      </c>
      <c r="S1692" s="128">
        <v>0</v>
      </c>
      <c r="T1692" s="128">
        <v>0</v>
      </c>
      <c r="U1692" s="128">
        <v>708440.05</v>
      </c>
      <c r="V1692" s="128">
        <v>0</v>
      </c>
      <c r="W1692" s="128">
        <v>708440.05</v>
      </c>
      <c r="X1692" s="128">
        <v>0</v>
      </c>
      <c r="Y1692" s="128">
        <v>0</v>
      </c>
      <c r="Z1692" s="128">
        <v>0</v>
      </c>
      <c r="AA1692" s="128">
        <v>708440.05</v>
      </c>
      <c r="AB1692" s="126">
        <f t="shared" si="179"/>
        <v>-7.0844005000000002E-2</v>
      </c>
      <c r="AC1692" s="122" t="s">
        <v>1838</v>
      </c>
      <c r="AD1692" s="123">
        <f t="shared" si="180"/>
        <v>1983.9723217250009</v>
      </c>
    </row>
    <row r="1693" spans="1:30" ht="12.75" hidden="1" customHeight="1">
      <c r="A1693" s="125" t="str">
        <f t="shared" si="176"/>
        <v>LIC40Unit Capital</v>
      </c>
      <c r="B1693" s="125">
        <f>+IFERROR(VLOOKUP(L1693,'TB mapping'!A:D,4,0),0)</f>
        <v>0</v>
      </c>
      <c r="C1693" s="125">
        <f>+IFERROR(VLOOKUP(L1693,'TB mapping'!A:C,3,0),0)</f>
        <v>0</v>
      </c>
      <c r="D1693" s="125" t="str">
        <f t="shared" si="177"/>
        <v>LIC400</v>
      </c>
      <c r="E1693" s="125" t="str">
        <f t="shared" si="178"/>
        <v>LIC400</v>
      </c>
      <c r="F1693" s="158" t="str">
        <f>+VLOOKUP(H1693,'code mapping'!A:C,3,0)</f>
        <v>LIC40</v>
      </c>
      <c r="G1693" s="127" t="s">
        <v>453</v>
      </c>
      <c r="H1693" s="127" t="s">
        <v>729</v>
      </c>
      <c r="I1693" s="127" t="s">
        <v>63</v>
      </c>
      <c r="J1693" s="128">
        <v>301000</v>
      </c>
      <c r="K1693" s="127" t="s">
        <v>514</v>
      </c>
      <c r="L1693" s="151">
        <v>310000</v>
      </c>
      <c r="M1693" s="128">
        <v>0</v>
      </c>
      <c r="N1693" s="127" t="s">
        <v>515</v>
      </c>
      <c r="O1693" s="127" t="s">
        <v>457</v>
      </c>
      <c r="P1693" s="128">
        <v>0</v>
      </c>
      <c r="Q1693" s="128">
        <v>8773563755.2099991</v>
      </c>
      <c r="R1693" s="128">
        <v>0</v>
      </c>
      <c r="S1693" s="128">
        <v>0</v>
      </c>
      <c r="T1693" s="128">
        <v>0</v>
      </c>
      <c r="U1693" s="128">
        <v>8773563755.2099991</v>
      </c>
      <c r="V1693" s="128">
        <v>0</v>
      </c>
      <c r="W1693" s="128">
        <v>8773563755.2099991</v>
      </c>
      <c r="X1693" s="128">
        <v>0</v>
      </c>
      <c r="Y1693" s="128">
        <v>0</v>
      </c>
      <c r="Z1693" s="128">
        <v>0</v>
      </c>
      <c r="AA1693" s="128">
        <v>8773563755.2099991</v>
      </c>
      <c r="AB1693" s="126">
        <f t="shared" si="179"/>
        <v>-877.3563755209999</v>
      </c>
      <c r="AC1693" s="122" t="s">
        <v>1838</v>
      </c>
      <c r="AD1693" s="123">
        <f t="shared" si="180"/>
        <v>1983.9723217250009</v>
      </c>
    </row>
    <row r="1694" spans="1:30" ht="12.75" hidden="1" customHeight="1">
      <c r="A1694" s="125" t="str">
        <f t="shared" si="176"/>
        <v>LIC40Unit Premium Reserve- RG</v>
      </c>
      <c r="B1694" s="125">
        <f>+IFERROR(VLOOKUP(L1694,'TB mapping'!A:D,4,0),0)</f>
        <v>0</v>
      </c>
      <c r="C1694" s="125">
        <f>+IFERROR(VLOOKUP(L1694,'TB mapping'!A:C,3,0),0)</f>
        <v>0</v>
      </c>
      <c r="D1694" s="125" t="str">
        <f t="shared" si="177"/>
        <v>LIC400</v>
      </c>
      <c r="E1694" s="125" t="str">
        <f t="shared" si="178"/>
        <v>LIC400</v>
      </c>
      <c r="F1694" s="158" t="str">
        <f>+VLOOKUP(H1694,'code mapping'!A:C,3,0)</f>
        <v>LIC40</v>
      </c>
      <c r="G1694" s="127" t="s">
        <v>453</v>
      </c>
      <c r="H1694" s="127" t="s">
        <v>729</v>
      </c>
      <c r="I1694" s="127" t="s">
        <v>63</v>
      </c>
      <c r="J1694" s="128">
        <v>303000</v>
      </c>
      <c r="K1694" s="127" t="s">
        <v>516</v>
      </c>
      <c r="L1694" s="151">
        <v>303201</v>
      </c>
      <c r="M1694" s="128">
        <v>0</v>
      </c>
      <c r="N1694" s="127" t="s">
        <v>517</v>
      </c>
      <c r="O1694" s="127" t="s">
        <v>457</v>
      </c>
      <c r="P1694" s="128">
        <v>-1026576688.0700001</v>
      </c>
      <c r="Q1694" s="128">
        <v>0</v>
      </c>
      <c r="R1694" s="128">
        <v>0</v>
      </c>
      <c r="S1694" s="128">
        <v>0</v>
      </c>
      <c r="T1694" s="128">
        <v>-1026576688.0700001</v>
      </c>
      <c r="U1694" s="128">
        <v>0</v>
      </c>
      <c r="V1694" s="128">
        <v>-1026576688.0700001</v>
      </c>
      <c r="W1694" s="128">
        <v>0</v>
      </c>
      <c r="X1694" s="128">
        <v>0</v>
      </c>
      <c r="Y1694" s="128">
        <v>0</v>
      </c>
      <c r="Z1694" s="128">
        <v>-1026576688.0700001</v>
      </c>
      <c r="AA1694" s="128">
        <v>0</v>
      </c>
      <c r="AB1694" s="126">
        <f t="shared" si="179"/>
        <v>102.65766880700001</v>
      </c>
      <c r="AC1694" s="122" t="s">
        <v>1838</v>
      </c>
      <c r="AD1694" s="123">
        <f t="shared" si="180"/>
        <v>1983.9723217250009</v>
      </c>
    </row>
    <row r="1695" spans="1:30" ht="12.75" hidden="1" customHeight="1">
      <c r="A1695" s="125" t="str">
        <f t="shared" si="176"/>
        <v>LIC40Unit Premium Reserve-RDD</v>
      </c>
      <c r="B1695" s="125">
        <f>+IFERROR(VLOOKUP(L1695,'TB mapping'!A:D,4,0),0)</f>
        <v>0</v>
      </c>
      <c r="C1695" s="125">
        <f>+IFERROR(VLOOKUP(L1695,'TB mapping'!A:C,3,0),0)</f>
        <v>0</v>
      </c>
      <c r="D1695" s="125" t="str">
        <f t="shared" si="177"/>
        <v>LIC400</v>
      </c>
      <c r="E1695" s="125" t="str">
        <f t="shared" si="178"/>
        <v>LIC400</v>
      </c>
      <c r="F1695" s="158" t="str">
        <f>+VLOOKUP(H1695,'code mapping'!A:C,3,0)</f>
        <v>LIC40</v>
      </c>
      <c r="G1695" s="127" t="s">
        <v>453</v>
      </c>
      <c r="H1695" s="127" t="s">
        <v>729</v>
      </c>
      <c r="I1695" s="127" t="s">
        <v>63</v>
      </c>
      <c r="J1695" s="128">
        <v>303000</v>
      </c>
      <c r="K1695" s="127" t="s">
        <v>516</v>
      </c>
      <c r="L1695" s="151">
        <v>303213</v>
      </c>
      <c r="M1695" s="128">
        <v>0</v>
      </c>
      <c r="N1695" s="127" t="s">
        <v>651</v>
      </c>
      <c r="O1695" s="127" t="s">
        <v>457</v>
      </c>
      <c r="P1695" s="128">
        <v>-1915826142.1300001</v>
      </c>
      <c r="Q1695" s="128">
        <v>0</v>
      </c>
      <c r="R1695" s="128">
        <v>0</v>
      </c>
      <c r="S1695" s="128">
        <v>0</v>
      </c>
      <c r="T1695" s="128">
        <v>-1915826142.1300001</v>
      </c>
      <c r="U1695" s="128">
        <v>0</v>
      </c>
      <c r="V1695" s="128">
        <v>-1915826142.1300001</v>
      </c>
      <c r="W1695" s="128">
        <v>0</v>
      </c>
      <c r="X1695" s="128">
        <v>0</v>
      </c>
      <c r="Y1695" s="128">
        <v>0</v>
      </c>
      <c r="Z1695" s="128">
        <v>-1915826142.1300001</v>
      </c>
      <c r="AA1695" s="128">
        <v>0</v>
      </c>
      <c r="AB1695" s="126">
        <f t="shared" si="179"/>
        <v>191.582614213</v>
      </c>
      <c r="AC1695" s="122" t="s">
        <v>1838</v>
      </c>
      <c r="AD1695" s="123">
        <f t="shared" si="180"/>
        <v>1983.9723217250009</v>
      </c>
    </row>
    <row r="1696" spans="1:30" ht="12.75" hidden="1" customHeight="1">
      <c r="A1696" s="125" t="str">
        <f t="shared" si="176"/>
        <v>LIC40Unit Premium Reserve-RWD</v>
      </c>
      <c r="B1696" s="125">
        <f>+IFERROR(VLOOKUP(L1696,'TB mapping'!A:D,4,0),0)</f>
        <v>0</v>
      </c>
      <c r="C1696" s="125">
        <f>+IFERROR(VLOOKUP(L1696,'TB mapping'!A:C,3,0),0)</f>
        <v>0</v>
      </c>
      <c r="D1696" s="125" t="str">
        <f t="shared" si="177"/>
        <v>LIC400</v>
      </c>
      <c r="E1696" s="125" t="str">
        <f t="shared" si="178"/>
        <v>LIC400</v>
      </c>
      <c r="F1696" s="158" t="str">
        <f>+VLOOKUP(H1696,'code mapping'!A:C,3,0)</f>
        <v>LIC40</v>
      </c>
      <c r="G1696" s="127" t="s">
        <v>453</v>
      </c>
      <c r="H1696" s="127" t="s">
        <v>729</v>
      </c>
      <c r="I1696" s="127" t="s">
        <v>63</v>
      </c>
      <c r="J1696" s="128">
        <v>303000</v>
      </c>
      <c r="K1696" s="127" t="s">
        <v>516</v>
      </c>
      <c r="L1696" s="151">
        <v>303215</v>
      </c>
      <c r="M1696" s="128">
        <v>0</v>
      </c>
      <c r="N1696" s="127" t="s">
        <v>652</v>
      </c>
      <c r="O1696" s="127" t="s">
        <v>457</v>
      </c>
      <c r="P1696" s="128">
        <v>-239269855.91</v>
      </c>
      <c r="Q1696" s="128">
        <v>0</v>
      </c>
      <c r="R1696" s="128">
        <v>0</v>
      </c>
      <c r="S1696" s="128">
        <v>0</v>
      </c>
      <c r="T1696" s="128">
        <v>-239269855.91</v>
      </c>
      <c r="U1696" s="128">
        <v>0</v>
      </c>
      <c r="V1696" s="128">
        <v>-239269855.91</v>
      </c>
      <c r="W1696" s="128">
        <v>0</v>
      </c>
      <c r="X1696" s="128">
        <v>0</v>
      </c>
      <c r="Y1696" s="128">
        <v>0</v>
      </c>
      <c r="Z1696" s="128">
        <v>-239269855.91</v>
      </c>
      <c r="AA1696" s="128">
        <v>0</v>
      </c>
      <c r="AB1696" s="126">
        <f t="shared" si="179"/>
        <v>23.926985591000001</v>
      </c>
      <c r="AC1696" s="122" t="s">
        <v>1838</v>
      </c>
      <c r="AD1696" s="123">
        <f t="shared" si="180"/>
        <v>1983.9723217250009</v>
      </c>
    </row>
    <row r="1697" spans="1:30" ht="12.75" hidden="1" customHeight="1">
      <c r="A1697" s="125" t="str">
        <f t="shared" si="176"/>
        <v>LIC40Unit Premium Reserve-RMD</v>
      </c>
      <c r="B1697" s="125">
        <f>+IFERROR(VLOOKUP(L1697,'TB mapping'!A:D,4,0),0)</f>
        <v>0</v>
      </c>
      <c r="C1697" s="125">
        <f>+IFERROR(VLOOKUP(L1697,'TB mapping'!A:C,3,0),0)</f>
        <v>0</v>
      </c>
      <c r="D1697" s="125" t="str">
        <f t="shared" si="177"/>
        <v>LIC400</v>
      </c>
      <c r="E1697" s="125" t="str">
        <f t="shared" si="178"/>
        <v>LIC400</v>
      </c>
      <c r="F1697" s="158" t="str">
        <f>+VLOOKUP(H1697,'code mapping'!A:C,3,0)</f>
        <v>LIC40</v>
      </c>
      <c r="G1697" s="127" t="s">
        <v>453</v>
      </c>
      <c r="H1697" s="127" t="s">
        <v>729</v>
      </c>
      <c r="I1697" s="127" t="s">
        <v>63</v>
      </c>
      <c r="J1697" s="128">
        <v>303000</v>
      </c>
      <c r="K1697" s="127" t="s">
        <v>516</v>
      </c>
      <c r="L1697" s="151">
        <v>303229</v>
      </c>
      <c r="M1697" s="128">
        <v>0</v>
      </c>
      <c r="N1697" s="127" t="s">
        <v>653</v>
      </c>
      <c r="O1697" s="127" t="s">
        <v>457</v>
      </c>
      <c r="P1697" s="128">
        <v>-110535098.19</v>
      </c>
      <c r="Q1697" s="128">
        <v>0</v>
      </c>
      <c r="R1697" s="128">
        <v>0</v>
      </c>
      <c r="S1697" s="128">
        <v>0</v>
      </c>
      <c r="T1697" s="128">
        <v>-110535098.19</v>
      </c>
      <c r="U1697" s="128">
        <v>0</v>
      </c>
      <c r="V1697" s="128">
        <v>-110535098.19</v>
      </c>
      <c r="W1697" s="128">
        <v>0</v>
      </c>
      <c r="X1697" s="128">
        <v>0</v>
      </c>
      <c r="Y1697" s="128">
        <v>0</v>
      </c>
      <c r="Z1697" s="128">
        <v>-110535098.19</v>
      </c>
      <c r="AA1697" s="128">
        <v>0</v>
      </c>
      <c r="AB1697" s="126">
        <f t="shared" si="179"/>
        <v>11.053509819</v>
      </c>
      <c r="AC1697" s="122" t="s">
        <v>1838</v>
      </c>
      <c r="AD1697" s="123">
        <f t="shared" si="180"/>
        <v>1983.9723217250009</v>
      </c>
    </row>
    <row r="1698" spans="1:30" ht="12.75" hidden="1" customHeight="1">
      <c r="A1698" s="125" t="str">
        <f t="shared" si="176"/>
        <v>LIC40Unit Premium Reserve-GDP</v>
      </c>
      <c r="B1698" s="125">
        <f>+IFERROR(VLOOKUP(L1698,'TB mapping'!A:D,4,0),0)</f>
        <v>0</v>
      </c>
      <c r="C1698" s="125">
        <f>+IFERROR(VLOOKUP(L1698,'TB mapping'!A:C,3,0),0)</f>
        <v>0</v>
      </c>
      <c r="D1698" s="125" t="str">
        <f t="shared" si="177"/>
        <v>LIC400</v>
      </c>
      <c r="E1698" s="125" t="str">
        <f t="shared" si="178"/>
        <v>LIC400</v>
      </c>
      <c r="F1698" s="158" t="str">
        <f>+VLOOKUP(H1698,'code mapping'!A:C,3,0)</f>
        <v>LIC40</v>
      </c>
      <c r="G1698" s="127" t="s">
        <v>453</v>
      </c>
      <c r="H1698" s="127" t="s">
        <v>729</v>
      </c>
      <c r="I1698" s="127" t="s">
        <v>63</v>
      </c>
      <c r="J1698" s="128">
        <v>303000</v>
      </c>
      <c r="K1698" s="127" t="s">
        <v>516</v>
      </c>
      <c r="L1698" s="151">
        <v>303245</v>
      </c>
      <c r="M1698" s="128">
        <v>0</v>
      </c>
      <c r="N1698" s="127" t="s">
        <v>519</v>
      </c>
      <c r="O1698" s="127" t="s">
        <v>457</v>
      </c>
      <c r="P1698" s="128">
        <v>-3880467242.54</v>
      </c>
      <c r="Q1698" s="128">
        <v>0</v>
      </c>
      <c r="R1698" s="128">
        <v>0</v>
      </c>
      <c r="S1698" s="128">
        <v>0</v>
      </c>
      <c r="T1698" s="128">
        <v>-3880467242.54</v>
      </c>
      <c r="U1698" s="128">
        <v>0</v>
      </c>
      <c r="V1698" s="128">
        <v>-3880467242.54</v>
      </c>
      <c r="W1698" s="128">
        <v>0</v>
      </c>
      <c r="X1698" s="128">
        <v>0</v>
      </c>
      <c r="Y1698" s="128">
        <v>0</v>
      </c>
      <c r="Z1698" s="128">
        <v>-3880467242.54</v>
      </c>
      <c r="AA1698" s="128">
        <v>0</v>
      </c>
      <c r="AB1698" s="126">
        <f t="shared" si="179"/>
        <v>388.04672425399997</v>
      </c>
      <c r="AC1698" s="122" t="s">
        <v>1838</v>
      </c>
      <c r="AD1698" s="123">
        <f t="shared" si="180"/>
        <v>1983.9723217250009</v>
      </c>
    </row>
    <row r="1699" spans="1:30" ht="12.75" hidden="1" customHeight="1">
      <c r="A1699" s="125" t="str">
        <f t="shared" si="176"/>
        <v>LIC40Unit Premium Reserve-MDP</v>
      </c>
      <c r="B1699" s="125">
        <f>+IFERROR(VLOOKUP(L1699,'TB mapping'!A:D,4,0),0)</f>
        <v>0</v>
      </c>
      <c r="C1699" s="125">
        <f>+IFERROR(VLOOKUP(L1699,'TB mapping'!A:C,3,0),0)</f>
        <v>0</v>
      </c>
      <c r="D1699" s="125" t="str">
        <f t="shared" si="177"/>
        <v>LIC400</v>
      </c>
      <c r="E1699" s="125" t="str">
        <f t="shared" si="178"/>
        <v>LIC400</v>
      </c>
      <c r="F1699" s="158" t="str">
        <f>+VLOOKUP(H1699,'code mapping'!A:C,3,0)</f>
        <v>LIC40</v>
      </c>
      <c r="G1699" s="127" t="s">
        <v>453</v>
      </c>
      <c r="H1699" s="127" t="s">
        <v>729</v>
      </c>
      <c r="I1699" s="127" t="s">
        <v>63</v>
      </c>
      <c r="J1699" s="128">
        <v>303000</v>
      </c>
      <c r="K1699" s="127" t="s">
        <v>516</v>
      </c>
      <c r="L1699" s="151">
        <v>303248</v>
      </c>
      <c r="M1699" s="128">
        <v>0</v>
      </c>
      <c r="N1699" s="127" t="s">
        <v>654</v>
      </c>
      <c r="O1699" s="127" t="s">
        <v>457</v>
      </c>
      <c r="P1699" s="128">
        <v>0</v>
      </c>
      <c r="Q1699" s="128">
        <v>882900055.46000004</v>
      </c>
      <c r="R1699" s="128">
        <v>0</v>
      </c>
      <c r="S1699" s="128">
        <v>0</v>
      </c>
      <c r="T1699" s="128">
        <v>0</v>
      </c>
      <c r="U1699" s="128">
        <v>882900055.46000004</v>
      </c>
      <c r="V1699" s="128">
        <v>0</v>
      </c>
      <c r="W1699" s="128">
        <v>882900055.46000004</v>
      </c>
      <c r="X1699" s="128">
        <v>0</v>
      </c>
      <c r="Y1699" s="128">
        <v>0</v>
      </c>
      <c r="Z1699" s="128">
        <v>0</v>
      </c>
      <c r="AA1699" s="128">
        <v>882900055.46000004</v>
      </c>
      <c r="AB1699" s="126">
        <f t="shared" si="179"/>
        <v>-88.290005546000003</v>
      </c>
      <c r="AC1699" s="122" t="s">
        <v>1838</v>
      </c>
      <c r="AD1699" s="123">
        <f t="shared" si="180"/>
        <v>1983.9723217250009</v>
      </c>
    </row>
    <row r="1700" spans="1:30" ht="12.75" hidden="1" customHeight="1">
      <c r="A1700" s="125" t="str">
        <f t="shared" si="176"/>
        <v>LIC40Unit Premium Reserve-DPD</v>
      </c>
      <c r="B1700" s="125">
        <f>+IFERROR(VLOOKUP(L1700,'TB mapping'!A:D,4,0),0)</f>
        <v>0</v>
      </c>
      <c r="C1700" s="125">
        <f>+IFERROR(VLOOKUP(L1700,'TB mapping'!A:C,3,0),0)</f>
        <v>0</v>
      </c>
      <c r="D1700" s="125" t="str">
        <f t="shared" si="177"/>
        <v>LIC400</v>
      </c>
      <c r="E1700" s="125" t="str">
        <f t="shared" si="178"/>
        <v>LIC400</v>
      </c>
      <c r="F1700" s="158" t="str">
        <f>+VLOOKUP(H1700,'code mapping'!A:C,3,0)</f>
        <v>LIC40</v>
      </c>
      <c r="G1700" s="127" t="s">
        <v>453</v>
      </c>
      <c r="H1700" s="127" t="s">
        <v>729</v>
      </c>
      <c r="I1700" s="127" t="s">
        <v>63</v>
      </c>
      <c r="J1700" s="128">
        <v>303000</v>
      </c>
      <c r="K1700" s="127" t="s">
        <v>516</v>
      </c>
      <c r="L1700" s="151">
        <v>303266</v>
      </c>
      <c r="M1700" s="128">
        <v>0</v>
      </c>
      <c r="N1700" s="127" t="s">
        <v>655</v>
      </c>
      <c r="O1700" s="127" t="s">
        <v>457</v>
      </c>
      <c r="P1700" s="128">
        <v>-5819505.6500000004</v>
      </c>
      <c r="Q1700" s="128">
        <v>0</v>
      </c>
      <c r="R1700" s="128">
        <v>0</v>
      </c>
      <c r="S1700" s="128">
        <v>0</v>
      </c>
      <c r="T1700" s="128">
        <v>-5819505.6500000004</v>
      </c>
      <c r="U1700" s="128">
        <v>0</v>
      </c>
      <c r="V1700" s="128">
        <v>-5819505.6500000004</v>
      </c>
      <c r="W1700" s="128">
        <v>0</v>
      </c>
      <c r="X1700" s="128">
        <v>0</v>
      </c>
      <c r="Y1700" s="128">
        <v>0</v>
      </c>
      <c r="Z1700" s="128">
        <v>-5819505.6500000004</v>
      </c>
      <c r="AA1700" s="128">
        <v>0</v>
      </c>
      <c r="AB1700" s="126">
        <f t="shared" si="179"/>
        <v>0.58195056500000009</v>
      </c>
      <c r="AC1700" s="122" t="s">
        <v>1838</v>
      </c>
      <c r="AD1700" s="123">
        <f t="shared" si="180"/>
        <v>1983.9723217250009</v>
      </c>
    </row>
    <row r="1701" spans="1:30" ht="12.75" hidden="1" customHeight="1">
      <c r="A1701" s="125" t="str">
        <f t="shared" si="176"/>
        <v>LIC40Unit Premium Reserve-WDP</v>
      </c>
      <c r="B1701" s="125">
        <f>+IFERROR(VLOOKUP(L1701,'TB mapping'!A:D,4,0),0)</f>
        <v>0</v>
      </c>
      <c r="C1701" s="125">
        <f>+IFERROR(VLOOKUP(L1701,'TB mapping'!A:C,3,0),0)</f>
        <v>0</v>
      </c>
      <c r="D1701" s="125" t="str">
        <f t="shared" si="177"/>
        <v>LIC400</v>
      </c>
      <c r="E1701" s="125" t="str">
        <f t="shared" si="178"/>
        <v>LIC400</v>
      </c>
      <c r="F1701" s="158" t="str">
        <f>+VLOOKUP(H1701,'code mapping'!A:C,3,0)</f>
        <v>LIC40</v>
      </c>
      <c r="G1701" s="127" t="s">
        <v>453</v>
      </c>
      <c r="H1701" s="127" t="s">
        <v>729</v>
      </c>
      <c r="I1701" s="127" t="s">
        <v>63</v>
      </c>
      <c r="J1701" s="128">
        <v>303000</v>
      </c>
      <c r="K1701" s="127" t="s">
        <v>516</v>
      </c>
      <c r="L1701" s="151">
        <v>303268</v>
      </c>
      <c r="M1701" s="128">
        <v>0</v>
      </c>
      <c r="N1701" s="127" t="s">
        <v>656</v>
      </c>
      <c r="O1701" s="127" t="s">
        <v>457</v>
      </c>
      <c r="P1701" s="128">
        <v>0</v>
      </c>
      <c r="Q1701" s="128">
        <v>3966544.14</v>
      </c>
      <c r="R1701" s="128">
        <v>0</v>
      </c>
      <c r="S1701" s="128">
        <v>0</v>
      </c>
      <c r="T1701" s="128">
        <v>0</v>
      </c>
      <c r="U1701" s="128">
        <v>3966544.14</v>
      </c>
      <c r="V1701" s="128">
        <v>0</v>
      </c>
      <c r="W1701" s="128">
        <v>3966544.14</v>
      </c>
      <c r="X1701" s="128">
        <v>0</v>
      </c>
      <c r="Y1701" s="128">
        <v>0</v>
      </c>
      <c r="Z1701" s="128">
        <v>0</v>
      </c>
      <c r="AA1701" s="128">
        <v>3966544.14</v>
      </c>
      <c r="AB1701" s="126">
        <f t="shared" si="179"/>
        <v>-0.39665441400000001</v>
      </c>
      <c r="AC1701" s="122" t="s">
        <v>1838</v>
      </c>
      <c r="AD1701" s="123">
        <f t="shared" si="180"/>
        <v>1983.9723217250009</v>
      </c>
    </row>
    <row r="1702" spans="1:30" ht="12.75" hidden="1" customHeight="1">
      <c r="A1702" s="125" t="str">
        <f t="shared" si="176"/>
        <v>LIC40Net Earnings</v>
      </c>
      <c r="B1702" s="125">
        <f>+IFERROR(VLOOKUP(L1702,'TB mapping'!A:D,4,0),0)</f>
        <v>0</v>
      </c>
      <c r="C1702" s="125">
        <f>+IFERROR(VLOOKUP(L1702,'TB mapping'!A:C,3,0),0)</f>
        <v>0</v>
      </c>
      <c r="D1702" s="125" t="str">
        <f t="shared" si="177"/>
        <v>LIC400</v>
      </c>
      <c r="E1702" s="125" t="str">
        <f t="shared" si="178"/>
        <v>LIC400</v>
      </c>
      <c r="F1702" s="158" t="str">
        <f>+VLOOKUP(H1702,'code mapping'!A:C,3,0)</f>
        <v>LIC40</v>
      </c>
      <c r="G1702" s="127" t="s">
        <v>453</v>
      </c>
      <c r="H1702" s="127" t="s">
        <v>729</v>
      </c>
      <c r="I1702" s="127" t="s">
        <v>63</v>
      </c>
      <c r="J1702" s="128">
        <v>303000</v>
      </c>
      <c r="K1702" s="127" t="s">
        <v>516</v>
      </c>
      <c r="L1702" s="151">
        <v>390000</v>
      </c>
      <c r="M1702" s="128">
        <v>0</v>
      </c>
      <c r="N1702" s="127" t="s">
        <v>521</v>
      </c>
      <c r="O1702" s="127" t="s">
        <v>457</v>
      </c>
      <c r="P1702" s="128">
        <v>0</v>
      </c>
      <c r="Q1702" s="128">
        <v>16184909265.440001</v>
      </c>
      <c r="R1702" s="128">
        <v>0</v>
      </c>
      <c r="S1702" s="128">
        <v>0</v>
      </c>
      <c r="T1702" s="128">
        <v>0</v>
      </c>
      <c r="U1702" s="128">
        <v>16184909265.440001</v>
      </c>
      <c r="V1702" s="128">
        <v>0</v>
      </c>
      <c r="W1702" s="128">
        <v>16184909265.440001</v>
      </c>
      <c r="X1702" s="128">
        <v>0</v>
      </c>
      <c r="Y1702" s="128">
        <v>0</v>
      </c>
      <c r="Z1702" s="128">
        <v>0</v>
      </c>
      <c r="AA1702" s="128">
        <v>16184909265.440001</v>
      </c>
      <c r="AB1702" s="126">
        <f t="shared" si="179"/>
        <v>-1618.4909265440001</v>
      </c>
      <c r="AC1702" s="122" t="s">
        <v>1838</v>
      </c>
      <c r="AD1702" s="123">
        <f t="shared" si="180"/>
        <v>1983.9723217250009</v>
      </c>
    </row>
    <row r="1703" spans="1:30" ht="12.75" hidden="1" customHeight="1">
      <c r="A1703" s="125" t="str">
        <f t="shared" si="176"/>
        <v>LIC40R/L G/P - Corp Bonds/Debenture</v>
      </c>
      <c r="B1703" s="125">
        <f>+IFERROR(VLOOKUP(L1703,'TB mapping'!A:D,4,0),0)</f>
        <v>0</v>
      </c>
      <c r="C1703" s="125">
        <f>+IFERROR(VLOOKUP(L1703,'TB mapping'!A:C,3,0),0)</f>
        <v>5.3</v>
      </c>
      <c r="D1703" s="125" t="str">
        <f t="shared" si="177"/>
        <v>LIC400</v>
      </c>
      <c r="E1703" s="125" t="str">
        <f t="shared" si="178"/>
        <v>LIC405.3</v>
      </c>
      <c r="F1703" s="158" t="str">
        <f>+VLOOKUP(H1703,'code mapping'!A:C,3,0)</f>
        <v>LIC40</v>
      </c>
      <c r="G1703" s="127" t="s">
        <v>453</v>
      </c>
      <c r="H1703" s="127" t="s">
        <v>729</v>
      </c>
      <c r="I1703" s="127" t="s">
        <v>63</v>
      </c>
      <c r="J1703" s="128">
        <v>410000</v>
      </c>
      <c r="K1703" s="127" t="s">
        <v>522</v>
      </c>
      <c r="L1703" s="151">
        <v>412120</v>
      </c>
      <c r="M1703" s="128">
        <v>0</v>
      </c>
      <c r="N1703" s="127" t="s">
        <v>523</v>
      </c>
      <c r="O1703" s="127" t="s">
        <v>457</v>
      </c>
      <c r="P1703" s="128">
        <v>0</v>
      </c>
      <c r="Q1703" s="128">
        <v>4991950</v>
      </c>
      <c r="R1703" s="128">
        <v>0</v>
      </c>
      <c r="S1703" s="128">
        <v>0</v>
      </c>
      <c r="T1703" s="128">
        <v>0</v>
      </c>
      <c r="U1703" s="128">
        <v>4991950</v>
      </c>
      <c r="V1703" s="128">
        <v>0</v>
      </c>
      <c r="W1703" s="128">
        <v>4991950</v>
      </c>
      <c r="X1703" s="128">
        <v>0</v>
      </c>
      <c r="Y1703" s="128">
        <v>0</v>
      </c>
      <c r="Z1703" s="128">
        <v>0</v>
      </c>
      <c r="AA1703" s="128">
        <v>4991950</v>
      </c>
      <c r="AB1703" s="126">
        <f t="shared" si="179"/>
        <v>-0.499195</v>
      </c>
      <c r="AC1703" s="122" t="s">
        <v>1838</v>
      </c>
      <c r="AD1703" s="123">
        <f t="shared" ref="AD1703:AD1713" si="181">SUMIF(E:E,E1703,AB:AB)</f>
        <v>-6.4239321979999993</v>
      </c>
    </row>
    <row r="1704" spans="1:30" ht="12.75" hidden="1" customHeight="1">
      <c r="A1704" s="125" t="str">
        <f t="shared" si="176"/>
        <v>LIC40R/L G/P - Government Bonds</v>
      </c>
      <c r="B1704" s="125">
        <f>+IFERROR(VLOOKUP(L1704,'TB mapping'!A:D,4,0),0)</f>
        <v>0</v>
      </c>
      <c r="C1704" s="125">
        <f>+IFERROR(VLOOKUP(L1704,'TB mapping'!A:C,3,0),0)</f>
        <v>5.3</v>
      </c>
      <c r="D1704" s="125" t="str">
        <f t="shared" si="177"/>
        <v>LIC400</v>
      </c>
      <c r="E1704" s="125" t="str">
        <f t="shared" si="178"/>
        <v>LIC405.3</v>
      </c>
      <c r="F1704" s="158" t="str">
        <f>+VLOOKUP(H1704,'code mapping'!A:C,3,0)</f>
        <v>LIC40</v>
      </c>
      <c r="G1704" s="127" t="s">
        <v>453</v>
      </c>
      <c r="H1704" s="127" t="s">
        <v>729</v>
      </c>
      <c r="I1704" s="127" t="s">
        <v>63</v>
      </c>
      <c r="J1704" s="128">
        <v>410000</v>
      </c>
      <c r="K1704" s="127" t="s">
        <v>522</v>
      </c>
      <c r="L1704" s="151">
        <v>412130</v>
      </c>
      <c r="M1704" s="128">
        <v>0</v>
      </c>
      <c r="N1704" s="127" t="s">
        <v>524</v>
      </c>
      <c r="O1704" s="127" t="s">
        <v>457</v>
      </c>
      <c r="P1704" s="128">
        <v>0</v>
      </c>
      <c r="Q1704" s="128">
        <v>13562318.75</v>
      </c>
      <c r="R1704" s="128">
        <v>0</v>
      </c>
      <c r="S1704" s="128">
        <v>0</v>
      </c>
      <c r="T1704" s="128">
        <v>0</v>
      </c>
      <c r="U1704" s="128">
        <v>13562318.75</v>
      </c>
      <c r="V1704" s="128">
        <v>0</v>
      </c>
      <c r="W1704" s="128">
        <v>13562318.75</v>
      </c>
      <c r="X1704" s="128">
        <v>0</v>
      </c>
      <c r="Y1704" s="128">
        <v>0</v>
      </c>
      <c r="Z1704" s="128">
        <v>0</v>
      </c>
      <c r="AA1704" s="128">
        <v>13562318.75</v>
      </c>
      <c r="AB1704" s="126">
        <f t="shared" si="179"/>
        <v>-1.356231875</v>
      </c>
      <c r="AC1704" s="122" t="s">
        <v>1838</v>
      </c>
      <c r="AD1704" s="123">
        <f t="shared" si="181"/>
        <v>-6.4239321979999993</v>
      </c>
    </row>
    <row r="1705" spans="1:30" ht="12.75" hidden="1" customHeight="1">
      <c r="A1705" s="125" t="str">
        <f t="shared" si="176"/>
        <v>LIC40R/L G/P - Commercial Paper</v>
      </c>
      <c r="B1705" s="125">
        <f>+IFERROR(VLOOKUP(L1705,'TB mapping'!A:D,4,0),0)</f>
        <v>0</v>
      </c>
      <c r="C1705" s="125">
        <f>+IFERROR(VLOOKUP(L1705,'TB mapping'!A:C,3,0),0)</f>
        <v>5.3</v>
      </c>
      <c r="D1705" s="125" t="str">
        <f t="shared" si="177"/>
        <v>LIC400</v>
      </c>
      <c r="E1705" s="125" t="str">
        <f t="shared" si="178"/>
        <v>LIC405.3</v>
      </c>
      <c r="F1705" s="158" t="str">
        <f>+VLOOKUP(H1705,'code mapping'!A:C,3,0)</f>
        <v>LIC40</v>
      </c>
      <c r="G1705" s="127" t="s">
        <v>453</v>
      </c>
      <c r="H1705" s="127" t="s">
        <v>729</v>
      </c>
      <c r="I1705" s="127" t="s">
        <v>63</v>
      </c>
      <c r="J1705" s="128">
        <v>410000</v>
      </c>
      <c r="K1705" s="127" t="s">
        <v>522</v>
      </c>
      <c r="L1705" s="151">
        <v>412180</v>
      </c>
      <c r="M1705" s="128">
        <v>0</v>
      </c>
      <c r="N1705" s="127" t="s">
        <v>735</v>
      </c>
      <c r="O1705" s="127" t="s">
        <v>457</v>
      </c>
      <c r="P1705" s="128">
        <v>0</v>
      </c>
      <c r="Q1705" s="128">
        <v>279242.06</v>
      </c>
      <c r="R1705" s="128">
        <v>0</v>
      </c>
      <c r="S1705" s="128">
        <v>0</v>
      </c>
      <c r="T1705" s="128">
        <v>0</v>
      </c>
      <c r="U1705" s="128">
        <v>279242.06</v>
      </c>
      <c r="V1705" s="128">
        <v>0</v>
      </c>
      <c r="W1705" s="128">
        <v>279242.06</v>
      </c>
      <c r="X1705" s="128">
        <v>0</v>
      </c>
      <c r="Y1705" s="128">
        <v>0</v>
      </c>
      <c r="Z1705" s="128">
        <v>0</v>
      </c>
      <c r="AA1705" s="128">
        <v>279242.06</v>
      </c>
      <c r="AB1705" s="126">
        <f t="shared" si="179"/>
        <v>-2.7924206E-2</v>
      </c>
      <c r="AC1705" s="122" t="s">
        <v>1838</v>
      </c>
      <c r="AD1705" s="123">
        <f t="shared" si="181"/>
        <v>-6.4239321979999993</v>
      </c>
    </row>
    <row r="1706" spans="1:30" ht="12.75" hidden="1" customHeight="1">
      <c r="A1706" s="125" t="str">
        <f t="shared" si="176"/>
        <v>LIC40R/L G/P - Cert. of Deposits</v>
      </c>
      <c r="B1706" s="125">
        <f>+IFERROR(VLOOKUP(L1706,'TB mapping'!A:D,4,0),0)</f>
        <v>0</v>
      </c>
      <c r="C1706" s="125">
        <f>+IFERROR(VLOOKUP(L1706,'TB mapping'!A:C,3,0),0)</f>
        <v>5.3</v>
      </c>
      <c r="D1706" s="125" t="str">
        <f t="shared" si="177"/>
        <v>LIC400</v>
      </c>
      <c r="E1706" s="125" t="str">
        <f t="shared" si="178"/>
        <v>LIC405.3</v>
      </c>
      <c r="F1706" s="158" t="str">
        <f>+VLOOKUP(H1706,'code mapping'!A:C,3,0)</f>
        <v>LIC40</v>
      </c>
      <c r="G1706" s="127" t="s">
        <v>453</v>
      </c>
      <c r="H1706" s="127" t="s">
        <v>729</v>
      </c>
      <c r="I1706" s="127" t="s">
        <v>63</v>
      </c>
      <c r="J1706" s="128">
        <v>410000</v>
      </c>
      <c r="K1706" s="127" t="s">
        <v>522</v>
      </c>
      <c r="L1706" s="151">
        <v>412190</v>
      </c>
      <c r="M1706" s="128">
        <v>0</v>
      </c>
      <c r="N1706" s="127" t="s">
        <v>657</v>
      </c>
      <c r="O1706" s="127" t="s">
        <v>457</v>
      </c>
      <c r="P1706" s="128">
        <v>0</v>
      </c>
      <c r="Q1706" s="128">
        <v>326998.72000000003</v>
      </c>
      <c r="R1706" s="128">
        <v>0</v>
      </c>
      <c r="S1706" s="128">
        <v>0</v>
      </c>
      <c r="T1706" s="128">
        <v>0</v>
      </c>
      <c r="U1706" s="128">
        <v>326998.72000000003</v>
      </c>
      <c r="V1706" s="128">
        <v>0</v>
      </c>
      <c r="W1706" s="128">
        <v>326998.72000000003</v>
      </c>
      <c r="X1706" s="128">
        <v>0</v>
      </c>
      <c r="Y1706" s="128">
        <v>0</v>
      </c>
      <c r="Z1706" s="128">
        <v>0</v>
      </c>
      <c r="AA1706" s="128">
        <v>326998.72000000003</v>
      </c>
      <c r="AB1706" s="126">
        <f t="shared" si="179"/>
        <v>-3.2699872000000005E-2</v>
      </c>
      <c r="AC1706" s="122" t="s">
        <v>1838</v>
      </c>
      <c r="AD1706" s="123">
        <f t="shared" si="181"/>
        <v>-6.4239321979999993</v>
      </c>
    </row>
    <row r="1707" spans="1:30" ht="12.75" hidden="1" customHeight="1">
      <c r="A1707" s="125" t="str">
        <f t="shared" si="176"/>
        <v>LIC40R/L G/P - CBLO</v>
      </c>
      <c r="B1707" s="125">
        <f>+IFERROR(VLOOKUP(L1707,'TB mapping'!A:D,4,0),0)</f>
        <v>0</v>
      </c>
      <c r="C1707" s="125">
        <f>+IFERROR(VLOOKUP(L1707,'TB mapping'!A:C,3,0),0)</f>
        <v>5.3</v>
      </c>
      <c r="D1707" s="125" t="str">
        <f t="shared" si="177"/>
        <v>LIC400</v>
      </c>
      <c r="E1707" s="125" t="str">
        <f t="shared" si="178"/>
        <v>LIC405.3</v>
      </c>
      <c r="F1707" s="158" t="str">
        <f>+VLOOKUP(H1707,'code mapping'!A:C,3,0)</f>
        <v>LIC40</v>
      </c>
      <c r="G1707" s="127" t="s">
        <v>453</v>
      </c>
      <c r="H1707" s="127" t="s">
        <v>729</v>
      </c>
      <c r="I1707" s="127" t="s">
        <v>63</v>
      </c>
      <c r="J1707" s="128">
        <v>410000</v>
      </c>
      <c r="K1707" s="127" t="s">
        <v>522</v>
      </c>
      <c r="L1707" s="151">
        <v>412228</v>
      </c>
      <c r="M1707" s="128">
        <v>0</v>
      </c>
      <c r="N1707" s="127" t="s">
        <v>658</v>
      </c>
      <c r="O1707" s="127" t="s">
        <v>457</v>
      </c>
      <c r="P1707" s="128">
        <v>0</v>
      </c>
      <c r="Q1707" s="128">
        <v>1502.64</v>
      </c>
      <c r="R1707" s="128">
        <v>0</v>
      </c>
      <c r="S1707" s="128">
        <v>0</v>
      </c>
      <c r="T1707" s="128">
        <v>0</v>
      </c>
      <c r="U1707" s="128">
        <v>1502.64</v>
      </c>
      <c r="V1707" s="128">
        <v>0</v>
      </c>
      <c r="W1707" s="128">
        <v>1502.64</v>
      </c>
      <c r="X1707" s="128">
        <v>0</v>
      </c>
      <c r="Y1707" s="128">
        <v>0</v>
      </c>
      <c r="Z1707" s="128">
        <v>0</v>
      </c>
      <c r="AA1707" s="128">
        <v>1502.64</v>
      </c>
      <c r="AB1707" s="126">
        <f t="shared" si="179"/>
        <v>-1.50264E-4</v>
      </c>
      <c r="AC1707" s="122" t="s">
        <v>1838</v>
      </c>
      <c r="AD1707" s="123">
        <f t="shared" si="181"/>
        <v>-6.4239321979999993</v>
      </c>
    </row>
    <row r="1708" spans="1:30" ht="12.75" hidden="1" customHeight="1">
      <c r="A1708" s="125" t="str">
        <f t="shared" si="176"/>
        <v>LIC40Gain on Redemption - Debenture</v>
      </c>
      <c r="B1708" s="125">
        <f>+IFERROR(VLOOKUP(L1708,'TB mapping'!A:D,4,0),0)</f>
        <v>0</v>
      </c>
      <c r="C1708" s="125">
        <f>+IFERROR(VLOOKUP(L1708,'TB mapping'!A:C,3,0),0)</f>
        <v>5.3</v>
      </c>
      <c r="D1708" s="125" t="str">
        <f t="shared" si="177"/>
        <v>LIC400</v>
      </c>
      <c r="E1708" s="125" t="str">
        <f t="shared" si="178"/>
        <v>LIC405.3</v>
      </c>
      <c r="F1708" s="158" t="str">
        <f>+VLOOKUP(H1708,'code mapping'!A:C,3,0)</f>
        <v>LIC40</v>
      </c>
      <c r="G1708" s="127" t="s">
        <v>453</v>
      </c>
      <c r="H1708" s="127" t="s">
        <v>729</v>
      </c>
      <c r="I1708" s="127" t="s">
        <v>63</v>
      </c>
      <c r="J1708" s="128">
        <v>410000</v>
      </c>
      <c r="K1708" s="127" t="s">
        <v>522</v>
      </c>
      <c r="L1708" s="151">
        <v>414120</v>
      </c>
      <c r="M1708" s="128">
        <v>0</v>
      </c>
      <c r="N1708" s="127" t="s">
        <v>736</v>
      </c>
      <c r="O1708" s="127" t="s">
        <v>457</v>
      </c>
      <c r="P1708" s="128">
        <v>0</v>
      </c>
      <c r="Q1708" s="128">
        <v>573400</v>
      </c>
      <c r="R1708" s="128">
        <v>0</v>
      </c>
      <c r="S1708" s="128">
        <v>0</v>
      </c>
      <c r="T1708" s="128">
        <v>0</v>
      </c>
      <c r="U1708" s="128">
        <v>573400</v>
      </c>
      <c r="V1708" s="128">
        <v>0</v>
      </c>
      <c r="W1708" s="128">
        <v>573400</v>
      </c>
      <c r="X1708" s="128">
        <v>0</v>
      </c>
      <c r="Y1708" s="128">
        <v>0</v>
      </c>
      <c r="Z1708" s="128">
        <v>0</v>
      </c>
      <c r="AA1708" s="128">
        <v>573400</v>
      </c>
      <c r="AB1708" s="126">
        <f t="shared" si="179"/>
        <v>-5.7340000000000002E-2</v>
      </c>
      <c r="AC1708" s="122" t="s">
        <v>1838</v>
      </c>
      <c r="AD1708" s="123">
        <f t="shared" si="181"/>
        <v>-6.4239321979999993</v>
      </c>
    </row>
    <row r="1709" spans="1:30" ht="12.75" hidden="1" customHeight="1">
      <c r="A1709" s="125" t="str">
        <f t="shared" si="176"/>
        <v>LIC40Profit on Sale-Mutual Fd Units</v>
      </c>
      <c r="B1709" s="125">
        <f>+IFERROR(VLOOKUP(L1709,'TB mapping'!A:D,4,0),0)</f>
        <v>0</v>
      </c>
      <c r="C1709" s="125">
        <f>+IFERROR(VLOOKUP(L1709,'TB mapping'!A:C,3,0),0)</f>
        <v>5.3</v>
      </c>
      <c r="D1709" s="125" t="str">
        <f t="shared" si="177"/>
        <v>LIC400</v>
      </c>
      <c r="E1709" s="125" t="str">
        <f t="shared" si="178"/>
        <v>LIC405.3</v>
      </c>
      <c r="F1709" s="158" t="str">
        <f>+VLOOKUP(H1709,'code mapping'!A:C,3,0)</f>
        <v>LIC40</v>
      </c>
      <c r="G1709" s="127" t="s">
        <v>453</v>
      </c>
      <c r="H1709" s="127" t="s">
        <v>729</v>
      </c>
      <c r="I1709" s="127" t="s">
        <v>63</v>
      </c>
      <c r="J1709" s="128">
        <v>410000</v>
      </c>
      <c r="K1709" s="127" t="s">
        <v>522</v>
      </c>
      <c r="L1709" s="151">
        <v>415102</v>
      </c>
      <c r="M1709" s="128">
        <v>0</v>
      </c>
      <c r="N1709" s="127" t="s">
        <v>526</v>
      </c>
      <c r="O1709" s="127" t="s">
        <v>457</v>
      </c>
      <c r="P1709" s="128">
        <v>0</v>
      </c>
      <c r="Q1709" s="128">
        <v>67295288.409999996</v>
      </c>
      <c r="R1709" s="128">
        <v>0</v>
      </c>
      <c r="S1709" s="128">
        <v>0</v>
      </c>
      <c r="T1709" s="128">
        <v>0</v>
      </c>
      <c r="U1709" s="128">
        <v>67295288.409999996</v>
      </c>
      <c r="V1709" s="128">
        <v>0</v>
      </c>
      <c r="W1709" s="128">
        <v>67295288.409999996</v>
      </c>
      <c r="X1709" s="128">
        <v>0</v>
      </c>
      <c r="Y1709" s="128">
        <v>0</v>
      </c>
      <c r="Z1709" s="128">
        <v>0</v>
      </c>
      <c r="AA1709" s="128">
        <v>67295288.409999996</v>
      </c>
      <c r="AB1709" s="126">
        <f t="shared" si="179"/>
        <v>-6.7295288409999996</v>
      </c>
      <c r="AC1709" s="122" t="s">
        <v>1838</v>
      </c>
      <c r="AD1709" s="123">
        <f t="shared" si="181"/>
        <v>-6.4239321979999993</v>
      </c>
    </row>
    <row r="1710" spans="1:30" ht="12.75" hidden="1" customHeight="1">
      <c r="A1710" s="125" t="str">
        <f t="shared" si="176"/>
        <v>LIC40R/L Gain - Inter Sch Bond/Deb</v>
      </c>
      <c r="B1710" s="125">
        <f>+IFERROR(VLOOKUP(L1710,'TB mapping'!A:D,4,0),0)</f>
        <v>0</v>
      </c>
      <c r="C1710" s="125">
        <f>+IFERROR(VLOOKUP(L1710,'TB mapping'!A:C,3,0),0)</f>
        <v>5.4</v>
      </c>
      <c r="D1710" s="125" t="str">
        <f t="shared" si="177"/>
        <v>LIC400</v>
      </c>
      <c r="E1710" s="125" t="str">
        <f t="shared" si="178"/>
        <v>LIC405.4</v>
      </c>
      <c r="F1710" s="158" t="str">
        <f>+VLOOKUP(H1710,'code mapping'!A:C,3,0)</f>
        <v>LIC40</v>
      </c>
      <c r="G1710" s="127" t="s">
        <v>453</v>
      </c>
      <c r="H1710" s="127" t="s">
        <v>729</v>
      </c>
      <c r="I1710" s="127" t="s">
        <v>63</v>
      </c>
      <c r="J1710" s="128">
        <v>410000</v>
      </c>
      <c r="K1710" s="127" t="s">
        <v>522</v>
      </c>
      <c r="L1710" s="151">
        <v>427302</v>
      </c>
      <c r="M1710" s="128">
        <v>0</v>
      </c>
      <c r="N1710" s="127" t="s">
        <v>659</v>
      </c>
      <c r="O1710" s="127" t="s">
        <v>457</v>
      </c>
      <c r="P1710" s="128">
        <v>0</v>
      </c>
      <c r="Q1710" s="128">
        <v>626000</v>
      </c>
      <c r="R1710" s="128">
        <v>0</v>
      </c>
      <c r="S1710" s="128">
        <v>0</v>
      </c>
      <c r="T1710" s="128">
        <v>0</v>
      </c>
      <c r="U1710" s="128">
        <v>626000</v>
      </c>
      <c r="V1710" s="128">
        <v>0</v>
      </c>
      <c r="W1710" s="128">
        <v>626000</v>
      </c>
      <c r="X1710" s="128">
        <v>0</v>
      </c>
      <c r="Y1710" s="128">
        <v>0</v>
      </c>
      <c r="Z1710" s="128">
        <v>0</v>
      </c>
      <c r="AA1710" s="128">
        <v>626000</v>
      </c>
      <c r="AB1710" s="126">
        <f t="shared" si="179"/>
        <v>-6.2600000000000003E-2</v>
      </c>
      <c r="AC1710" s="122" t="s">
        <v>1838</v>
      </c>
      <c r="AD1710" s="123">
        <f t="shared" si="181"/>
        <v>0.39096743900000003</v>
      </c>
    </row>
    <row r="1711" spans="1:30" ht="12.75" hidden="1" customHeight="1">
      <c r="A1711" s="125" t="str">
        <f t="shared" si="176"/>
        <v>LIC40R/L Gain - Inter Scheme CD</v>
      </c>
      <c r="B1711" s="125">
        <f>+IFERROR(VLOOKUP(L1711,'TB mapping'!A:D,4,0),0)</f>
        <v>0</v>
      </c>
      <c r="C1711" s="125">
        <f>+IFERROR(VLOOKUP(L1711,'TB mapping'!A:C,3,0),0)</f>
        <v>5.4</v>
      </c>
      <c r="D1711" s="125" t="str">
        <f t="shared" si="177"/>
        <v>LIC400</v>
      </c>
      <c r="E1711" s="125" t="str">
        <f t="shared" si="178"/>
        <v>LIC405.4</v>
      </c>
      <c r="F1711" s="158" t="str">
        <f>+VLOOKUP(H1711,'code mapping'!A:C,3,0)</f>
        <v>LIC40</v>
      </c>
      <c r="G1711" s="127" t="s">
        <v>453</v>
      </c>
      <c r="H1711" s="127" t="s">
        <v>729</v>
      </c>
      <c r="I1711" s="127" t="s">
        <v>63</v>
      </c>
      <c r="J1711" s="128">
        <v>410000</v>
      </c>
      <c r="K1711" s="127" t="s">
        <v>522</v>
      </c>
      <c r="L1711" s="151">
        <v>427310</v>
      </c>
      <c r="M1711" s="128">
        <v>0</v>
      </c>
      <c r="N1711" s="127" t="s">
        <v>737</v>
      </c>
      <c r="O1711" s="127" t="s">
        <v>457</v>
      </c>
      <c r="P1711" s="128">
        <v>0</v>
      </c>
      <c r="Q1711" s="128">
        <v>524476.46</v>
      </c>
      <c r="R1711" s="128">
        <v>0</v>
      </c>
      <c r="S1711" s="128">
        <v>0</v>
      </c>
      <c r="T1711" s="128">
        <v>0</v>
      </c>
      <c r="U1711" s="128">
        <v>524476.46</v>
      </c>
      <c r="V1711" s="128">
        <v>0</v>
      </c>
      <c r="W1711" s="128">
        <v>524476.46</v>
      </c>
      <c r="X1711" s="128">
        <v>0</v>
      </c>
      <c r="Y1711" s="128">
        <v>0</v>
      </c>
      <c r="Z1711" s="128">
        <v>0</v>
      </c>
      <c r="AA1711" s="128">
        <v>524476.46</v>
      </c>
      <c r="AB1711" s="126">
        <f t="shared" si="179"/>
        <v>-5.2447645999999994E-2</v>
      </c>
      <c r="AC1711" s="122" t="s">
        <v>1838</v>
      </c>
      <c r="AD1711" s="123">
        <f t="shared" si="181"/>
        <v>0.39096743900000003</v>
      </c>
    </row>
    <row r="1712" spans="1:30" ht="12.75" hidden="1" customHeight="1">
      <c r="A1712" s="125" t="str">
        <f t="shared" si="176"/>
        <v>LIC40R/L Gain - Inter Scheme CP</v>
      </c>
      <c r="B1712" s="125">
        <f>+IFERROR(VLOOKUP(L1712,'TB mapping'!A:D,4,0),0)</f>
        <v>0</v>
      </c>
      <c r="C1712" s="125">
        <f>+IFERROR(VLOOKUP(L1712,'TB mapping'!A:C,3,0),0)</f>
        <v>5.4</v>
      </c>
      <c r="D1712" s="125" t="str">
        <f t="shared" si="177"/>
        <v>LIC400</v>
      </c>
      <c r="E1712" s="125" t="str">
        <f t="shared" si="178"/>
        <v>LIC405.4</v>
      </c>
      <c r="F1712" s="158" t="str">
        <f>+VLOOKUP(H1712,'code mapping'!A:C,3,0)</f>
        <v>LIC40</v>
      </c>
      <c r="G1712" s="127" t="s">
        <v>453</v>
      </c>
      <c r="H1712" s="127" t="s">
        <v>729</v>
      </c>
      <c r="I1712" s="127" t="s">
        <v>63</v>
      </c>
      <c r="J1712" s="128">
        <v>410000</v>
      </c>
      <c r="K1712" s="127" t="s">
        <v>522</v>
      </c>
      <c r="L1712" s="151">
        <v>427311</v>
      </c>
      <c r="M1712" s="128">
        <v>0</v>
      </c>
      <c r="N1712" s="127" t="s">
        <v>660</v>
      </c>
      <c r="O1712" s="127" t="s">
        <v>457</v>
      </c>
      <c r="P1712" s="128">
        <v>0</v>
      </c>
      <c r="Q1712" s="128">
        <v>7770092.9900000002</v>
      </c>
      <c r="R1712" s="128">
        <v>0</v>
      </c>
      <c r="S1712" s="128">
        <v>0</v>
      </c>
      <c r="T1712" s="128">
        <v>0</v>
      </c>
      <c r="U1712" s="128">
        <v>7770092.9900000002</v>
      </c>
      <c r="V1712" s="128">
        <v>0</v>
      </c>
      <c r="W1712" s="128">
        <v>7770092.9900000002</v>
      </c>
      <c r="X1712" s="128">
        <v>0</v>
      </c>
      <c r="Y1712" s="128">
        <v>0</v>
      </c>
      <c r="Z1712" s="128">
        <v>0</v>
      </c>
      <c r="AA1712" s="128">
        <v>7770092.9900000002</v>
      </c>
      <c r="AB1712" s="126">
        <f t="shared" si="179"/>
        <v>-0.77700929900000004</v>
      </c>
      <c r="AC1712" s="122" t="s">
        <v>1838</v>
      </c>
      <c r="AD1712" s="123">
        <f t="shared" si="181"/>
        <v>0.39096743900000003</v>
      </c>
    </row>
    <row r="1713" spans="1:30" ht="12.75" hidden="1" customHeight="1">
      <c r="A1713" s="125" t="str">
        <f t="shared" si="176"/>
        <v>LIC40R/L Gain - Inter SchemeT Bills</v>
      </c>
      <c r="B1713" s="125">
        <f>+IFERROR(VLOOKUP(L1713,'TB mapping'!A:D,4,0),0)</f>
        <v>0</v>
      </c>
      <c r="C1713" s="125">
        <f>+IFERROR(VLOOKUP(L1713,'TB mapping'!A:C,3,0),0)</f>
        <v>5.4</v>
      </c>
      <c r="D1713" s="125" t="str">
        <f t="shared" si="177"/>
        <v>LIC400</v>
      </c>
      <c r="E1713" s="125" t="str">
        <f t="shared" si="178"/>
        <v>LIC405.4</v>
      </c>
      <c r="F1713" s="158" t="str">
        <f>+VLOOKUP(H1713,'code mapping'!A:C,3,0)</f>
        <v>LIC40</v>
      </c>
      <c r="G1713" s="127" t="s">
        <v>453</v>
      </c>
      <c r="H1713" s="127" t="s">
        <v>729</v>
      </c>
      <c r="I1713" s="127" t="s">
        <v>63</v>
      </c>
      <c r="J1713" s="128">
        <v>410000</v>
      </c>
      <c r="K1713" s="127" t="s">
        <v>522</v>
      </c>
      <c r="L1713" s="151">
        <v>427313</v>
      </c>
      <c r="M1713" s="128">
        <v>0</v>
      </c>
      <c r="N1713" s="127" t="s">
        <v>631</v>
      </c>
      <c r="O1713" s="127" t="s">
        <v>457</v>
      </c>
      <c r="P1713" s="128">
        <v>0</v>
      </c>
      <c r="Q1713" s="128">
        <v>120081.94</v>
      </c>
      <c r="R1713" s="128">
        <v>0</v>
      </c>
      <c r="S1713" s="128">
        <v>0</v>
      </c>
      <c r="T1713" s="128">
        <v>0</v>
      </c>
      <c r="U1713" s="128">
        <v>120081.94</v>
      </c>
      <c r="V1713" s="128">
        <v>0</v>
      </c>
      <c r="W1713" s="128">
        <v>120081.94</v>
      </c>
      <c r="X1713" s="128">
        <v>0</v>
      </c>
      <c r="Y1713" s="128">
        <v>0</v>
      </c>
      <c r="Z1713" s="128">
        <v>0</v>
      </c>
      <c r="AA1713" s="128">
        <v>120081.94</v>
      </c>
      <c r="AB1713" s="126">
        <f t="shared" si="179"/>
        <v>-1.2008194E-2</v>
      </c>
      <c r="AC1713" s="122" t="s">
        <v>1838</v>
      </c>
      <c r="AD1713" s="123">
        <f t="shared" si="181"/>
        <v>0.39096743900000003</v>
      </c>
    </row>
    <row r="1714" spans="1:30" ht="12.75" hidden="1" customHeight="1">
      <c r="A1714" s="125" t="str">
        <f t="shared" si="176"/>
        <v>LIC40UR/L G/P - Corp Bond/Debenture</v>
      </c>
      <c r="B1714" s="125">
        <f>+IFERROR(VLOOKUP(L1714,'TB mapping'!A:D,4,0),0)</f>
        <v>0</v>
      </c>
      <c r="C1714" s="125" t="str">
        <f>+IFERROR(VLOOKUP(L1714,'TB mapping'!A:C,3,0),0)</f>
        <v>Ignore</v>
      </c>
      <c r="D1714" s="125" t="str">
        <f t="shared" si="177"/>
        <v>LIC400</v>
      </c>
      <c r="E1714" s="125" t="str">
        <f t="shared" si="178"/>
        <v>LIC40Ignore</v>
      </c>
      <c r="F1714" s="158" t="str">
        <f>+VLOOKUP(H1714,'code mapping'!A:C,3,0)</f>
        <v>LIC40</v>
      </c>
      <c r="G1714" s="127" t="s">
        <v>453</v>
      </c>
      <c r="H1714" s="127" t="s">
        <v>729</v>
      </c>
      <c r="I1714" s="127" t="s">
        <v>63</v>
      </c>
      <c r="J1714" s="128">
        <v>430000</v>
      </c>
      <c r="K1714" s="127" t="s">
        <v>528</v>
      </c>
      <c r="L1714" s="151">
        <v>432120</v>
      </c>
      <c r="M1714" s="128">
        <v>0</v>
      </c>
      <c r="N1714" s="127" t="s">
        <v>529</v>
      </c>
      <c r="O1714" s="127" t="s">
        <v>457</v>
      </c>
      <c r="P1714" s="128">
        <v>-1485570</v>
      </c>
      <c r="Q1714" s="128">
        <v>0</v>
      </c>
      <c r="R1714" s="128">
        <v>0</v>
      </c>
      <c r="S1714" s="128">
        <v>0</v>
      </c>
      <c r="T1714" s="128">
        <v>-1485570</v>
      </c>
      <c r="U1714" s="128">
        <v>0</v>
      </c>
      <c r="V1714" s="128">
        <v>-1485570</v>
      </c>
      <c r="W1714" s="128">
        <v>0</v>
      </c>
      <c r="X1714" s="128">
        <v>0</v>
      </c>
      <c r="Y1714" s="128">
        <v>0</v>
      </c>
      <c r="Z1714" s="128">
        <v>-1485570</v>
      </c>
      <c r="AA1714" s="128">
        <v>0</v>
      </c>
      <c r="AB1714" s="126">
        <f t="shared" si="179"/>
        <v>0.14855699999999999</v>
      </c>
      <c r="AC1714" s="122" t="s">
        <v>1838</v>
      </c>
      <c r="AD1714" s="123">
        <f>SUMIF(C:C,C1714,AB:AB)</f>
        <v>-291.7660984179999</v>
      </c>
    </row>
    <row r="1715" spans="1:30" ht="12.75" hidden="1" customHeight="1">
      <c r="A1715" s="125" t="str">
        <f t="shared" si="176"/>
        <v>LIC40UR/L G/P - Commercial Paper</v>
      </c>
      <c r="B1715" s="125">
        <f>+IFERROR(VLOOKUP(L1715,'TB mapping'!A:D,4,0),0)</f>
        <v>0</v>
      </c>
      <c r="C1715" s="125" t="str">
        <f>+IFERROR(VLOOKUP(L1715,'TB mapping'!A:C,3,0),0)</f>
        <v>Ignore</v>
      </c>
      <c r="D1715" s="125" t="str">
        <f t="shared" si="177"/>
        <v>LIC400</v>
      </c>
      <c r="E1715" s="125" t="str">
        <f t="shared" si="178"/>
        <v>LIC40Ignore</v>
      </c>
      <c r="F1715" s="158" t="str">
        <f>+VLOOKUP(H1715,'code mapping'!A:C,3,0)</f>
        <v>LIC40</v>
      </c>
      <c r="G1715" s="127" t="s">
        <v>453</v>
      </c>
      <c r="H1715" s="127" t="s">
        <v>729</v>
      </c>
      <c r="I1715" s="127" t="s">
        <v>63</v>
      </c>
      <c r="J1715" s="128">
        <v>430000</v>
      </c>
      <c r="K1715" s="127" t="s">
        <v>528</v>
      </c>
      <c r="L1715" s="151">
        <v>432180</v>
      </c>
      <c r="M1715" s="128">
        <v>0</v>
      </c>
      <c r="N1715" s="127" t="s">
        <v>662</v>
      </c>
      <c r="O1715" s="127" t="s">
        <v>457</v>
      </c>
      <c r="P1715" s="128">
        <v>0</v>
      </c>
      <c r="Q1715" s="128">
        <v>6162992.9000000004</v>
      </c>
      <c r="R1715" s="128">
        <v>0</v>
      </c>
      <c r="S1715" s="128">
        <v>0</v>
      </c>
      <c r="T1715" s="128">
        <v>0</v>
      </c>
      <c r="U1715" s="128">
        <v>6162992.9000000004</v>
      </c>
      <c r="V1715" s="128">
        <v>0</v>
      </c>
      <c r="W1715" s="128">
        <v>6162992.9000000004</v>
      </c>
      <c r="X1715" s="128">
        <v>0</v>
      </c>
      <c r="Y1715" s="128">
        <v>0</v>
      </c>
      <c r="Z1715" s="128">
        <v>0</v>
      </c>
      <c r="AA1715" s="128">
        <v>6162992.9000000004</v>
      </c>
      <c r="AB1715" s="126">
        <f t="shared" si="179"/>
        <v>-0.61629929000000006</v>
      </c>
      <c r="AC1715" s="122" t="s">
        <v>1838</v>
      </c>
      <c r="AD1715" s="123">
        <f>SUMIF(C:C,C1715,AB:AB)</f>
        <v>-291.7660984179999</v>
      </c>
    </row>
    <row r="1716" spans="1:30" ht="12.75" hidden="1" customHeight="1">
      <c r="A1716" s="125" t="str">
        <f t="shared" si="176"/>
        <v>LIC40UR/L G/P - Cert. of Deposits</v>
      </c>
      <c r="B1716" s="125">
        <f>+IFERROR(VLOOKUP(L1716,'TB mapping'!A:D,4,0),0)</f>
        <v>0</v>
      </c>
      <c r="C1716" s="125" t="str">
        <f>+IFERROR(VLOOKUP(L1716,'TB mapping'!A:C,3,0),0)</f>
        <v>Ignore</v>
      </c>
      <c r="D1716" s="125" t="str">
        <f t="shared" si="177"/>
        <v>LIC400</v>
      </c>
      <c r="E1716" s="125" t="str">
        <f t="shared" si="178"/>
        <v>LIC40Ignore</v>
      </c>
      <c r="F1716" s="158" t="str">
        <f>+VLOOKUP(H1716,'code mapping'!A:C,3,0)</f>
        <v>LIC40</v>
      </c>
      <c r="G1716" s="127" t="s">
        <v>453</v>
      </c>
      <c r="H1716" s="127" t="s">
        <v>729</v>
      </c>
      <c r="I1716" s="127" t="s">
        <v>63</v>
      </c>
      <c r="J1716" s="128">
        <v>430000</v>
      </c>
      <c r="K1716" s="127" t="s">
        <v>528</v>
      </c>
      <c r="L1716" s="151">
        <v>432190</v>
      </c>
      <c r="M1716" s="128">
        <v>0</v>
      </c>
      <c r="N1716" s="127" t="s">
        <v>738</v>
      </c>
      <c r="O1716" s="127" t="s">
        <v>457</v>
      </c>
      <c r="P1716" s="128">
        <v>0</v>
      </c>
      <c r="Q1716" s="128">
        <v>1194790.5</v>
      </c>
      <c r="R1716" s="128">
        <v>0</v>
      </c>
      <c r="S1716" s="128">
        <v>0</v>
      </c>
      <c r="T1716" s="128">
        <v>0</v>
      </c>
      <c r="U1716" s="128">
        <v>1194790.5</v>
      </c>
      <c r="V1716" s="128">
        <v>0</v>
      </c>
      <c r="W1716" s="128">
        <v>1194790.5</v>
      </c>
      <c r="X1716" s="128">
        <v>0</v>
      </c>
      <c r="Y1716" s="128">
        <v>0</v>
      </c>
      <c r="Z1716" s="128">
        <v>0</v>
      </c>
      <c r="AA1716" s="128">
        <v>1194790.5</v>
      </c>
      <c r="AB1716" s="126">
        <f t="shared" si="179"/>
        <v>-0.11947905</v>
      </c>
      <c r="AC1716" s="122" t="s">
        <v>1838</v>
      </c>
      <c r="AD1716" s="123">
        <f>SUMIF(C:C,C1716,AB:AB)</f>
        <v>-291.7660984179999</v>
      </c>
    </row>
    <row r="1717" spans="1:30" ht="12.75" hidden="1" customHeight="1">
      <c r="A1717" s="125" t="str">
        <f t="shared" si="176"/>
        <v>LIC40Amort Income -Treasury Bills</v>
      </c>
      <c r="B1717" s="125">
        <f>+IFERROR(VLOOKUP(L1717,'TB mapping'!A:D,4,0),0)</f>
        <v>0</v>
      </c>
      <c r="C1717" s="125">
        <f>+IFERROR(VLOOKUP(L1717,'TB mapping'!A:C,3,0),0)</f>
        <v>5.2</v>
      </c>
      <c r="D1717" s="125" t="str">
        <f t="shared" si="177"/>
        <v>LIC400</v>
      </c>
      <c r="E1717" s="125" t="str">
        <f t="shared" si="178"/>
        <v>LIC405.2</v>
      </c>
      <c r="F1717" s="158" t="str">
        <f>+VLOOKUP(H1717,'code mapping'!A:C,3,0)</f>
        <v>LIC40</v>
      </c>
      <c r="G1717" s="127" t="s">
        <v>453</v>
      </c>
      <c r="H1717" s="127" t="s">
        <v>729</v>
      </c>
      <c r="I1717" s="127" t="s">
        <v>63</v>
      </c>
      <c r="J1717" s="128">
        <v>450000</v>
      </c>
      <c r="K1717" s="127" t="s">
        <v>532</v>
      </c>
      <c r="L1717" s="151">
        <v>452110</v>
      </c>
      <c r="M1717" s="128">
        <v>0</v>
      </c>
      <c r="N1717" s="127" t="s">
        <v>632</v>
      </c>
      <c r="O1717" s="127" t="s">
        <v>457</v>
      </c>
      <c r="P1717" s="128">
        <v>0</v>
      </c>
      <c r="Q1717" s="128">
        <v>51782780.359999999</v>
      </c>
      <c r="R1717" s="128">
        <v>0</v>
      </c>
      <c r="S1717" s="128">
        <v>0</v>
      </c>
      <c r="T1717" s="128">
        <v>0</v>
      </c>
      <c r="U1717" s="128">
        <v>51782780.359999999</v>
      </c>
      <c r="V1717" s="128">
        <v>0</v>
      </c>
      <c r="W1717" s="128">
        <v>51782780.359999999</v>
      </c>
      <c r="X1717" s="128">
        <v>0</v>
      </c>
      <c r="Y1717" s="128">
        <v>0</v>
      </c>
      <c r="Z1717" s="128">
        <v>0</v>
      </c>
      <c r="AA1717" s="128">
        <v>51782780.359999999</v>
      </c>
      <c r="AB1717" s="126">
        <f t="shared" si="179"/>
        <v>-5.178278036</v>
      </c>
      <c r="AC1717" s="122" t="s">
        <v>1838</v>
      </c>
      <c r="AD1717" s="123">
        <f t="shared" ref="AD1717:AD1748" si="182">SUMIF(E:E,E1717,AB:AB)</f>
        <v>-242.24220247099998</v>
      </c>
    </row>
    <row r="1718" spans="1:30" ht="12.75" hidden="1" customHeight="1">
      <c r="A1718" s="125" t="str">
        <f t="shared" si="176"/>
        <v>LIC40Interest Income - CCIL Margin</v>
      </c>
      <c r="B1718" s="125">
        <f>+IFERROR(VLOOKUP(L1718,'TB mapping'!A:D,4,0),0)</f>
        <v>0</v>
      </c>
      <c r="C1718" s="125">
        <f>+IFERROR(VLOOKUP(L1718,'TB mapping'!A:C,3,0),0)</f>
        <v>5.2</v>
      </c>
      <c r="D1718" s="125" t="str">
        <f t="shared" si="177"/>
        <v>LIC400</v>
      </c>
      <c r="E1718" s="125" t="str">
        <f t="shared" si="178"/>
        <v>LIC405.2</v>
      </c>
      <c r="F1718" s="158" t="str">
        <f>+VLOOKUP(H1718,'code mapping'!A:C,3,0)</f>
        <v>LIC40</v>
      </c>
      <c r="G1718" s="127" t="s">
        <v>453</v>
      </c>
      <c r="H1718" s="127" t="s">
        <v>729</v>
      </c>
      <c r="I1718" s="127" t="s">
        <v>63</v>
      </c>
      <c r="J1718" s="128">
        <v>450000</v>
      </c>
      <c r="K1718" s="127" t="s">
        <v>532</v>
      </c>
      <c r="L1718" s="151">
        <v>452111</v>
      </c>
      <c r="M1718" s="128">
        <v>0</v>
      </c>
      <c r="N1718" s="127" t="s">
        <v>533</v>
      </c>
      <c r="O1718" s="127" t="s">
        <v>457</v>
      </c>
      <c r="P1718" s="128">
        <v>0</v>
      </c>
      <c r="Q1718" s="128">
        <v>5423.36</v>
      </c>
      <c r="R1718" s="128">
        <v>0</v>
      </c>
      <c r="S1718" s="128">
        <v>0</v>
      </c>
      <c r="T1718" s="128">
        <v>0</v>
      </c>
      <c r="U1718" s="128">
        <v>5423.36</v>
      </c>
      <c r="V1718" s="128">
        <v>0</v>
      </c>
      <c r="W1718" s="128">
        <v>5423.36</v>
      </c>
      <c r="X1718" s="128">
        <v>0</v>
      </c>
      <c r="Y1718" s="128">
        <v>0</v>
      </c>
      <c r="Z1718" s="128">
        <v>0</v>
      </c>
      <c r="AA1718" s="128">
        <v>5423.36</v>
      </c>
      <c r="AB1718" s="126">
        <f t="shared" si="179"/>
        <v>-5.4233599999999992E-4</v>
      </c>
      <c r="AC1718" s="122" t="s">
        <v>1838</v>
      </c>
      <c r="AD1718" s="123">
        <f t="shared" si="182"/>
        <v>-242.24220247099998</v>
      </c>
    </row>
    <row r="1719" spans="1:30" ht="12.75" hidden="1" customHeight="1">
      <c r="A1719" s="125" t="str">
        <f t="shared" si="176"/>
        <v>LIC40Int Income - Corporate Bonds</v>
      </c>
      <c r="B1719" s="125">
        <f>+IFERROR(VLOOKUP(L1719,'TB mapping'!A:D,4,0),0)</f>
        <v>0</v>
      </c>
      <c r="C1719" s="125">
        <f>+IFERROR(VLOOKUP(L1719,'TB mapping'!A:C,3,0),0)</f>
        <v>5.2</v>
      </c>
      <c r="D1719" s="125" t="str">
        <f t="shared" si="177"/>
        <v>LIC400</v>
      </c>
      <c r="E1719" s="125" t="str">
        <f t="shared" si="178"/>
        <v>LIC405.2</v>
      </c>
      <c r="F1719" s="158" t="str">
        <f>+VLOOKUP(H1719,'code mapping'!A:C,3,0)</f>
        <v>LIC40</v>
      </c>
      <c r="G1719" s="127" t="s">
        <v>453</v>
      </c>
      <c r="H1719" s="127" t="s">
        <v>729</v>
      </c>
      <c r="I1719" s="127" t="s">
        <v>63</v>
      </c>
      <c r="J1719" s="128">
        <v>450000</v>
      </c>
      <c r="K1719" s="127" t="s">
        <v>532</v>
      </c>
      <c r="L1719" s="151">
        <v>452120</v>
      </c>
      <c r="M1719" s="128">
        <v>0</v>
      </c>
      <c r="N1719" s="127" t="s">
        <v>534</v>
      </c>
      <c r="O1719" s="127" t="s">
        <v>457</v>
      </c>
      <c r="P1719" s="128">
        <v>0</v>
      </c>
      <c r="Q1719" s="128">
        <v>628015097.01999998</v>
      </c>
      <c r="R1719" s="128">
        <v>0</v>
      </c>
      <c r="S1719" s="128">
        <v>0</v>
      </c>
      <c r="T1719" s="128">
        <v>0</v>
      </c>
      <c r="U1719" s="128">
        <v>628015097.01999998</v>
      </c>
      <c r="V1719" s="128">
        <v>0</v>
      </c>
      <c r="W1719" s="128">
        <v>628015097.01999998</v>
      </c>
      <c r="X1719" s="128">
        <v>0</v>
      </c>
      <c r="Y1719" s="128">
        <v>0</v>
      </c>
      <c r="Z1719" s="128">
        <v>0</v>
      </c>
      <c r="AA1719" s="128">
        <v>628015097.01999998</v>
      </c>
      <c r="AB1719" s="126">
        <f t="shared" si="179"/>
        <v>-62.801509701999997</v>
      </c>
      <c r="AC1719" s="122" t="s">
        <v>1838</v>
      </c>
      <c r="AD1719" s="123">
        <f t="shared" si="182"/>
        <v>-242.24220247099998</v>
      </c>
    </row>
    <row r="1720" spans="1:30" ht="12.75" hidden="1" customHeight="1">
      <c r="A1720" s="125" t="str">
        <f t="shared" si="176"/>
        <v>LIC40Int Income - Government Bonds</v>
      </c>
      <c r="B1720" s="125">
        <f>+IFERROR(VLOOKUP(L1720,'TB mapping'!A:D,4,0),0)</f>
        <v>0</v>
      </c>
      <c r="C1720" s="125">
        <f>+IFERROR(VLOOKUP(L1720,'TB mapping'!A:C,3,0),0)</f>
        <v>5.2</v>
      </c>
      <c r="D1720" s="125" t="str">
        <f t="shared" si="177"/>
        <v>LIC400</v>
      </c>
      <c r="E1720" s="125" t="str">
        <f t="shared" si="178"/>
        <v>LIC405.2</v>
      </c>
      <c r="F1720" s="158" t="str">
        <f>+VLOOKUP(H1720,'code mapping'!A:C,3,0)</f>
        <v>LIC40</v>
      </c>
      <c r="G1720" s="127" t="s">
        <v>453</v>
      </c>
      <c r="H1720" s="127" t="s">
        <v>729</v>
      </c>
      <c r="I1720" s="127" t="s">
        <v>63</v>
      </c>
      <c r="J1720" s="128">
        <v>450000</v>
      </c>
      <c r="K1720" s="127" t="s">
        <v>532</v>
      </c>
      <c r="L1720" s="151">
        <v>452130</v>
      </c>
      <c r="M1720" s="128">
        <v>0</v>
      </c>
      <c r="N1720" s="127" t="s">
        <v>535</v>
      </c>
      <c r="O1720" s="127" t="s">
        <v>457</v>
      </c>
      <c r="P1720" s="128">
        <v>0</v>
      </c>
      <c r="Q1720" s="128">
        <v>14645319.43</v>
      </c>
      <c r="R1720" s="128">
        <v>0</v>
      </c>
      <c r="S1720" s="128">
        <v>0</v>
      </c>
      <c r="T1720" s="128">
        <v>0</v>
      </c>
      <c r="U1720" s="128">
        <v>14645319.43</v>
      </c>
      <c r="V1720" s="128">
        <v>0</v>
      </c>
      <c r="W1720" s="128">
        <v>14645319.43</v>
      </c>
      <c r="X1720" s="128">
        <v>0</v>
      </c>
      <c r="Y1720" s="128">
        <v>0</v>
      </c>
      <c r="Z1720" s="128">
        <v>0</v>
      </c>
      <c r="AA1720" s="128">
        <v>14645319.43</v>
      </c>
      <c r="AB1720" s="126">
        <f t="shared" si="179"/>
        <v>-1.4645319429999999</v>
      </c>
      <c r="AC1720" s="122" t="s">
        <v>1838</v>
      </c>
      <c r="AD1720" s="123">
        <f t="shared" si="182"/>
        <v>-242.24220247099998</v>
      </c>
    </row>
    <row r="1721" spans="1:30" ht="12.75" hidden="1" customHeight="1">
      <c r="A1721" s="125" t="str">
        <f t="shared" ref="A1721:A1784" si="183">+F1721&amp;N1721</f>
        <v>LIC40Amort. Income - ZCB</v>
      </c>
      <c r="B1721" s="125">
        <f>+IFERROR(VLOOKUP(L1721,'TB mapping'!A:D,4,0),0)</f>
        <v>0</v>
      </c>
      <c r="C1721" s="125">
        <f>+IFERROR(VLOOKUP(L1721,'TB mapping'!A:C,3,0),0)</f>
        <v>5.2</v>
      </c>
      <c r="D1721" s="125" t="str">
        <f t="shared" ref="D1721:D1784" si="184">+F1721&amp;B1721</f>
        <v>LIC400</v>
      </c>
      <c r="E1721" s="125" t="str">
        <f t="shared" ref="E1721:E1784" si="185">+F1721&amp;C1721</f>
        <v>LIC405.2</v>
      </c>
      <c r="F1721" s="158" t="str">
        <f>+VLOOKUP(H1721,'code mapping'!A:C,3,0)</f>
        <v>LIC40</v>
      </c>
      <c r="G1721" s="127" t="s">
        <v>453</v>
      </c>
      <c r="H1721" s="127" t="s">
        <v>729</v>
      </c>
      <c r="I1721" s="127" t="s">
        <v>63</v>
      </c>
      <c r="J1721" s="128">
        <v>450000</v>
      </c>
      <c r="K1721" s="127" t="s">
        <v>532</v>
      </c>
      <c r="L1721" s="151">
        <v>452145</v>
      </c>
      <c r="M1721" s="128">
        <v>0</v>
      </c>
      <c r="N1721" s="127" t="s">
        <v>613</v>
      </c>
      <c r="O1721" s="127" t="s">
        <v>457</v>
      </c>
      <c r="P1721" s="128">
        <v>0</v>
      </c>
      <c r="Q1721" s="128">
        <v>37902356.710000001</v>
      </c>
      <c r="R1721" s="128">
        <v>0</v>
      </c>
      <c r="S1721" s="128">
        <v>0</v>
      </c>
      <c r="T1721" s="128">
        <v>0</v>
      </c>
      <c r="U1721" s="128">
        <v>37902356.710000001</v>
      </c>
      <c r="V1721" s="128">
        <v>0</v>
      </c>
      <c r="W1721" s="128">
        <v>37902356.710000001</v>
      </c>
      <c r="X1721" s="128">
        <v>0</v>
      </c>
      <c r="Y1721" s="128">
        <v>0</v>
      </c>
      <c r="Z1721" s="128">
        <v>0</v>
      </c>
      <c r="AA1721" s="128">
        <v>37902356.710000001</v>
      </c>
      <c r="AB1721" s="126">
        <f t="shared" ref="AB1721:AB1784" si="186">SUM(-Z1721-AA1721)/10^7</f>
        <v>-3.790235671</v>
      </c>
      <c r="AC1721" s="122" t="s">
        <v>1838</v>
      </c>
      <c r="AD1721" s="123">
        <f t="shared" si="182"/>
        <v>-242.24220247099998</v>
      </c>
    </row>
    <row r="1722" spans="1:30" ht="12.75" hidden="1" customHeight="1">
      <c r="A1722" s="125" t="str">
        <f t="shared" si="183"/>
        <v>LIC40Amort. Income - CP</v>
      </c>
      <c r="B1722" s="125">
        <f>+IFERROR(VLOOKUP(L1722,'TB mapping'!A:D,4,0),0)</f>
        <v>0</v>
      </c>
      <c r="C1722" s="125">
        <f>+IFERROR(VLOOKUP(L1722,'TB mapping'!A:C,3,0),0)</f>
        <v>5.2</v>
      </c>
      <c r="D1722" s="125" t="str">
        <f t="shared" si="184"/>
        <v>LIC400</v>
      </c>
      <c r="E1722" s="125" t="str">
        <f t="shared" si="185"/>
        <v>LIC405.2</v>
      </c>
      <c r="F1722" s="158" t="str">
        <f>+VLOOKUP(H1722,'code mapping'!A:C,3,0)</f>
        <v>LIC40</v>
      </c>
      <c r="G1722" s="127" t="s">
        <v>453</v>
      </c>
      <c r="H1722" s="127" t="s">
        <v>729</v>
      </c>
      <c r="I1722" s="127" t="s">
        <v>63</v>
      </c>
      <c r="J1722" s="128">
        <v>450000</v>
      </c>
      <c r="K1722" s="127" t="s">
        <v>532</v>
      </c>
      <c r="L1722" s="151">
        <v>452180</v>
      </c>
      <c r="M1722" s="128">
        <v>0</v>
      </c>
      <c r="N1722" s="127" t="s">
        <v>663</v>
      </c>
      <c r="O1722" s="127" t="s">
        <v>457</v>
      </c>
      <c r="P1722" s="128">
        <v>0</v>
      </c>
      <c r="Q1722" s="128">
        <v>1359241471.24</v>
      </c>
      <c r="R1722" s="128">
        <v>0</v>
      </c>
      <c r="S1722" s="128">
        <v>0</v>
      </c>
      <c r="T1722" s="128">
        <v>0</v>
      </c>
      <c r="U1722" s="128">
        <v>1359241471.24</v>
      </c>
      <c r="V1722" s="128">
        <v>0</v>
      </c>
      <c r="W1722" s="128">
        <v>1359241471.24</v>
      </c>
      <c r="X1722" s="128">
        <v>0</v>
      </c>
      <c r="Y1722" s="128">
        <v>0</v>
      </c>
      <c r="Z1722" s="128">
        <v>0</v>
      </c>
      <c r="AA1722" s="128">
        <v>1359241471.24</v>
      </c>
      <c r="AB1722" s="126">
        <f t="shared" si="186"/>
        <v>-135.924147124</v>
      </c>
      <c r="AC1722" s="122" t="s">
        <v>1838</v>
      </c>
      <c r="AD1722" s="123">
        <f t="shared" si="182"/>
        <v>-242.24220247099998</v>
      </c>
    </row>
    <row r="1723" spans="1:30" ht="12.75" hidden="1" customHeight="1">
      <c r="A1723" s="125" t="str">
        <f t="shared" si="183"/>
        <v>LIC40Amort. Income - CD</v>
      </c>
      <c r="B1723" s="125">
        <f>+IFERROR(VLOOKUP(L1723,'TB mapping'!A:D,4,0),0)</f>
        <v>0</v>
      </c>
      <c r="C1723" s="125">
        <f>+IFERROR(VLOOKUP(L1723,'TB mapping'!A:C,3,0),0)</f>
        <v>5.2</v>
      </c>
      <c r="D1723" s="125" t="str">
        <f t="shared" si="184"/>
        <v>LIC400</v>
      </c>
      <c r="E1723" s="125" t="str">
        <f t="shared" si="185"/>
        <v>LIC405.2</v>
      </c>
      <c r="F1723" s="158" t="str">
        <f>+VLOOKUP(H1723,'code mapping'!A:C,3,0)</f>
        <v>LIC40</v>
      </c>
      <c r="G1723" s="127" t="s">
        <v>453</v>
      </c>
      <c r="H1723" s="127" t="s">
        <v>729</v>
      </c>
      <c r="I1723" s="127" t="s">
        <v>63</v>
      </c>
      <c r="J1723" s="128">
        <v>450000</v>
      </c>
      <c r="K1723" s="127" t="s">
        <v>532</v>
      </c>
      <c r="L1723" s="151">
        <v>452181</v>
      </c>
      <c r="M1723" s="128">
        <v>0</v>
      </c>
      <c r="N1723" s="127" t="s">
        <v>664</v>
      </c>
      <c r="O1723" s="127" t="s">
        <v>457</v>
      </c>
      <c r="P1723" s="128">
        <v>0</v>
      </c>
      <c r="Q1723" s="128">
        <v>318571259.49000001</v>
      </c>
      <c r="R1723" s="128">
        <v>0</v>
      </c>
      <c r="S1723" s="128">
        <v>0</v>
      </c>
      <c r="T1723" s="128">
        <v>0</v>
      </c>
      <c r="U1723" s="128">
        <v>318571259.49000001</v>
      </c>
      <c r="V1723" s="128">
        <v>0</v>
      </c>
      <c r="W1723" s="128">
        <v>318571259.49000001</v>
      </c>
      <c r="X1723" s="128">
        <v>0</v>
      </c>
      <c r="Y1723" s="128">
        <v>0</v>
      </c>
      <c r="Z1723" s="128">
        <v>0</v>
      </c>
      <c r="AA1723" s="128">
        <v>318571259.49000001</v>
      </c>
      <c r="AB1723" s="126">
        <f t="shared" si="186"/>
        <v>-31.857125949</v>
      </c>
      <c r="AC1723" s="122" t="s">
        <v>1838</v>
      </c>
      <c r="AD1723" s="123">
        <f t="shared" si="182"/>
        <v>-242.24220247099998</v>
      </c>
    </row>
    <row r="1724" spans="1:30" ht="12.75" hidden="1" customHeight="1">
      <c r="A1724" s="125" t="str">
        <f t="shared" si="183"/>
        <v>LIC40Amort. Income - CBLO</v>
      </c>
      <c r="B1724" s="125">
        <f>+IFERROR(VLOOKUP(L1724,'TB mapping'!A:D,4,0),0)</f>
        <v>0</v>
      </c>
      <c r="C1724" s="125">
        <f>+IFERROR(VLOOKUP(L1724,'TB mapping'!A:C,3,0),0)</f>
        <v>5.2</v>
      </c>
      <c r="D1724" s="125" t="str">
        <f t="shared" si="184"/>
        <v>LIC400</v>
      </c>
      <c r="E1724" s="125" t="str">
        <f t="shared" si="185"/>
        <v>LIC405.2</v>
      </c>
      <c r="F1724" s="158" t="str">
        <f>+VLOOKUP(H1724,'code mapping'!A:C,3,0)</f>
        <v>LIC40</v>
      </c>
      <c r="G1724" s="127" t="s">
        <v>453</v>
      </c>
      <c r="H1724" s="127" t="s">
        <v>729</v>
      </c>
      <c r="I1724" s="127" t="s">
        <v>63</v>
      </c>
      <c r="J1724" s="128">
        <v>450000</v>
      </c>
      <c r="K1724" s="127" t="s">
        <v>532</v>
      </c>
      <c r="L1724" s="151">
        <v>452228</v>
      </c>
      <c r="M1724" s="128">
        <v>0</v>
      </c>
      <c r="N1724" s="127" t="s">
        <v>537</v>
      </c>
      <c r="O1724" s="127" t="s">
        <v>457</v>
      </c>
      <c r="P1724" s="128">
        <v>0</v>
      </c>
      <c r="Q1724" s="128">
        <v>12092029.84</v>
      </c>
      <c r="R1724" s="128">
        <v>0</v>
      </c>
      <c r="S1724" s="128">
        <v>0</v>
      </c>
      <c r="T1724" s="128">
        <v>0</v>
      </c>
      <c r="U1724" s="128">
        <v>12092029.84</v>
      </c>
      <c r="V1724" s="128">
        <v>0</v>
      </c>
      <c r="W1724" s="128">
        <v>12092029.84</v>
      </c>
      <c r="X1724" s="128">
        <v>0</v>
      </c>
      <c r="Y1724" s="128">
        <v>0</v>
      </c>
      <c r="Z1724" s="128">
        <v>0</v>
      </c>
      <c r="AA1724" s="128">
        <v>12092029.84</v>
      </c>
      <c r="AB1724" s="126">
        <f t="shared" si="186"/>
        <v>-1.209202984</v>
      </c>
      <c r="AC1724" s="122" t="s">
        <v>1838</v>
      </c>
      <c r="AD1724" s="123">
        <f t="shared" si="182"/>
        <v>-242.24220247099998</v>
      </c>
    </row>
    <row r="1725" spans="1:30" ht="12.75" hidden="1" customHeight="1">
      <c r="A1725" s="125" t="str">
        <f t="shared" si="183"/>
        <v>LIC40Int Income - Repo Deposits</v>
      </c>
      <c r="B1725" s="125">
        <f>+IFERROR(VLOOKUP(L1725,'TB mapping'!A:D,4,0),0)</f>
        <v>0</v>
      </c>
      <c r="C1725" s="125">
        <f>+IFERROR(VLOOKUP(L1725,'TB mapping'!A:C,3,0),0)</f>
        <v>5.2</v>
      </c>
      <c r="D1725" s="125" t="str">
        <f t="shared" si="184"/>
        <v>LIC400</v>
      </c>
      <c r="E1725" s="125" t="str">
        <f t="shared" si="185"/>
        <v>LIC405.2</v>
      </c>
      <c r="F1725" s="158" t="str">
        <f>+VLOOKUP(H1725,'code mapping'!A:C,3,0)</f>
        <v>LIC40</v>
      </c>
      <c r="G1725" s="127" t="s">
        <v>453</v>
      </c>
      <c r="H1725" s="127" t="s">
        <v>729</v>
      </c>
      <c r="I1725" s="127" t="s">
        <v>63</v>
      </c>
      <c r="J1725" s="128">
        <v>450000</v>
      </c>
      <c r="K1725" s="127" t="s">
        <v>532</v>
      </c>
      <c r="L1725" s="151">
        <v>452230</v>
      </c>
      <c r="M1725" s="128">
        <v>0</v>
      </c>
      <c r="N1725" s="127" t="s">
        <v>538</v>
      </c>
      <c r="O1725" s="127" t="s">
        <v>457</v>
      </c>
      <c r="P1725" s="128">
        <v>0</v>
      </c>
      <c r="Q1725" s="128">
        <v>166287.26</v>
      </c>
      <c r="R1725" s="128">
        <v>0</v>
      </c>
      <c r="S1725" s="128">
        <v>0</v>
      </c>
      <c r="T1725" s="128">
        <v>0</v>
      </c>
      <c r="U1725" s="128">
        <v>166287.26</v>
      </c>
      <c r="V1725" s="128">
        <v>0</v>
      </c>
      <c r="W1725" s="128">
        <v>166287.26</v>
      </c>
      <c r="X1725" s="128">
        <v>0</v>
      </c>
      <c r="Y1725" s="128">
        <v>0</v>
      </c>
      <c r="Z1725" s="128">
        <v>0</v>
      </c>
      <c r="AA1725" s="128">
        <v>166287.26</v>
      </c>
      <c r="AB1725" s="126">
        <f t="shared" si="186"/>
        <v>-1.6628726E-2</v>
      </c>
      <c r="AC1725" s="122" t="s">
        <v>1838</v>
      </c>
      <c r="AD1725" s="123">
        <f t="shared" si="182"/>
        <v>-242.24220247099998</v>
      </c>
    </row>
    <row r="1726" spans="1:30" ht="12.75" hidden="1" customHeight="1">
      <c r="A1726" s="125" t="str">
        <f t="shared" si="183"/>
        <v>LIC40Load Income</v>
      </c>
      <c r="B1726" s="125">
        <f>+IFERROR(VLOOKUP(L1726,'TB mapping'!A:D,4,0),0)</f>
        <v>0</v>
      </c>
      <c r="C1726" s="125">
        <f>+IFERROR(VLOOKUP(L1726,'TB mapping'!A:C,3,0),0)</f>
        <v>5.5</v>
      </c>
      <c r="D1726" s="125" t="str">
        <f t="shared" si="184"/>
        <v>LIC400</v>
      </c>
      <c r="E1726" s="125" t="str">
        <f t="shared" si="185"/>
        <v>LIC405.5</v>
      </c>
      <c r="F1726" s="158" t="str">
        <f>+VLOOKUP(H1726,'code mapping'!A:C,3,0)</f>
        <v>LIC40</v>
      </c>
      <c r="G1726" s="127" t="s">
        <v>453</v>
      </c>
      <c r="H1726" s="127" t="s">
        <v>729</v>
      </c>
      <c r="I1726" s="127" t="s">
        <v>63</v>
      </c>
      <c r="J1726" s="128">
        <v>460000</v>
      </c>
      <c r="K1726" s="127" t="s">
        <v>539</v>
      </c>
      <c r="L1726" s="151">
        <v>455103</v>
      </c>
      <c r="M1726" s="128">
        <v>0</v>
      </c>
      <c r="N1726" s="127" t="s">
        <v>540</v>
      </c>
      <c r="O1726" s="127" t="s">
        <v>457</v>
      </c>
      <c r="P1726" s="128">
        <v>0</v>
      </c>
      <c r="Q1726" s="128">
        <v>3142.93</v>
      </c>
      <c r="R1726" s="128">
        <v>0</v>
      </c>
      <c r="S1726" s="128">
        <v>0</v>
      </c>
      <c r="T1726" s="128">
        <v>0</v>
      </c>
      <c r="U1726" s="128">
        <v>3142.93</v>
      </c>
      <c r="V1726" s="128">
        <v>0</v>
      </c>
      <c r="W1726" s="128">
        <v>3142.93</v>
      </c>
      <c r="X1726" s="128">
        <v>0</v>
      </c>
      <c r="Y1726" s="128">
        <v>0</v>
      </c>
      <c r="Z1726" s="128">
        <v>0</v>
      </c>
      <c r="AA1726" s="128">
        <v>3142.93</v>
      </c>
      <c r="AB1726" s="126">
        <f t="shared" si="186"/>
        <v>-3.1429299999999999E-4</v>
      </c>
      <c r="AC1726" s="122" t="s">
        <v>1838</v>
      </c>
      <c r="AD1726" s="123">
        <f t="shared" si="182"/>
        <v>-3.1429299999999999E-4</v>
      </c>
    </row>
    <row r="1727" spans="1:30" ht="12.75" hidden="1" customHeight="1">
      <c r="A1727" s="125" t="str">
        <f t="shared" si="183"/>
        <v>LIC40Other Income</v>
      </c>
      <c r="B1727" s="125">
        <f>+IFERROR(VLOOKUP(L1727,'TB mapping'!A:D,4,0),0)</f>
        <v>0</v>
      </c>
      <c r="C1727" s="125">
        <f>+IFERROR(VLOOKUP(L1727,'TB mapping'!A:C,3,0),0)</f>
        <v>5.5</v>
      </c>
      <c r="D1727" s="125" t="str">
        <f t="shared" si="184"/>
        <v>LIC400</v>
      </c>
      <c r="E1727" s="125" t="str">
        <f t="shared" si="185"/>
        <v>LIC405.5</v>
      </c>
      <c r="F1727" s="158" t="str">
        <f>+VLOOKUP(H1727,'code mapping'!A:C,3,0)</f>
        <v>LIC40</v>
      </c>
      <c r="G1727" s="127" t="s">
        <v>453</v>
      </c>
      <c r="H1727" s="127" t="s">
        <v>729</v>
      </c>
      <c r="I1727" s="127" t="s">
        <v>63</v>
      </c>
      <c r="J1727" s="128">
        <v>460000</v>
      </c>
      <c r="K1727" s="127" t="s">
        <v>539</v>
      </c>
      <c r="L1727" s="151">
        <v>460000</v>
      </c>
      <c r="M1727" s="128">
        <v>0</v>
      </c>
      <c r="N1727" s="127" t="s">
        <v>541</v>
      </c>
      <c r="O1727" s="127" t="s">
        <v>457</v>
      </c>
      <c r="P1727" s="128">
        <v>-2827581.94</v>
      </c>
      <c r="Q1727" s="128">
        <v>0</v>
      </c>
      <c r="R1727" s="128">
        <v>0</v>
      </c>
      <c r="S1727" s="128">
        <v>0</v>
      </c>
      <c r="T1727" s="128">
        <v>-2827581.94</v>
      </c>
      <c r="U1727" s="128">
        <v>0</v>
      </c>
      <c r="V1727" s="128">
        <v>-2827581.94</v>
      </c>
      <c r="W1727" s="128">
        <v>0</v>
      </c>
      <c r="X1727" s="128">
        <v>0</v>
      </c>
      <c r="Y1727" s="128">
        <v>0</v>
      </c>
      <c r="Z1727" s="128">
        <v>-2827581.94</v>
      </c>
      <c r="AA1727" s="287">
        <v>2827581.94</v>
      </c>
      <c r="AB1727" s="126">
        <f t="shared" si="186"/>
        <v>0</v>
      </c>
      <c r="AC1727" s="122" t="s">
        <v>1838</v>
      </c>
      <c r="AD1727" s="123">
        <f t="shared" si="182"/>
        <v>-3.1429299999999999E-4</v>
      </c>
    </row>
    <row r="1728" spans="1:30" ht="12.75" hidden="1" customHeight="1">
      <c r="A1728" s="125" t="str">
        <f t="shared" si="183"/>
        <v>LIC40Interplan Adjustment- RG</v>
      </c>
      <c r="B1728" s="125">
        <f>+IFERROR(VLOOKUP(L1728,'TB mapping'!A:D,4,0),0)</f>
        <v>0</v>
      </c>
      <c r="C1728" s="125">
        <f>+IFERROR(VLOOKUP(L1728,'TB mapping'!A:C,3,0),0)</f>
        <v>5.5</v>
      </c>
      <c r="D1728" s="125" t="str">
        <f t="shared" si="184"/>
        <v>LIC400</v>
      </c>
      <c r="E1728" s="125" t="str">
        <f t="shared" si="185"/>
        <v>LIC405.5</v>
      </c>
      <c r="F1728" s="158" t="str">
        <f>+VLOOKUP(H1728,'code mapping'!A:C,3,0)</f>
        <v>LIC40</v>
      </c>
      <c r="G1728" s="127" t="s">
        <v>453</v>
      </c>
      <c r="H1728" s="127" t="s">
        <v>729</v>
      </c>
      <c r="I1728" s="127" t="s">
        <v>63</v>
      </c>
      <c r="J1728" s="128">
        <v>460000</v>
      </c>
      <c r="K1728" s="127" t="s">
        <v>539</v>
      </c>
      <c r="L1728" s="151">
        <v>460101</v>
      </c>
      <c r="M1728" s="128">
        <v>0</v>
      </c>
      <c r="N1728" s="127" t="s">
        <v>542</v>
      </c>
      <c r="O1728" s="127" t="s">
        <v>457</v>
      </c>
      <c r="P1728" s="128">
        <v>0</v>
      </c>
      <c r="Q1728" s="128">
        <v>676.62</v>
      </c>
      <c r="R1728" s="128">
        <v>0</v>
      </c>
      <c r="S1728" s="128">
        <v>0</v>
      </c>
      <c r="T1728" s="128">
        <v>0</v>
      </c>
      <c r="U1728" s="128">
        <v>676.62</v>
      </c>
      <c r="V1728" s="128">
        <v>0</v>
      </c>
      <c r="W1728" s="128">
        <v>676.62</v>
      </c>
      <c r="X1728" s="128">
        <v>0</v>
      </c>
      <c r="Y1728" s="128">
        <v>0</v>
      </c>
      <c r="Z1728" s="128">
        <v>0</v>
      </c>
      <c r="AA1728" s="128">
        <v>676.62</v>
      </c>
      <c r="AB1728" s="126">
        <f t="shared" si="186"/>
        <v>-6.7662000000000004E-5</v>
      </c>
      <c r="AC1728" s="122" t="s">
        <v>1838</v>
      </c>
      <c r="AD1728" s="123">
        <f t="shared" si="182"/>
        <v>-3.1429299999999999E-4</v>
      </c>
    </row>
    <row r="1729" spans="1:30" ht="12.75" hidden="1" customHeight="1">
      <c r="A1729" s="125" t="str">
        <f t="shared" si="183"/>
        <v>LIC40Interplan Adjustment- RDD</v>
      </c>
      <c r="B1729" s="125">
        <f>+IFERROR(VLOOKUP(L1729,'TB mapping'!A:D,4,0),0)</f>
        <v>0</v>
      </c>
      <c r="C1729" s="125">
        <f>+IFERROR(VLOOKUP(L1729,'TB mapping'!A:C,3,0),0)</f>
        <v>5.5</v>
      </c>
      <c r="D1729" s="125" t="str">
        <f t="shared" si="184"/>
        <v>LIC400</v>
      </c>
      <c r="E1729" s="125" t="str">
        <f t="shared" si="185"/>
        <v>LIC405.5</v>
      </c>
      <c r="F1729" s="158" t="str">
        <f>+VLOOKUP(H1729,'code mapping'!A:C,3,0)</f>
        <v>LIC40</v>
      </c>
      <c r="G1729" s="127" t="s">
        <v>453</v>
      </c>
      <c r="H1729" s="127" t="s">
        <v>729</v>
      </c>
      <c r="I1729" s="127" t="s">
        <v>63</v>
      </c>
      <c r="J1729" s="128">
        <v>460000</v>
      </c>
      <c r="K1729" s="127" t="s">
        <v>539</v>
      </c>
      <c r="L1729" s="151">
        <v>460112</v>
      </c>
      <c r="M1729" s="128">
        <v>0</v>
      </c>
      <c r="N1729" s="127" t="s">
        <v>665</v>
      </c>
      <c r="O1729" s="127" t="s">
        <v>457</v>
      </c>
      <c r="P1729" s="128">
        <v>0</v>
      </c>
      <c r="Q1729" s="128">
        <v>224.95</v>
      </c>
      <c r="R1729" s="128">
        <v>0</v>
      </c>
      <c r="S1729" s="128">
        <v>0</v>
      </c>
      <c r="T1729" s="128">
        <v>0</v>
      </c>
      <c r="U1729" s="128">
        <v>224.95</v>
      </c>
      <c r="V1729" s="128">
        <v>0</v>
      </c>
      <c r="W1729" s="128">
        <v>224.95</v>
      </c>
      <c r="X1729" s="128">
        <v>0</v>
      </c>
      <c r="Y1729" s="128">
        <v>0</v>
      </c>
      <c r="Z1729" s="128">
        <v>0</v>
      </c>
      <c r="AA1729" s="128">
        <v>224.95</v>
      </c>
      <c r="AB1729" s="126">
        <f t="shared" si="186"/>
        <v>-2.2494999999999997E-5</v>
      </c>
      <c r="AC1729" s="122" t="s">
        <v>1838</v>
      </c>
      <c r="AD1729" s="123">
        <f t="shared" si="182"/>
        <v>-3.1429299999999999E-4</v>
      </c>
    </row>
    <row r="1730" spans="1:30" ht="12.75" hidden="1" customHeight="1">
      <c r="A1730" s="125" t="str">
        <f t="shared" si="183"/>
        <v>LIC40Interplan Adjustment- RWD</v>
      </c>
      <c r="B1730" s="125">
        <f>+IFERROR(VLOOKUP(L1730,'TB mapping'!A:D,4,0),0)</f>
        <v>0</v>
      </c>
      <c r="C1730" s="125">
        <f>+IFERROR(VLOOKUP(L1730,'TB mapping'!A:C,3,0),0)</f>
        <v>5.5</v>
      </c>
      <c r="D1730" s="125" t="str">
        <f t="shared" si="184"/>
        <v>LIC400</v>
      </c>
      <c r="E1730" s="125" t="str">
        <f t="shared" si="185"/>
        <v>LIC405.5</v>
      </c>
      <c r="F1730" s="158" t="str">
        <f>+VLOOKUP(H1730,'code mapping'!A:C,3,0)</f>
        <v>LIC40</v>
      </c>
      <c r="G1730" s="127" t="s">
        <v>453</v>
      </c>
      <c r="H1730" s="127" t="s">
        <v>729</v>
      </c>
      <c r="I1730" s="127" t="s">
        <v>63</v>
      </c>
      <c r="J1730" s="128">
        <v>460000</v>
      </c>
      <c r="K1730" s="127" t="s">
        <v>539</v>
      </c>
      <c r="L1730" s="151">
        <v>460114</v>
      </c>
      <c r="M1730" s="128">
        <v>0</v>
      </c>
      <c r="N1730" s="127" t="s">
        <v>666</v>
      </c>
      <c r="O1730" s="127" t="s">
        <v>457</v>
      </c>
      <c r="P1730" s="128">
        <v>0</v>
      </c>
      <c r="Q1730" s="128">
        <v>16.12</v>
      </c>
      <c r="R1730" s="128">
        <v>0</v>
      </c>
      <c r="S1730" s="128">
        <v>0</v>
      </c>
      <c r="T1730" s="128">
        <v>0</v>
      </c>
      <c r="U1730" s="128">
        <v>16.12</v>
      </c>
      <c r="V1730" s="128">
        <v>0</v>
      </c>
      <c r="W1730" s="128">
        <v>16.12</v>
      </c>
      <c r="X1730" s="128">
        <v>0</v>
      </c>
      <c r="Y1730" s="128">
        <v>0</v>
      </c>
      <c r="Z1730" s="128">
        <v>0</v>
      </c>
      <c r="AA1730" s="128">
        <v>16.12</v>
      </c>
      <c r="AB1730" s="126">
        <f t="shared" si="186"/>
        <v>-1.6120000000000002E-6</v>
      </c>
      <c r="AC1730" s="122" t="s">
        <v>1838</v>
      </c>
      <c r="AD1730" s="123">
        <f t="shared" si="182"/>
        <v>-3.1429299999999999E-4</v>
      </c>
    </row>
    <row r="1731" spans="1:30" ht="12.75" hidden="1" customHeight="1">
      <c r="A1731" s="125" t="str">
        <f t="shared" si="183"/>
        <v>LIC40Interplan Adjustment- RMD</v>
      </c>
      <c r="B1731" s="125">
        <f>+IFERROR(VLOOKUP(L1731,'TB mapping'!A:D,4,0),0)</f>
        <v>0</v>
      </c>
      <c r="C1731" s="125">
        <f>+IFERROR(VLOOKUP(L1731,'TB mapping'!A:C,3,0),0)</f>
        <v>5.5</v>
      </c>
      <c r="D1731" s="125" t="str">
        <f t="shared" si="184"/>
        <v>LIC400</v>
      </c>
      <c r="E1731" s="125" t="str">
        <f t="shared" si="185"/>
        <v>LIC405.5</v>
      </c>
      <c r="F1731" s="158" t="str">
        <f>+VLOOKUP(H1731,'code mapping'!A:C,3,0)</f>
        <v>LIC40</v>
      </c>
      <c r="G1731" s="127" t="s">
        <v>453</v>
      </c>
      <c r="H1731" s="127" t="s">
        <v>729</v>
      </c>
      <c r="I1731" s="127" t="s">
        <v>63</v>
      </c>
      <c r="J1731" s="128">
        <v>460000</v>
      </c>
      <c r="K1731" s="127" t="s">
        <v>539</v>
      </c>
      <c r="L1731" s="151">
        <v>460128</v>
      </c>
      <c r="M1731" s="128">
        <v>0</v>
      </c>
      <c r="N1731" s="127" t="s">
        <v>667</v>
      </c>
      <c r="O1731" s="127" t="s">
        <v>457</v>
      </c>
      <c r="P1731" s="128">
        <v>-88.02</v>
      </c>
      <c r="Q1731" s="128">
        <v>0</v>
      </c>
      <c r="R1731" s="128">
        <v>0</v>
      </c>
      <c r="S1731" s="128">
        <v>0</v>
      </c>
      <c r="T1731" s="128">
        <v>-88.02</v>
      </c>
      <c r="U1731" s="128">
        <v>0</v>
      </c>
      <c r="V1731" s="128">
        <v>-88.02</v>
      </c>
      <c r="W1731" s="128">
        <v>0</v>
      </c>
      <c r="X1731" s="128">
        <v>0</v>
      </c>
      <c r="Y1731" s="128">
        <v>0</v>
      </c>
      <c r="Z1731" s="128">
        <v>-88.02</v>
      </c>
      <c r="AA1731" s="128">
        <v>0</v>
      </c>
      <c r="AB1731" s="126">
        <f t="shared" si="186"/>
        <v>8.8019999999999998E-6</v>
      </c>
      <c r="AC1731" s="122" t="s">
        <v>1838</v>
      </c>
      <c r="AD1731" s="123">
        <f t="shared" si="182"/>
        <v>-3.1429299999999999E-4</v>
      </c>
    </row>
    <row r="1732" spans="1:30" ht="12.75" hidden="1" customHeight="1">
      <c r="A1732" s="125" t="str">
        <f t="shared" si="183"/>
        <v>LIC40Interplan Adjustment- GDP</v>
      </c>
      <c r="B1732" s="125">
        <f>+IFERROR(VLOOKUP(L1732,'TB mapping'!A:D,4,0),0)</f>
        <v>0</v>
      </c>
      <c r="C1732" s="125">
        <f>+IFERROR(VLOOKUP(L1732,'TB mapping'!A:C,3,0),0)</f>
        <v>5.5</v>
      </c>
      <c r="D1732" s="125" t="str">
        <f t="shared" si="184"/>
        <v>LIC400</v>
      </c>
      <c r="E1732" s="125" t="str">
        <f t="shared" si="185"/>
        <v>LIC405.5</v>
      </c>
      <c r="F1732" s="158" t="str">
        <f>+VLOOKUP(H1732,'code mapping'!A:C,3,0)</f>
        <v>LIC40</v>
      </c>
      <c r="G1732" s="127" t="s">
        <v>453</v>
      </c>
      <c r="H1732" s="127" t="s">
        <v>729</v>
      </c>
      <c r="I1732" s="127" t="s">
        <v>63</v>
      </c>
      <c r="J1732" s="128">
        <v>460000</v>
      </c>
      <c r="K1732" s="127" t="s">
        <v>539</v>
      </c>
      <c r="L1732" s="151">
        <v>460143</v>
      </c>
      <c r="M1732" s="128">
        <v>0</v>
      </c>
      <c r="N1732" s="127" t="s">
        <v>544</v>
      </c>
      <c r="O1732" s="127" t="s">
        <v>457</v>
      </c>
      <c r="P1732" s="128">
        <v>-1010.4</v>
      </c>
      <c r="Q1732" s="128">
        <v>0</v>
      </c>
      <c r="R1732" s="128">
        <v>0</v>
      </c>
      <c r="S1732" s="128">
        <v>0</v>
      </c>
      <c r="T1732" s="128">
        <v>-1010.4</v>
      </c>
      <c r="U1732" s="128">
        <v>0</v>
      </c>
      <c r="V1732" s="128">
        <v>-1010.4</v>
      </c>
      <c r="W1732" s="128">
        <v>0</v>
      </c>
      <c r="X1732" s="128">
        <v>0</v>
      </c>
      <c r="Y1732" s="128">
        <v>0</v>
      </c>
      <c r="Z1732" s="128">
        <v>-1010.4</v>
      </c>
      <c r="AA1732" s="128">
        <v>0</v>
      </c>
      <c r="AB1732" s="126">
        <f t="shared" si="186"/>
        <v>1.0103999999999999E-4</v>
      </c>
      <c r="AC1732" s="122" t="s">
        <v>1838</v>
      </c>
      <c r="AD1732" s="123">
        <f t="shared" si="182"/>
        <v>-3.1429299999999999E-4</v>
      </c>
    </row>
    <row r="1733" spans="1:30" ht="12.75" hidden="1" customHeight="1">
      <c r="A1733" s="125" t="str">
        <f t="shared" si="183"/>
        <v>LIC40Interplan Adjustment- MDP</v>
      </c>
      <c r="B1733" s="125">
        <f>+IFERROR(VLOOKUP(L1733,'TB mapping'!A:D,4,0),0)</f>
        <v>0</v>
      </c>
      <c r="C1733" s="125">
        <f>+IFERROR(VLOOKUP(L1733,'TB mapping'!A:C,3,0),0)</f>
        <v>5.5</v>
      </c>
      <c r="D1733" s="125" t="str">
        <f t="shared" si="184"/>
        <v>LIC400</v>
      </c>
      <c r="E1733" s="125" t="str">
        <f t="shared" si="185"/>
        <v>LIC405.5</v>
      </c>
      <c r="F1733" s="158" t="str">
        <f>+VLOOKUP(H1733,'code mapping'!A:C,3,0)</f>
        <v>LIC40</v>
      </c>
      <c r="G1733" s="127" t="s">
        <v>453</v>
      </c>
      <c r="H1733" s="127" t="s">
        <v>729</v>
      </c>
      <c r="I1733" s="127" t="s">
        <v>63</v>
      </c>
      <c r="J1733" s="128">
        <v>460000</v>
      </c>
      <c r="K1733" s="127" t="s">
        <v>539</v>
      </c>
      <c r="L1733" s="151">
        <v>460146</v>
      </c>
      <c r="M1733" s="128">
        <v>0</v>
      </c>
      <c r="N1733" s="127" t="s">
        <v>668</v>
      </c>
      <c r="O1733" s="127" t="s">
        <v>457</v>
      </c>
      <c r="P1733" s="128">
        <v>0</v>
      </c>
      <c r="Q1733" s="128">
        <v>0.81</v>
      </c>
      <c r="R1733" s="128">
        <v>0</v>
      </c>
      <c r="S1733" s="128">
        <v>0</v>
      </c>
      <c r="T1733" s="128">
        <v>0</v>
      </c>
      <c r="U1733" s="128">
        <v>0.81</v>
      </c>
      <c r="V1733" s="128">
        <v>0</v>
      </c>
      <c r="W1733" s="128">
        <v>0.81</v>
      </c>
      <c r="X1733" s="128">
        <v>0</v>
      </c>
      <c r="Y1733" s="128">
        <v>0</v>
      </c>
      <c r="Z1733" s="128">
        <v>0</v>
      </c>
      <c r="AA1733" s="128">
        <v>0.81</v>
      </c>
      <c r="AB1733" s="126">
        <f t="shared" si="186"/>
        <v>-8.1000000000000011E-8</v>
      </c>
      <c r="AC1733" s="122" t="s">
        <v>1838</v>
      </c>
      <c r="AD1733" s="123">
        <f t="shared" si="182"/>
        <v>-3.1429299999999999E-4</v>
      </c>
    </row>
    <row r="1734" spans="1:30" ht="12.75" hidden="1" customHeight="1">
      <c r="A1734" s="125" t="str">
        <f t="shared" si="183"/>
        <v>LIC40Interplan Adjustment- DPD</v>
      </c>
      <c r="B1734" s="125">
        <f>+IFERROR(VLOOKUP(L1734,'TB mapping'!A:D,4,0),0)</f>
        <v>0</v>
      </c>
      <c r="C1734" s="125">
        <f>+IFERROR(VLOOKUP(L1734,'TB mapping'!A:C,3,0),0)</f>
        <v>5.5</v>
      </c>
      <c r="D1734" s="125" t="str">
        <f t="shared" si="184"/>
        <v>LIC400</v>
      </c>
      <c r="E1734" s="125" t="str">
        <f t="shared" si="185"/>
        <v>LIC405.5</v>
      </c>
      <c r="F1734" s="158" t="str">
        <f>+VLOOKUP(H1734,'code mapping'!A:C,3,0)</f>
        <v>LIC40</v>
      </c>
      <c r="G1734" s="127" t="s">
        <v>453</v>
      </c>
      <c r="H1734" s="127" t="s">
        <v>729</v>
      </c>
      <c r="I1734" s="127" t="s">
        <v>63</v>
      </c>
      <c r="J1734" s="128">
        <v>460000</v>
      </c>
      <c r="K1734" s="127" t="s">
        <v>539</v>
      </c>
      <c r="L1734" s="151">
        <v>460164</v>
      </c>
      <c r="M1734" s="128">
        <v>0</v>
      </c>
      <c r="N1734" s="127" t="s">
        <v>669</v>
      </c>
      <c r="O1734" s="127" t="s">
        <v>457</v>
      </c>
      <c r="P1734" s="128">
        <v>0</v>
      </c>
      <c r="Q1734" s="128">
        <v>166.57</v>
      </c>
      <c r="R1734" s="128">
        <v>0</v>
      </c>
      <c r="S1734" s="128">
        <v>0</v>
      </c>
      <c r="T1734" s="128">
        <v>0</v>
      </c>
      <c r="U1734" s="128">
        <v>166.57</v>
      </c>
      <c r="V1734" s="128">
        <v>0</v>
      </c>
      <c r="W1734" s="128">
        <v>166.57</v>
      </c>
      <c r="X1734" s="128">
        <v>0</v>
      </c>
      <c r="Y1734" s="128">
        <v>0</v>
      </c>
      <c r="Z1734" s="128">
        <v>0</v>
      </c>
      <c r="AA1734" s="128">
        <v>166.57</v>
      </c>
      <c r="AB1734" s="126">
        <f t="shared" si="186"/>
        <v>-1.6657E-5</v>
      </c>
      <c r="AC1734" s="122" t="s">
        <v>1838</v>
      </c>
      <c r="AD1734" s="123">
        <f t="shared" si="182"/>
        <v>-3.1429299999999999E-4</v>
      </c>
    </row>
    <row r="1735" spans="1:30" ht="12.75" hidden="1" customHeight="1">
      <c r="A1735" s="125" t="str">
        <f t="shared" si="183"/>
        <v>LIC40Interplan Adjustment- WDP</v>
      </c>
      <c r="B1735" s="125">
        <f>+IFERROR(VLOOKUP(L1735,'TB mapping'!A:D,4,0),0)</f>
        <v>0</v>
      </c>
      <c r="C1735" s="125">
        <f>+IFERROR(VLOOKUP(L1735,'TB mapping'!A:C,3,0),0)</f>
        <v>5.5</v>
      </c>
      <c r="D1735" s="125" t="str">
        <f t="shared" si="184"/>
        <v>LIC400</v>
      </c>
      <c r="E1735" s="125" t="str">
        <f t="shared" si="185"/>
        <v>LIC405.5</v>
      </c>
      <c r="F1735" s="158" t="str">
        <f>+VLOOKUP(H1735,'code mapping'!A:C,3,0)</f>
        <v>LIC40</v>
      </c>
      <c r="G1735" s="127" t="s">
        <v>453</v>
      </c>
      <c r="H1735" s="127" t="s">
        <v>729</v>
      </c>
      <c r="I1735" s="127" t="s">
        <v>63</v>
      </c>
      <c r="J1735" s="128">
        <v>460000</v>
      </c>
      <c r="K1735" s="127" t="s">
        <v>539</v>
      </c>
      <c r="L1735" s="151">
        <v>460166</v>
      </c>
      <c r="M1735" s="128">
        <v>0</v>
      </c>
      <c r="N1735" s="127" t="s">
        <v>670</v>
      </c>
      <c r="O1735" s="127" t="s">
        <v>457</v>
      </c>
      <c r="P1735" s="128">
        <v>0</v>
      </c>
      <c r="Q1735" s="128">
        <v>13.35</v>
      </c>
      <c r="R1735" s="128">
        <v>0</v>
      </c>
      <c r="S1735" s="128">
        <v>0</v>
      </c>
      <c r="T1735" s="128">
        <v>0</v>
      </c>
      <c r="U1735" s="128">
        <v>13.35</v>
      </c>
      <c r="V1735" s="128">
        <v>0</v>
      </c>
      <c r="W1735" s="128">
        <v>13.35</v>
      </c>
      <c r="X1735" s="128">
        <v>0</v>
      </c>
      <c r="Y1735" s="128">
        <v>0</v>
      </c>
      <c r="Z1735" s="128">
        <v>0</v>
      </c>
      <c r="AA1735" s="128">
        <v>13.35</v>
      </c>
      <c r="AB1735" s="126">
        <f t="shared" si="186"/>
        <v>-1.3349999999999999E-6</v>
      </c>
      <c r="AC1735" s="122" t="s">
        <v>1838</v>
      </c>
      <c r="AD1735" s="123">
        <f t="shared" si="182"/>
        <v>-3.1429299999999999E-4</v>
      </c>
    </row>
    <row r="1736" spans="1:30" ht="12.75" hidden="1" customHeight="1">
      <c r="A1736" s="125" t="str">
        <f t="shared" si="183"/>
        <v>LIC40Interest Expense</v>
      </c>
      <c r="B1736" s="125">
        <f>+IFERROR(VLOOKUP(L1736,'TB mapping'!A:D,4,0),0)</f>
        <v>0</v>
      </c>
      <c r="C1736" s="125">
        <f>+IFERROR(VLOOKUP(L1736,'TB mapping'!A:C,3,0),0)</f>
        <v>6.3</v>
      </c>
      <c r="D1736" s="125" t="str">
        <f t="shared" si="184"/>
        <v>LIC400</v>
      </c>
      <c r="E1736" s="125" t="str">
        <f t="shared" si="185"/>
        <v>LIC406.3</v>
      </c>
      <c r="F1736" s="158" t="str">
        <f>+VLOOKUP(H1736,'code mapping'!A:C,3,0)</f>
        <v>LIC40</v>
      </c>
      <c r="G1736" s="127" t="s">
        <v>453</v>
      </c>
      <c r="H1736" s="127" t="s">
        <v>729</v>
      </c>
      <c r="I1736" s="127" t="s">
        <v>63</v>
      </c>
      <c r="J1736" s="128">
        <v>460000</v>
      </c>
      <c r="K1736" s="127" t="s">
        <v>539</v>
      </c>
      <c r="L1736" s="151">
        <v>553139</v>
      </c>
      <c r="M1736" s="128">
        <v>0</v>
      </c>
      <c r="N1736" s="127" t="s">
        <v>739</v>
      </c>
      <c r="O1736" s="127" t="s">
        <v>457</v>
      </c>
      <c r="P1736" s="128">
        <v>-2398441.81</v>
      </c>
      <c r="Q1736" s="128">
        <v>0</v>
      </c>
      <c r="R1736" s="128">
        <v>0</v>
      </c>
      <c r="S1736" s="128">
        <v>0</v>
      </c>
      <c r="T1736" s="128">
        <v>-2398441.81</v>
      </c>
      <c r="U1736" s="128">
        <v>0</v>
      </c>
      <c r="V1736" s="128">
        <v>-2398441.81</v>
      </c>
      <c r="W1736" s="128">
        <v>0</v>
      </c>
      <c r="X1736" s="128">
        <v>0</v>
      </c>
      <c r="Y1736" s="128">
        <v>0</v>
      </c>
      <c r="Z1736" s="128">
        <v>-2398441.81</v>
      </c>
      <c r="AA1736" s="128">
        <v>0</v>
      </c>
      <c r="AB1736" s="126">
        <f t="shared" si="186"/>
        <v>0.23984418100000002</v>
      </c>
      <c r="AC1736" s="122" t="s">
        <v>1838</v>
      </c>
      <c r="AD1736" s="123">
        <f t="shared" si="182"/>
        <v>17.025197822999999</v>
      </c>
    </row>
    <row r="1737" spans="1:30" ht="12.75" hidden="1" customHeight="1">
      <c r="A1737" s="125" t="str">
        <f t="shared" si="183"/>
        <v>LIC40R/L L/P - Corp Bond/Debenture</v>
      </c>
      <c r="B1737" s="125">
        <f>+IFERROR(VLOOKUP(L1737,'TB mapping'!A:D,4,0),0)</f>
        <v>0</v>
      </c>
      <c r="C1737" s="125">
        <f>+IFERROR(VLOOKUP(L1737,'TB mapping'!A:C,3,0),0)</f>
        <v>5.3</v>
      </c>
      <c r="D1737" s="125" t="str">
        <f t="shared" si="184"/>
        <v>LIC400</v>
      </c>
      <c r="E1737" s="125" t="str">
        <f t="shared" si="185"/>
        <v>LIC405.3</v>
      </c>
      <c r="F1737" s="158" t="str">
        <f>+VLOOKUP(H1737,'code mapping'!A:C,3,0)</f>
        <v>LIC40</v>
      </c>
      <c r="G1737" s="127" t="s">
        <v>453</v>
      </c>
      <c r="H1737" s="127" t="s">
        <v>729</v>
      </c>
      <c r="I1737" s="127" t="s">
        <v>63</v>
      </c>
      <c r="J1737" s="128">
        <v>510000</v>
      </c>
      <c r="K1737" s="127" t="s">
        <v>546</v>
      </c>
      <c r="L1737" s="151">
        <v>512120</v>
      </c>
      <c r="M1737" s="128">
        <v>0</v>
      </c>
      <c r="N1737" s="127" t="s">
        <v>547</v>
      </c>
      <c r="O1737" s="127" t="s">
        <v>457</v>
      </c>
      <c r="P1737" s="128">
        <v>-1742991</v>
      </c>
      <c r="Q1737" s="128">
        <v>0</v>
      </c>
      <c r="R1737" s="128">
        <v>0</v>
      </c>
      <c r="S1737" s="128">
        <v>0</v>
      </c>
      <c r="T1737" s="128">
        <v>-1742991</v>
      </c>
      <c r="U1737" s="128">
        <v>0</v>
      </c>
      <c r="V1737" s="128">
        <v>-1742991</v>
      </c>
      <c r="W1737" s="128">
        <v>0</v>
      </c>
      <c r="X1737" s="128">
        <v>0</v>
      </c>
      <c r="Y1737" s="128">
        <v>0</v>
      </c>
      <c r="Z1737" s="128">
        <v>-1742991</v>
      </c>
      <c r="AA1737" s="128">
        <v>0</v>
      </c>
      <c r="AB1737" s="126">
        <f t="shared" si="186"/>
        <v>0.17429910000000001</v>
      </c>
      <c r="AC1737" s="122" t="s">
        <v>1838</v>
      </c>
      <c r="AD1737" s="123">
        <f t="shared" si="182"/>
        <v>-6.4239321979999993</v>
      </c>
    </row>
    <row r="1738" spans="1:30" ht="12.75" hidden="1" customHeight="1">
      <c r="A1738" s="125" t="str">
        <f t="shared" si="183"/>
        <v>LIC40R/L L/P - Government Bonds</v>
      </c>
      <c r="B1738" s="125">
        <f>+IFERROR(VLOOKUP(L1738,'TB mapping'!A:D,4,0),0)</f>
        <v>0</v>
      </c>
      <c r="C1738" s="125">
        <f>+IFERROR(VLOOKUP(L1738,'TB mapping'!A:C,3,0),0)</f>
        <v>5.3</v>
      </c>
      <c r="D1738" s="125" t="str">
        <f t="shared" si="184"/>
        <v>LIC400</v>
      </c>
      <c r="E1738" s="125" t="str">
        <f t="shared" si="185"/>
        <v>LIC405.3</v>
      </c>
      <c r="F1738" s="158" t="str">
        <f>+VLOOKUP(H1738,'code mapping'!A:C,3,0)</f>
        <v>LIC40</v>
      </c>
      <c r="G1738" s="127" t="s">
        <v>453</v>
      </c>
      <c r="H1738" s="127" t="s">
        <v>729</v>
      </c>
      <c r="I1738" s="127" t="s">
        <v>63</v>
      </c>
      <c r="J1738" s="128">
        <v>510000</v>
      </c>
      <c r="K1738" s="127" t="s">
        <v>546</v>
      </c>
      <c r="L1738" s="151">
        <v>512130</v>
      </c>
      <c r="M1738" s="128">
        <v>0</v>
      </c>
      <c r="N1738" s="127" t="s">
        <v>548</v>
      </c>
      <c r="O1738" s="127" t="s">
        <v>457</v>
      </c>
      <c r="P1738" s="128">
        <v>-21046068.75</v>
      </c>
      <c r="Q1738" s="128">
        <v>0</v>
      </c>
      <c r="R1738" s="128">
        <v>0</v>
      </c>
      <c r="S1738" s="128">
        <v>0</v>
      </c>
      <c r="T1738" s="128">
        <v>-21046068.75</v>
      </c>
      <c r="U1738" s="128">
        <v>0</v>
      </c>
      <c r="V1738" s="128">
        <v>-21046068.75</v>
      </c>
      <c r="W1738" s="128">
        <v>0</v>
      </c>
      <c r="X1738" s="128">
        <v>0</v>
      </c>
      <c r="Y1738" s="128">
        <v>0</v>
      </c>
      <c r="Z1738" s="128">
        <v>-21046068.75</v>
      </c>
      <c r="AA1738" s="128">
        <v>0</v>
      </c>
      <c r="AB1738" s="126">
        <f t="shared" si="186"/>
        <v>2.104606875</v>
      </c>
      <c r="AC1738" s="122" t="s">
        <v>1838</v>
      </c>
      <c r="AD1738" s="123">
        <f t="shared" si="182"/>
        <v>-6.4239321979999993</v>
      </c>
    </row>
    <row r="1739" spans="1:30" ht="12.75" hidden="1" customHeight="1">
      <c r="A1739" s="125" t="str">
        <f t="shared" si="183"/>
        <v>LIC40R/L L/P - CBLO</v>
      </c>
      <c r="B1739" s="125">
        <f>+IFERROR(VLOOKUP(L1739,'TB mapping'!A:D,4,0),0)</f>
        <v>0</v>
      </c>
      <c r="C1739" s="125">
        <f>+IFERROR(VLOOKUP(L1739,'TB mapping'!A:C,3,0),0)</f>
        <v>5.3</v>
      </c>
      <c r="D1739" s="125" t="str">
        <f t="shared" si="184"/>
        <v>LIC400</v>
      </c>
      <c r="E1739" s="125" t="str">
        <f t="shared" si="185"/>
        <v>LIC405.3</v>
      </c>
      <c r="F1739" s="158" t="str">
        <f>+VLOOKUP(H1739,'code mapping'!A:C,3,0)</f>
        <v>LIC40</v>
      </c>
      <c r="G1739" s="127" t="s">
        <v>453</v>
      </c>
      <c r="H1739" s="127" t="s">
        <v>729</v>
      </c>
      <c r="I1739" s="127" t="s">
        <v>63</v>
      </c>
      <c r="J1739" s="128">
        <v>510000</v>
      </c>
      <c r="K1739" s="127" t="s">
        <v>546</v>
      </c>
      <c r="L1739" s="151">
        <v>512228</v>
      </c>
      <c r="M1739" s="128">
        <v>0</v>
      </c>
      <c r="N1739" s="127" t="s">
        <v>740</v>
      </c>
      <c r="O1739" s="127" t="s">
        <v>457</v>
      </c>
      <c r="P1739" s="128">
        <v>-2318.85</v>
      </c>
      <c r="Q1739" s="128">
        <v>0</v>
      </c>
      <c r="R1739" s="128">
        <v>0</v>
      </c>
      <c r="S1739" s="128">
        <v>0</v>
      </c>
      <c r="T1739" s="128">
        <v>-2318.85</v>
      </c>
      <c r="U1739" s="128">
        <v>0</v>
      </c>
      <c r="V1739" s="128">
        <v>-2318.85</v>
      </c>
      <c r="W1739" s="128">
        <v>0</v>
      </c>
      <c r="X1739" s="128">
        <v>0</v>
      </c>
      <c r="Y1739" s="128">
        <v>0</v>
      </c>
      <c r="Z1739" s="128">
        <v>-2318.85</v>
      </c>
      <c r="AA1739" s="128">
        <v>0</v>
      </c>
      <c r="AB1739" s="126">
        <f t="shared" si="186"/>
        <v>2.3188499999999998E-4</v>
      </c>
      <c r="AC1739" s="122" t="s">
        <v>1838</v>
      </c>
      <c r="AD1739" s="123">
        <f t="shared" si="182"/>
        <v>-6.4239321979999993</v>
      </c>
    </row>
    <row r="1740" spans="1:30" ht="12.75" hidden="1" customHeight="1">
      <c r="A1740" s="125" t="str">
        <f t="shared" si="183"/>
        <v>LIC40R/L Loss - Inter Sch Bond/Deb</v>
      </c>
      <c r="B1740" s="125">
        <f>+IFERROR(VLOOKUP(L1740,'TB mapping'!A:D,4,0),0)</f>
        <v>0</v>
      </c>
      <c r="C1740" s="125">
        <f>+IFERROR(VLOOKUP(L1740,'TB mapping'!A:C,3,0),0)</f>
        <v>5.4</v>
      </c>
      <c r="D1740" s="125" t="str">
        <f t="shared" si="184"/>
        <v>LIC400</v>
      </c>
      <c r="E1740" s="125" t="str">
        <f t="shared" si="185"/>
        <v>LIC405.4</v>
      </c>
      <c r="F1740" s="158" t="str">
        <f>+VLOOKUP(H1740,'code mapping'!A:C,3,0)</f>
        <v>LIC40</v>
      </c>
      <c r="G1740" s="127" t="s">
        <v>453</v>
      </c>
      <c r="H1740" s="127" t="s">
        <v>729</v>
      </c>
      <c r="I1740" s="127" t="s">
        <v>63</v>
      </c>
      <c r="J1740" s="128">
        <v>510000</v>
      </c>
      <c r="K1740" s="127" t="s">
        <v>546</v>
      </c>
      <c r="L1740" s="151">
        <v>527302</v>
      </c>
      <c r="M1740" s="128">
        <v>0</v>
      </c>
      <c r="N1740" s="127" t="s">
        <v>672</v>
      </c>
      <c r="O1740" s="127" t="s">
        <v>457</v>
      </c>
      <c r="P1740" s="128">
        <v>-3566500</v>
      </c>
      <c r="Q1740" s="128">
        <v>0</v>
      </c>
      <c r="R1740" s="128">
        <v>0</v>
      </c>
      <c r="S1740" s="128">
        <v>0</v>
      </c>
      <c r="T1740" s="128">
        <v>-3566500</v>
      </c>
      <c r="U1740" s="128">
        <v>0</v>
      </c>
      <c r="V1740" s="128">
        <v>-3566500</v>
      </c>
      <c r="W1740" s="128">
        <v>0</v>
      </c>
      <c r="X1740" s="128">
        <v>0</v>
      </c>
      <c r="Y1740" s="128">
        <v>0</v>
      </c>
      <c r="Z1740" s="128">
        <v>-3566500</v>
      </c>
      <c r="AA1740" s="128">
        <v>0</v>
      </c>
      <c r="AB1740" s="126">
        <f t="shared" si="186"/>
        <v>0.35665000000000002</v>
      </c>
      <c r="AC1740" s="122" t="s">
        <v>1838</v>
      </c>
      <c r="AD1740" s="123">
        <f t="shared" si="182"/>
        <v>0.39096743900000003</v>
      </c>
    </row>
    <row r="1741" spans="1:30" ht="12.75" hidden="1" customHeight="1">
      <c r="A1741" s="125" t="str">
        <f t="shared" si="183"/>
        <v>LIC40R/L Loss - Inter Scheme CD</v>
      </c>
      <c r="B1741" s="125">
        <f>+IFERROR(VLOOKUP(L1741,'TB mapping'!A:D,4,0),0)</f>
        <v>0</v>
      </c>
      <c r="C1741" s="125">
        <f>+IFERROR(VLOOKUP(L1741,'TB mapping'!A:C,3,0),0)</f>
        <v>5.4</v>
      </c>
      <c r="D1741" s="125" t="str">
        <f t="shared" si="184"/>
        <v>LIC400</v>
      </c>
      <c r="E1741" s="125" t="str">
        <f t="shared" si="185"/>
        <v>LIC405.4</v>
      </c>
      <c r="F1741" s="158" t="str">
        <f>+VLOOKUP(H1741,'code mapping'!A:C,3,0)</f>
        <v>LIC40</v>
      </c>
      <c r="G1741" s="127" t="s">
        <v>453</v>
      </c>
      <c r="H1741" s="127" t="s">
        <v>729</v>
      </c>
      <c r="I1741" s="127" t="s">
        <v>63</v>
      </c>
      <c r="J1741" s="128">
        <v>510000</v>
      </c>
      <c r="K1741" s="127" t="s">
        <v>546</v>
      </c>
      <c r="L1741" s="151">
        <v>527310</v>
      </c>
      <c r="M1741" s="128">
        <v>0</v>
      </c>
      <c r="N1741" s="127" t="s">
        <v>741</v>
      </c>
      <c r="O1741" s="127" t="s">
        <v>457</v>
      </c>
      <c r="P1741" s="128">
        <v>-4598875</v>
      </c>
      <c r="Q1741" s="128">
        <v>0</v>
      </c>
      <c r="R1741" s="128">
        <v>0</v>
      </c>
      <c r="S1741" s="128">
        <v>0</v>
      </c>
      <c r="T1741" s="128">
        <v>-4598875</v>
      </c>
      <c r="U1741" s="128">
        <v>0</v>
      </c>
      <c r="V1741" s="128">
        <v>-4598875</v>
      </c>
      <c r="W1741" s="128">
        <v>0</v>
      </c>
      <c r="X1741" s="128">
        <v>0</v>
      </c>
      <c r="Y1741" s="128">
        <v>0</v>
      </c>
      <c r="Z1741" s="128">
        <v>-4598875</v>
      </c>
      <c r="AA1741" s="128">
        <v>0</v>
      </c>
      <c r="AB1741" s="126">
        <f t="shared" si="186"/>
        <v>0.4598875</v>
      </c>
      <c r="AC1741" s="122" t="s">
        <v>1838</v>
      </c>
      <c r="AD1741" s="123">
        <f t="shared" si="182"/>
        <v>0.39096743900000003</v>
      </c>
    </row>
    <row r="1742" spans="1:30" ht="12.75" hidden="1" customHeight="1">
      <c r="A1742" s="125" t="str">
        <f t="shared" si="183"/>
        <v>LIC40R/L Loss - Inter Scheme CP</v>
      </c>
      <c r="B1742" s="125">
        <f>+IFERROR(VLOOKUP(L1742,'TB mapping'!A:D,4,0),0)</f>
        <v>0</v>
      </c>
      <c r="C1742" s="125">
        <f>+IFERROR(VLOOKUP(L1742,'TB mapping'!A:C,3,0),0)</f>
        <v>5.4</v>
      </c>
      <c r="D1742" s="125" t="str">
        <f t="shared" si="184"/>
        <v>LIC400</v>
      </c>
      <c r="E1742" s="125" t="str">
        <f t="shared" si="185"/>
        <v>LIC405.4</v>
      </c>
      <c r="F1742" s="158" t="str">
        <f>+VLOOKUP(H1742,'code mapping'!A:C,3,0)</f>
        <v>LIC40</v>
      </c>
      <c r="G1742" s="127" t="s">
        <v>453</v>
      </c>
      <c r="H1742" s="127" t="s">
        <v>729</v>
      </c>
      <c r="I1742" s="127" t="s">
        <v>63</v>
      </c>
      <c r="J1742" s="128">
        <v>510000</v>
      </c>
      <c r="K1742" s="127" t="s">
        <v>546</v>
      </c>
      <c r="L1742" s="151">
        <v>527311</v>
      </c>
      <c r="M1742" s="128">
        <v>0</v>
      </c>
      <c r="N1742" s="127" t="s">
        <v>673</v>
      </c>
      <c r="O1742" s="127" t="s">
        <v>457</v>
      </c>
      <c r="P1742" s="128">
        <v>-4690462.0999999996</v>
      </c>
      <c r="Q1742" s="128">
        <v>0</v>
      </c>
      <c r="R1742" s="128">
        <v>0</v>
      </c>
      <c r="S1742" s="128">
        <v>0</v>
      </c>
      <c r="T1742" s="128">
        <v>-4690462.0999999996</v>
      </c>
      <c r="U1742" s="128">
        <v>0</v>
      </c>
      <c r="V1742" s="128">
        <v>-4690462.0999999996</v>
      </c>
      <c r="W1742" s="128">
        <v>0</v>
      </c>
      <c r="X1742" s="128">
        <v>0</v>
      </c>
      <c r="Y1742" s="128">
        <v>0</v>
      </c>
      <c r="Z1742" s="128">
        <v>-4690462.0999999996</v>
      </c>
      <c r="AA1742" s="128">
        <v>0</v>
      </c>
      <c r="AB1742" s="126">
        <f t="shared" si="186"/>
        <v>0.46904620999999996</v>
      </c>
      <c r="AC1742" s="122" t="s">
        <v>1838</v>
      </c>
      <c r="AD1742" s="123">
        <f t="shared" si="182"/>
        <v>0.39096743900000003</v>
      </c>
    </row>
    <row r="1743" spans="1:30" ht="12.75" hidden="1" customHeight="1">
      <c r="A1743" s="125" t="str">
        <f t="shared" si="183"/>
        <v>LIC40R/L Loss - Inter SchemeT Bills</v>
      </c>
      <c r="B1743" s="125">
        <f>+IFERROR(VLOOKUP(L1743,'TB mapping'!A:D,4,0),0)</f>
        <v>0</v>
      </c>
      <c r="C1743" s="125">
        <f>+IFERROR(VLOOKUP(L1743,'TB mapping'!A:C,3,0),0)</f>
        <v>5.4</v>
      </c>
      <c r="D1743" s="125" t="str">
        <f t="shared" si="184"/>
        <v>LIC400</v>
      </c>
      <c r="E1743" s="125" t="str">
        <f t="shared" si="185"/>
        <v>LIC405.4</v>
      </c>
      <c r="F1743" s="158" t="str">
        <f>+VLOOKUP(H1743,'code mapping'!A:C,3,0)</f>
        <v>LIC40</v>
      </c>
      <c r="G1743" s="127" t="s">
        <v>453</v>
      </c>
      <c r="H1743" s="127" t="s">
        <v>729</v>
      </c>
      <c r="I1743" s="127" t="s">
        <v>63</v>
      </c>
      <c r="J1743" s="128">
        <v>510000</v>
      </c>
      <c r="K1743" s="127" t="s">
        <v>546</v>
      </c>
      <c r="L1743" s="151">
        <v>527313</v>
      </c>
      <c r="M1743" s="128">
        <v>0</v>
      </c>
      <c r="N1743" s="127" t="s">
        <v>674</v>
      </c>
      <c r="O1743" s="127" t="s">
        <v>457</v>
      </c>
      <c r="P1743" s="128">
        <v>-94488.68</v>
      </c>
      <c r="Q1743" s="128">
        <v>0</v>
      </c>
      <c r="R1743" s="128">
        <v>0</v>
      </c>
      <c r="S1743" s="128">
        <v>0</v>
      </c>
      <c r="T1743" s="128">
        <v>-94488.68</v>
      </c>
      <c r="U1743" s="128">
        <v>0</v>
      </c>
      <c r="V1743" s="128">
        <v>-94488.68</v>
      </c>
      <c r="W1743" s="128">
        <v>0</v>
      </c>
      <c r="X1743" s="128">
        <v>0</v>
      </c>
      <c r="Y1743" s="128">
        <v>0</v>
      </c>
      <c r="Z1743" s="128">
        <v>-94488.68</v>
      </c>
      <c r="AA1743" s="128">
        <v>0</v>
      </c>
      <c r="AB1743" s="126">
        <f t="shared" si="186"/>
        <v>9.4488679999999992E-3</v>
      </c>
      <c r="AC1743" s="122" t="s">
        <v>1838</v>
      </c>
      <c r="AD1743" s="123">
        <f t="shared" si="182"/>
        <v>0.39096743900000003</v>
      </c>
    </row>
    <row r="1744" spans="1:30" ht="12.75" hidden="1" customHeight="1">
      <c r="A1744" s="125" t="str">
        <f t="shared" si="183"/>
        <v>LIC40SEBI Fees</v>
      </c>
      <c r="B1744" s="125">
        <f>+IFERROR(VLOOKUP(L1744,'TB mapping'!A:D,4,0),0)</f>
        <v>0</v>
      </c>
      <c r="C1744" s="125">
        <f>+IFERROR(VLOOKUP(L1744,'TB mapping'!A:C,3,0),0)</f>
        <v>6.3</v>
      </c>
      <c r="D1744" s="125" t="str">
        <f t="shared" si="184"/>
        <v>LIC400</v>
      </c>
      <c r="E1744" s="125" t="str">
        <f t="shared" si="185"/>
        <v>LIC406.3</v>
      </c>
      <c r="F1744" s="158" t="str">
        <f>+VLOOKUP(H1744,'code mapping'!A:C,3,0)</f>
        <v>LIC40</v>
      </c>
      <c r="G1744" s="127" t="s">
        <v>453</v>
      </c>
      <c r="H1744" s="127" t="s">
        <v>729</v>
      </c>
      <c r="I1744" s="127" t="s">
        <v>63</v>
      </c>
      <c r="J1744" s="128">
        <v>550000</v>
      </c>
      <c r="K1744" s="127" t="s">
        <v>550</v>
      </c>
      <c r="L1744" s="151">
        <v>553007</v>
      </c>
      <c r="M1744" s="128">
        <v>0</v>
      </c>
      <c r="N1744" s="127" t="s">
        <v>551</v>
      </c>
      <c r="O1744" s="127" t="s">
        <v>457</v>
      </c>
      <c r="P1744" s="128">
        <v>-358524.65</v>
      </c>
      <c r="Q1744" s="128">
        <v>0</v>
      </c>
      <c r="R1744" s="128">
        <v>0</v>
      </c>
      <c r="S1744" s="128">
        <v>0</v>
      </c>
      <c r="T1744" s="128">
        <v>-358524.65</v>
      </c>
      <c r="U1744" s="128">
        <v>0</v>
      </c>
      <c r="V1744" s="128">
        <v>-358524.65</v>
      </c>
      <c r="W1744" s="128">
        <v>0</v>
      </c>
      <c r="X1744" s="128">
        <v>0</v>
      </c>
      <c r="Y1744" s="128">
        <v>0</v>
      </c>
      <c r="Z1744" s="128">
        <v>-358524.65</v>
      </c>
      <c r="AA1744" s="128">
        <v>0</v>
      </c>
      <c r="AB1744" s="126">
        <f t="shared" si="186"/>
        <v>3.5852465E-2</v>
      </c>
      <c r="AC1744" s="122" t="s">
        <v>1838</v>
      </c>
      <c r="AD1744" s="123">
        <f t="shared" si="182"/>
        <v>17.025197822999999</v>
      </c>
    </row>
    <row r="1745" spans="1:30" ht="12.75" hidden="1" customHeight="1">
      <c r="A1745" s="125" t="str">
        <f t="shared" si="183"/>
        <v>LIC40Audit Fee</v>
      </c>
      <c r="B1745" s="125">
        <f>+IFERROR(VLOOKUP(L1745,'TB mapping'!A:D,4,0),0)</f>
        <v>0</v>
      </c>
      <c r="C1745" s="125">
        <f>+IFERROR(VLOOKUP(L1745,'TB mapping'!A:C,3,0),0)</f>
        <v>6.3</v>
      </c>
      <c r="D1745" s="125" t="str">
        <f t="shared" si="184"/>
        <v>LIC400</v>
      </c>
      <c r="E1745" s="125" t="str">
        <f t="shared" si="185"/>
        <v>LIC406.3</v>
      </c>
      <c r="F1745" s="158" t="str">
        <f>+VLOOKUP(H1745,'code mapping'!A:C,3,0)</f>
        <v>LIC40</v>
      </c>
      <c r="G1745" s="127" t="s">
        <v>453</v>
      </c>
      <c r="H1745" s="127" t="s">
        <v>729</v>
      </c>
      <c r="I1745" s="127" t="s">
        <v>63</v>
      </c>
      <c r="J1745" s="128">
        <v>550000</v>
      </c>
      <c r="K1745" s="127" t="s">
        <v>550</v>
      </c>
      <c r="L1745" s="151">
        <v>553105</v>
      </c>
      <c r="M1745" s="128">
        <v>0</v>
      </c>
      <c r="N1745" s="127" t="s">
        <v>552</v>
      </c>
      <c r="O1745" s="127" t="s">
        <v>457</v>
      </c>
      <c r="P1745" s="128">
        <v>0</v>
      </c>
      <c r="Q1745" s="128">
        <v>23409.63</v>
      </c>
      <c r="R1745" s="128">
        <v>0</v>
      </c>
      <c r="S1745" s="128">
        <v>0</v>
      </c>
      <c r="T1745" s="128">
        <v>0</v>
      </c>
      <c r="U1745" s="128">
        <v>23409.63</v>
      </c>
      <c r="V1745" s="128">
        <v>0</v>
      </c>
      <c r="W1745" s="128">
        <v>23409.63</v>
      </c>
      <c r="X1745" s="128">
        <v>0</v>
      </c>
      <c r="Y1745" s="128">
        <v>0</v>
      </c>
      <c r="Z1745" s="128">
        <v>0</v>
      </c>
      <c r="AA1745" s="128">
        <v>23409.63</v>
      </c>
      <c r="AB1745" s="126">
        <f t="shared" si="186"/>
        <v>-2.3409630000000002E-3</v>
      </c>
      <c r="AC1745" s="122" t="s">
        <v>1838</v>
      </c>
      <c r="AD1745" s="123">
        <f t="shared" si="182"/>
        <v>17.025197822999999</v>
      </c>
    </row>
    <row r="1746" spans="1:30" ht="12.75" hidden="1" customHeight="1">
      <c r="A1746" s="125" t="str">
        <f t="shared" si="183"/>
        <v>LIC40Custody Fee</v>
      </c>
      <c r="B1746" s="125">
        <f>+IFERROR(VLOOKUP(L1746,'TB mapping'!A:D,4,0),0)</f>
        <v>0</v>
      </c>
      <c r="C1746" s="125">
        <f>+IFERROR(VLOOKUP(L1746,'TB mapping'!A:C,3,0),0)</f>
        <v>6.3</v>
      </c>
      <c r="D1746" s="125" t="str">
        <f t="shared" si="184"/>
        <v>LIC400</v>
      </c>
      <c r="E1746" s="125" t="str">
        <f t="shared" si="185"/>
        <v>LIC406.3</v>
      </c>
      <c r="F1746" s="158" t="str">
        <f>+VLOOKUP(H1746,'code mapping'!A:C,3,0)</f>
        <v>LIC40</v>
      </c>
      <c r="G1746" s="127" t="s">
        <v>453</v>
      </c>
      <c r="H1746" s="127" t="s">
        <v>729</v>
      </c>
      <c r="I1746" s="127" t="s">
        <v>63</v>
      </c>
      <c r="J1746" s="128">
        <v>550000</v>
      </c>
      <c r="K1746" s="127" t="s">
        <v>550</v>
      </c>
      <c r="L1746" s="151">
        <v>553107</v>
      </c>
      <c r="M1746" s="128">
        <v>0</v>
      </c>
      <c r="N1746" s="127" t="s">
        <v>553</v>
      </c>
      <c r="O1746" s="127" t="s">
        <v>457</v>
      </c>
      <c r="P1746" s="128">
        <v>-5513617.96</v>
      </c>
      <c r="Q1746" s="128">
        <v>0</v>
      </c>
      <c r="R1746" s="128">
        <v>0</v>
      </c>
      <c r="S1746" s="128">
        <v>0</v>
      </c>
      <c r="T1746" s="128">
        <v>-5513617.96</v>
      </c>
      <c r="U1746" s="128">
        <v>0</v>
      </c>
      <c r="V1746" s="128">
        <v>-5513617.96</v>
      </c>
      <c r="W1746" s="128">
        <v>0</v>
      </c>
      <c r="X1746" s="128">
        <v>0</v>
      </c>
      <c r="Y1746" s="128">
        <v>0</v>
      </c>
      <c r="Z1746" s="128">
        <v>-5513617.96</v>
      </c>
      <c r="AA1746" s="128">
        <v>0</v>
      </c>
      <c r="AB1746" s="126">
        <f t="shared" si="186"/>
        <v>0.55136179600000002</v>
      </c>
      <c r="AC1746" s="122" t="s">
        <v>1838</v>
      </c>
      <c r="AD1746" s="123">
        <f t="shared" si="182"/>
        <v>17.025197822999999</v>
      </c>
    </row>
    <row r="1747" spans="1:30" ht="12.75" hidden="1" customHeight="1">
      <c r="A1747" s="125" t="str">
        <f t="shared" si="183"/>
        <v>LIC40Expense Allocation Account</v>
      </c>
      <c r="B1747" s="125">
        <f>+IFERROR(VLOOKUP(L1747,'TB mapping'!A:D,4,0),0)</f>
        <v>0</v>
      </c>
      <c r="C1747" s="125">
        <f>+IFERROR(VLOOKUP(L1747,'TB mapping'!A:C,3,0),0)</f>
        <v>6.3</v>
      </c>
      <c r="D1747" s="125" t="str">
        <f t="shared" si="184"/>
        <v>LIC400</v>
      </c>
      <c r="E1747" s="125" t="str">
        <f t="shared" si="185"/>
        <v>LIC406.3</v>
      </c>
      <c r="F1747" s="158" t="str">
        <f>+VLOOKUP(H1747,'code mapping'!A:C,3,0)</f>
        <v>LIC40</v>
      </c>
      <c r="G1747" s="127" t="s">
        <v>453</v>
      </c>
      <c r="H1747" s="127" t="s">
        <v>729</v>
      </c>
      <c r="I1747" s="127" t="s">
        <v>63</v>
      </c>
      <c r="J1747" s="128">
        <v>550000</v>
      </c>
      <c r="K1747" s="127" t="s">
        <v>550</v>
      </c>
      <c r="L1747" s="151">
        <v>553111</v>
      </c>
      <c r="M1747" s="128">
        <v>0</v>
      </c>
      <c r="N1747" s="127" t="s">
        <v>554</v>
      </c>
      <c r="O1747" s="127" t="s">
        <v>457</v>
      </c>
      <c r="P1747" s="128">
        <v>0</v>
      </c>
      <c r="Q1747" s="128">
        <v>14826504.630000001</v>
      </c>
      <c r="R1747" s="128">
        <v>0</v>
      </c>
      <c r="S1747" s="128">
        <v>0</v>
      </c>
      <c r="T1747" s="128">
        <v>0</v>
      </c>
      <c r="U1747" s="128">
        <v>14826504.630000001</v>
      </c>
      <c r="V1747" s="128">
        <v>0</v>
      </c>
      <c r="W1747" s="128">
        <v>14826504.630000001</v>
      </c>
      <c r="X1747" s="128">
        <v>0</v>
      </c>
      <c r="Y1747" s="128">
        <v>0</v>
      </c>
      <c r="Z1747" s="128">
        <v>0</v>
      </c>
      <c r="AA1747" s="128">
        <v>14826504.630000001</v>
      </c>
      <c r="AB1747" s="126">
        <f t="shared" si="186"/>
        <v>-1.4826504630000001</v>
      </c>
      <c r="AC1747" s="122" t="s">
        <v>1838</v>
      </c>
      <c r="AD1747" s="123">
        <f t="shared" si="182"/>
        <v>17.025197822999999</v>
      </c>
    </row>
    <row r="1748" spans="1:30" ht="12.75" hidden="1" customHeight="1">
      <c r="A1748" s="125" t="str">
        <f t="shared" si="183"/>
        <v>LIC40Trustee Fee</v>
      </c>
      <c r="B1748" s="125">
        <f>+IFERROR(VLOOKUP(L1748,'TB mapping'!A:D,4,0),0)</f>
        <v>6.2</v>
      </c>
      <c r="C1748" s="125">
        <f>+IFERROR(VLOOKUP(L1748,'TB mapping'!A:C,3,0),0)</f>
        <v>6.3</v>
      </c>
      <c r="D1748" s="125" t="str">
        <f t="shared" si="184"/>
        <v>LIC406.2</v>
      </c>
      <c r="E1748" s="125" t="str">
        <f t="shared" si="185"/>
        <v>LIC406.3</v>
      </c>
      <c r="F1748" s="158" t="str">
        <f>+VLOOKUP(H1748,'code mapping'!A:C,3,0)</f>
        <v>LIC40</v>
      </c>
      <c r="G1748" s="127" t="s">
        <v>453</v>
      </c>
      <c r="H1748" s="127" t="s">
        <v>729</v>
      </c>
      <c r="I1748" s="127" t="s">
        <v>63</v>
      </c>
      <c r="J1748" s="128">
        <v>550000</v>
      </c>
      <c r="K1748" s="127" t="s">
        <v>550</v>
      </c>
      <c r="L1748" s="151">
        <v>553131</v>
      </c>
      <c r="M1748" s="128">
        <v>0</v>
      </c>
      <c r="N1748" s="127" t="s">
        <v>555</v>
      </c>
      <c r="O1748" s="127" t="s">
        <v>457</v>
      </c>
      <c r="P1748" s="128">
        <v>-328520.18</v>
      </c>
      <c r="Q1748" s="128">
        <v>0</v>
      </c>
      <c r="R1748" s="128">
        <v>0</v>
      </c>
      <c r="S1748" s="128">
        <v>0</v>
      </c>
      <c r="T1748" s="128">
        <v>-328520.18</v>
      </c>
      <c r="U1748" s="128">
        <v>0</v>
      </c>
      <c r="V1748" s="128">
        <v>-328520.18</v>
      </c>
      <c r="W1748" s="128">
        <v>0</v>
      </c>
      <c r="X1748" s="128">
        <v>0</v>
      </c>
      <c r="Y1748" s="128">
        <v>0</v>
      </c>
      <c r="Z1748" s="128">
        <v>-328520.18</v>
      </c>
      <c r="AA1748" s="128">
        <v>0</v>
      </c>
      <c r="AB1748" s="126">
        <f t="shared" si="186"/>
        <v>3.2852017999999997E-2</v>
      </c>
      <c r="AC1748" s="122" t="s">
        <v>1838</v>
      </c>
      <c r="AD1748" s="123">
        <f t="shared" si="182"/>
        <v>17.025197822999999</v>
      </c>
    </row>
    <row r="1749" spans="1:30" ht="12.75" hidden="1" customHeight="1">
      <c r="A1749" s="125" t="str">
        <f t="shared" si="183"/>
        <v>LIC40Bank Charges</v>
      </c>
      <c r="B1749" s="125">
        <f>+IFERROR(VLOOKUP(L1749,'TB mapping'!A:D,4,0),0)</f>
        <v>0</v>
      </c>
      <c r="C1749" s="125">
        <f>+IFERROR(VLOOKUP(L1749,'TB mapping'!A:C,3,0),0)</f>
        <v>6.3</v>
      </c>
      <c r="D1749" s="125" t="str">
        <f t="shared" si="184"/>
        <v>LIC400</v>
      </c>
      <c r="E1749" s="125" t="str">
        <f t="shared" si="185"/>
        <v>LIC406.3</v>
      </c>
      <c r="F1749" s="158" t="str">
        <f>+VLOOKUP(H1749,'code mapping'!A:C,3,0)</f>
        <v>LIC40</v>
      </c>
      <c r="G1749" s="127" t="s">
        <v>453</v>
      </c>
      <c r="H1749" s="127" t="s">
        <v>729</v>
      </c>
      <c r="I1749" s="127" t="s">
        <v>63</v>
      </c>
      <c r="J1749" s="128">
        <v>550000</v>
      </c>
      <c r="K1749" s="127" t="s">
        <v>550</v>
      </c>
      <c r="L1749" s="151">
        <v>553141</v>
      </c>
      <c r="M1749" s="128">
        <v>0</v>
      </c>
      <c r="N1749" s="127" t="s">
        <v>556</v>
      </c>
      <c r="O1749" s="127" t="s">
        <v>457</v>
      </c>
      <c r="P1749" s="128">
        <v>-2000496.1</v>
      </c>
      <c r="Q1749" s="128">
        <v>0</v>
      </c>
      <c r="R1749" s="128">
        <v>0</v>
      </c>
      <c r="S1749" s="128">
        <v>0</v>
      </c>
      <c r="T1749" s="128">
        <v>-2000496.1</v>
      </c>
      <c r="U1749" s="128">
        <v>0</v>
      </c>
      <c r="V1749" s="128">
        <v>-2000496.1</v>
      </c>
      <c r="W1749" s="128">
        <v>0</v>
      </c>
      <c r="X1749" s="128">
        <v>0</v>
      </c>
      <c r="Y1749" s="128">
        <v>0</v>
      </c>
      <c r="Z1749" s="128">
        <v>-2000496.1</v>
      </c>
      <c r="AA1749" s="128">
        <v>0</v>
      </c>
      <c r="AB1749" s="126">
        <f t="shared" si="186"/>
        <v>0.20004961000000002</v>
      </c>
      <c r="AC1749" s="122" t="s">
        <v>1838</v>
      </c>
      <c r="AD1749" s="123">
        <f t="shared" ref="AD1749:AD1780" si="187">SUMIF(E:E,E1749,AB:AB)</f>
        <v>17.025197822999999</v>
      </c>
    </row>
    <row r="1750" spans="1:30" ht="12.75" hidden="1" customHeight="1">
      <c r="A1750" s="125" t="str">
        <f t="shared" si="183"/>
        <v>LIC40Marketing Fees</v>
      </c>
      <c r="B1750" s="125">
        <f>+IFERROR(VLOOKUP(L1750,'TB mapping'!A:D,4,0),0)</f>
        <v>0</v>
      </c>
      <c r="C1750" s="125">
        <f>+IFERROR(VLOOKUP(L1750,'TB mapping'!A:C,3,0),0)</f>
        <v>6.3</v>
      </c>
      <c r="D1750" s="125" t="str">
        <f t="shared" si="184"/>
        <v>LIC400</v>
      </c>
      <c r="E1750" s="125" t="str">
        <f t="shared" si="185"/>
        <v>LIC406.3</v>
      </c>
      <c r="F1750" s="158" t="str">
        <f>+VLOOKUP(H1750,'code mapping'!A:C,3,0)</f>
        <v>LIC40</v>
      </c>
      <c r="G1750" s="127" t="s">
        <v>453</v>
      </c>
      <c r="H1750" s="127" t="s">
        <v>729</v>
      </c>
      <c r="I1750" s="127" t="s">
        <v>63</v>
      </c>
      <c r="J1750" s="128">
        <v>550000</v>
      </c>
      <c r="K1750" s="127" t="s">
        <v>550</v>
      </c>
      <c r="L1750" s="151">
        <v>553147</v>
      </c>
      <c r="M1750" s="128">
        <v>0</v>
      </c>
      <c r="N1750" s="127" t="s">
        <v>712</v>
      </c>
      <c r="O1750" s="127" t="s">
        <v>457</v>
      </c>
      <c r="P1750" s="128">
        <v>-43566</v>
      </c>
      <c r="Q1750" s="128">
        <v>0</v>
      </c>
      <c r="R1750" s="128">
        <v>0</v>
      </c>
      <c r="S1750" s="128">
        <v>0</v>
      </c>
      <c r="T1750" s="128">
        <v>-43566</v>
      </c>
      <c r="U1750" s="128">
        <v>0</v>
      </c>
      <c r="V1750" s="128">
        <v>-43566</v>
      </c>
      <c r="W1750" s="128">
        <v>0</v>
      </c>
      <c r="X1750" s="128">
        <v>0</v>
      </c>
      <c r="Y1750" s="128">
        <v>0</v>
      </c>
      <c r="Z1750" s="128">
        <v>-43566</v>
      </c>
      <c r="AA1750" s="128">
        <v>0</v>
      </c>
      <c r="AB1750" s="126">
        <f t="shared" si="186"/>
        <v>4.3566000000000004E-3</v>
      </c>
      <c r="AC1750" s="122" t="s">
        <v>1838</v>
      </c>
      <c r="AD1750" s="123">
        <f t="shared" si="187"/>
        <v>17.025197822999999</v>
      </c>
    </row>
    <row r="1751" spans="1:30" ht="12.75" hidden="1" customHeight="1">
      <c r="A1751" s="125" t="str">
        <f t="shared" si="183"/>
        <v>LIC40Investor Education Fund Exps</v>
      </c>
      <c r="B1751" s="125">
        <f>+IFERROR(VLOOKUP(L1751,'TB mapping'!A:D,4,0),0)</f>
        <v>0</v>
      </c>
      <c r="C1751" s="125">
        <f>+IFERROR(VLOOKUP(L1751,'TB mapping'!A:C,3,0),0)</f>
        <v>6.3</v>
      </c>
      <c r="D1751" s="125" t="str">
        <f t="shared" si="184"/>
        <v>LIC400</v>
      </c>
      <c r="E1751" s="125" t="str">
        <f t="shared" si="185"/>
        <v>LIC406.3</v>
      </c>
      <c r="F1751" s="158" t="str">
        <f>+VLOOKUP(H1751,'code mapping'!A:C,3,0)</f>
        <v>LIC40</v>
      </c>
      <c r="G1751" s="127" t="s">
        <v>453</v>
      </c>
      <c r="H1751" s="127" t="s">
        <v>729</v>
      </c>
      <c r="I1751" s="127" t="s">
        <v>63</v>
      </c>
      <c r="J1751" s="128">
        <v>550000</v>
      </c>
      <c r="K1751" s="127" t="s">
        <v>550</v>
      </c>
      <c r="L1751" s="151">
        <v>553171</v>
      </c>
      <c r="M1751" s="128">
        <v>0</v>
      </c>
      <c r="N1751" s="127" t="s">
        <v>557</v>
      </c>
      <c r="O1751" s="127" t="s">
        <v>457</v>
      </c>
      <c r="P1751" s="128">
        <v>-3322305.93</v>
      </c>
      <c r="Q1751" s="128">
        <v>0</v>
      </c>
      <c r="R1751" s="128">
        <v>0</v>
      </c>
      <c r="S1751" s="128">
        <v>0</v>
      </c>
      <c r="T1751" s="128">
        <v>-3322305.93</v>
      </c>
      <c r="U1751" s="128">
        <v>0</v>
      </c>
      <c r="V1751" s="128">
        <v>-3322305.93</v>
      </c>
      <c r="W1751" s="128">
        <v>0</v>
      </c>
      <c r="X1751" s="128">
        <v>0</v>
      </c>
      <c r="Y1751" s="128">
        <v>0</v>
      </c>
      <c r="Z1751" s="128">
        <v>-3322305.93</v>
      </c>
      <c r="AA1751" s="128">
        <v>0</v>
      </c>
      <c r="AB1751" s="126">
        <f t="shared" si="186"/>
        <v>0.33223059300000002</v>
      </c>
      <c r="AC1751" s="122" t="s">
        <v>1838</v>
      </c>
      <c r="AD1751" s="123">
        <f t="shared" si="187"/>
        <v>17.025197822999999</v>
      </c>
    </row>
    <row r="1752" spans="1:30" ht="12.75" hidden="1" customHeight="1">
      <c r="A1752" s="125" t="str">
        <f t="shared" si="183"/>
        <v>LIC40Service Tax on Management Fees</v>
      </c>
      <c r="B1752" s="125">
        <f>+IFERROR(VLOOKUP(L1752,'TB mapping'!A:D,4,0),0)</f>
        <v>6.1</v>
      </c>
      <c r="C1752" s="125">
        <f>+IFERROR(VLOOKUP(L1752,'TB mapping'!A:C,3,0),0)</f>
        <v>6.3</v>
      </c>
      <c r="D1752" s="125" t="str">
        <f t="shared" si="184"/>
        <v>LIC406.1</v>
      </c>
      <c r="E1752" s="125" t="str">
        <f t="shared" si="185"/>
        <v>LIC406.3</v>
      </c>
      <c r="F1752" s="158" t="str">
        <f>+VLOOKUP(H1752,'code mapping'!A:C,3,0)</f>
        <v>LIC40</v>
      </c>
      <c r="G1752" s="127" t="s">
        <v>453</v>
      </c>
      <c r="H1752" s="127" t="s">
        <v>729</v>
      </c>
      <c r="I1752" s="127" t="s">
        <v>63</v>
      </c>
      <c r="J1752" s="128">
        <v>550000</v>
      </c>
      <c r="K1752" s="127" t="s">
        <v>550</v>
      </c>
      <c r="L1752" s="151">
        <v>553172</v>
      </c>
      <c r="M1752" s="128">
        <v>0</v>
      </c>
      <c r="N1752" s="127" t="s">
        <v>558</v>
      </c>
      <c r="O1752" s="127" t="s">
        <v>457</v>
      </c>
      <c r="P1752" s="128">
        <v>-3042837.35</v>
      </c>
      <c r="Q1752" s="128">
        <v>0</v>
      </c>
      <c r="R1752" s="128">
        <v>0</v>
      </c>
      <c r="S1752" s="128">
        <v>0</v>
      </c>
      <c r="T1752" s="128">
        <v>-3042837.35</v>
      </c>
      <c r="U1752" s="128">
        <v>0</v>
      </c>
      <c r="V1752" s="128">
        <v>-3042837.35</v>
      </c>
      <c r="W1752" s="128">
        <v>0</v>
      </c>
      <c r="X1752" s="128">
        <v>0</v>
      </c>
      <c r="Y1752" s="128">
        <v>0</v>
      </c>
      <c r="Z1752" s="128">
        <v>-3042837.35</v>
      </c>
      <c r="AA1752" s="128">
        <v>0</v>
      </c>
      <c r="AB1752" s="126">
        <f t="shared" si="186"/>
        <v>0.304283735</v>
      </c>
      <c r="AC1752" s="122" t="s">
        <v>1838</v>
      </c>
      <c r="AD1752" s="123">
        <f t="shared" si="187"/>
        <v>17.025197822999999</v>
      </c>
    </row>
    <row r="1753" spans="1:30" ht="12.75" hidden="1" customHeight="1">
      <c r="A1753" s="125" t="str">
        <f t="shared" si="183"/>
        <v>LIC40CCIL Expenses</v>
      </c>
      <c r="B1753" s="125">
        <f>+IFERROR(VLOOKUP(L1753,'TB mapping'!A:D,4,0),0)</f>
        <v>0</v>
      </c>
      <c r="C1753" s="125">
        <f>+IFERROR(VLOOKUP(L1753,'TB mapping'!A:C,3,0),0)</f>
        <v>6.3</v>
      </c>
      <c r="D1753" s="125" t="str">
        <f t="shared" si="184"/>
        <v>LIC400</v>
      </c>
      <c r="E1753" s="125" t="str">
        <f t="shared" si="185"/>
        <v>LIC406.3</v>
      </c>
      <c r="F1753" s="158" t="str">
        <f>+VLOOKUP(H1753,'code mapping'!A:C,3,0)</f>
        <v>LIC40</v>
      </c>
      <c r="G1753" s="127" t="s">
        <v>453</v>
      </c>
      <c r="H1753" s="127" t="s">
        <v>729</v>
      </c>
      <c r="I1753" s="127" t="s">
        <v>63</v>
      </c>
      <c r="J1753" s="128">
        <v>550000</v>
      </c>
      <c r="K1753" s="127" t="s">
        <v>550</v>
      </c>
      <c r="L1753" s="151">
        <v>553176</v>
      </c>
      <c r="M1753" s="128">
        <v>0</v>
      </c>
      <c r="N1753" s="127" t="s">
        <v>559</v>
      </c>
      <c r="O1753" s="127" t="s">
        <v>457</v>
      </c>
      <c r="P1753" s="128">
        <v>-336837.97</v>
      </c>
      <c r="Q1753" s="128">
        <v>0</v>
      </c>
      <c r="R1753" s="128">
        <v>0</v>
      </c>
      <c r="S1753" s="128">
        <v>0</v>
      </c>
      <c r="T1753" s="128">
        <v>-336837.97</v>
      </c>
      <c r="U1753" s="128">
        <v>0</v>
      </c>
      <c r="V1753" s="128">
        <v>-336837.97</v>
      </c>
      <c r="W1753" s="128">
        <v>0</v>
      </c>
      <c r="X1753" s="128">
        <v>0</v>
      </c>
      <c r="Y1753" s="128">
        <v>0</v>
      </c>
      <c r="Z1753" s="128">
        <v>-336837.97</v>
      </c>
      <c r="AA1753" s="128">
        <v>0</v>
      </c>
      <c r="AB1753" s="126">
        <f t="shared" si="186"/>
        <v>3.3683796999999994E-2</v>
      </c>
      <c r="AC1753" s="122" t="s">
        <v>1838</v>
      </c>
      <c r="AD1753" s="123">
        <f t="shared" si="187"/>
        <v>17.025197822999999</v>
      </c>
    </row>
    <row r="1754" spans="1:30" ht="12.75" hidden="1" customHeight="1">
      <c r="A1754" s="125" t="str">
        <f t="shared" si="183"/>
        <v>LIC40Out of Pocket Expenses - R&amp;T</v>
      </c>
      <c r="B1754" s="125">
        <f>+IFERROR(VLOOKUP(L1754,'TB mapping'!A:D,4,0),0)</f>
        <v>0</v>
      </c>
      <c r="C1754" s="125">
        <f>+IFERROR(VLOOKUP(L1754,'TB mapping'!A:C,3,0),0)</f>
        <v>6.3</v>
      </c>
      <c r="D1754" s="125" t="str">
        <f t="shared" si="184"/>
        <v>LIC400</v>
      </c>
      <c r="E1754" s="125" t="str">
        <f t="shared" si="185"/>
        <v>LIC406.3</v>
      </c>
      <c r="F1754" s="158" t="str">
        <f>+VLOOKUP(H1754,'code mapping'!A:C,3,0)</f>
        <v>LIC40</v>
      </c>
      <c r="G1754" s="127" t="s">
        <v>453</v>
      </c>
      <c r="H1754" s="127" t="s">
        <v>729</v>
      </c>
      <c r="I1754" s="127" t="s">
        <v>63</v>
      </c>
      <c r="J1754" s="128">
        <v>550000</v>
      </c>
      <c r="K1754" s="127" t="s">
        <v>550</v>
      </c>
      <c r="L1754" s="151">
        <v>553180</v>
      </c>
      <c r="M1754" s="128">
        <v>0</v>
      </c>
      <c r="N1754" s="127" t="s">
        <v>560</v>
      </c>
      <c r="O1754" s="127" t="s">
        <v>457</v>
      </c>
      <c r="P1754" s="128">
        <v>-358011.63</v>
      </c>
      <c r="Q1754" s="128">
        <v>0</v>
      </c>
      <c r="R1754" s="128">
        <v>0</v>
      </c>
      <c r="S1754" s="128">
        <v>0</v>
      </c>
      <c r="T1754" s="128">
        <v>-358011.63</v>
      </c>
      <c r="U1754" s="128">
        <v>0</v>
      </c>
      <c r="V1754" s="128">
        <v>-358011.63</v>
      </c>
      <c r="W1754" s="128">
        <v>0</v>
      </c>
      <c r="X1754" s="128">
        <v>0</v>
      </c>
      <c r="Y1754" s="128">
        <v>0</v>
      </c>
      <c r="Z1754" s="128">
        <v>-358011.63</v>
      </c>
      <c r="AA1754" s="128">
        <v>0</v>
      </c>
      <c r="AB1754" s="126">
        <f t="shared" si="186"/>
        <v>3.5801163000000004E-2</v>
      </c>
      <c r="AC1754" s="122" t="s">
        <v>1838</v>
      </c>
      <c r="AD1754" s="123">
        <f t="shared" si="187"/>
        <v>17.025197822999999</v>
      </c>
    </row>
    <row r="1755" spans="1:30" ht="12.75" hidden="1" customHeight="1">
      <c r="A1755" s="125" t="str">
        <f t="shared" si="183"/>
        <v>LIC40Other Expenses</v>
      </c>
      <c r="B1755" s="125">
        <f>+IFERROR(VLOOKUP(L1755,'TB mapping'!A:D,4,0),0)</f>
        <v>0</v>
      </c>
      <c r="C1755" s="125">
        <f>+IFERROR(VLOOKUP(L1755,'TB mapping'!A:C,3,0),0)</f>
        <v>6.3</v>
      </c>
      <c r="D1755" s="125" t="str">
        <f t="shared" si="184"/>
        <v>LIC400</v>
      </c>
      <c r="E1755" s="125" t="str">
        <f t="shared" si="185"/>
        <v>LIC406.3</v>
      </c>
      <c r="F1755" s="158" t="str">
        <f>+VLOOKUP(H1755,'code mapping'!A:C,3,0)</f>
        <v>LIC40</v>
      </c>
      <c r="G1755" s="127" t="s">
        <v>453</v>
      </c>
      <c r="H1755" s="127" t="s">
        <v>729</v>
      </c>
      <c r="I1755" s="127" t="s">
        <v>63</v>
      </c>
      <c r="J1755" s="128">
        <v>550000</v>
      </c>
      <c r="K1755" s="127" t="s">
        <v>550</v>
      </c>
      <c r="L1755" s="151">
        <v>553190</v>
      </c>
      <c r="M1755" s="128">
        <v>0</v>
      </c>
      <c r="N1755" s="127" t="s">
        <v>561</v>
      </c>
      <c r="O1755" s="127" t="s">
        <v>457</v>
      </c>
      <c r="P1755" s="128">
        <v>-2697794.55</v>
      </c>
      <c r="Q1755" s="128">
        <v>0</v>
      </c>
      <c r="R1755" s="128">
        <v>0</v>
      </c>
      <c r="S1755" s="128">
        <v>0</v>
      </c>
      <c r="T1755" s="128">
        <v>-2697794.55</v>
      </c>
      <c r="U1755" s="128">
        <v>0</v>
      </c>
      <c r="V1755" s="128">
        <v>-2697794.55</v>
      </c>
      <c r="W1755" s="128">
        <v>0</v>
      </c>
      <c r="X1755" s="128">
        <v>0</v>
      </c>
      <c r="Y1755" s="128">
        <v>0</v>
      </c>
      <c r="Z1755" s="128">
        <v>-2697794.55</v>
      </c>
      <c r="AA1755" s="128">
        <v>0</v>
      </c>
      <c r="AB1755" s="126">
        <f t="shared" si="186"/>
        <v>0.269779455</v>
      </c>
      <c r="AC1755" s="122" t="s">
        <v>1838</v>
      </c>
      <c r="AD1755" s="123">
        <f t="shared" si="187"/>
        <v>17.025197822999999</v>
      </c>
    </row>
    <row r="1756" spans="1:30" ht="12.75" hidden="1" customHeight="1">
      <c r="A1756" s="125" t="str">
        <f t="shared" si="183"/>
        <v>LIC40Other Expenses-RG</v>
      </c>
      <c r="B1756" s="125">
        <f>+IFERROR(VLOOKUP(L1756,'TB mapping'!A:D,4,0),0)</f>
        <v>0</v>
      </c>
      <c r="C1756" s="125">
        <f>+IFERROR(VLOOKUP(L1756,'TB mapping'!A:C,3,0),0)</f>
        <v>6.3</v>
      </c>
      <c r="D1756" s="125" t="str">
        <f t="shared" si="184"/>
        <v>LIC400</v>
      </c>
      <c r="E1756" s="125" t="str">
        <f t="shared" si="185"/>
        <v>LIC406.3</v>
      </c>
      <c r="F1756" s="158" t="str">
        <f>+VLOOKUP(H1756,'code mapping'!A:C,3,0)</f>
        <v>LIC40</v>
      </c>
      <c r="G1756" s="127" t="s">
        <v>453</v>
      </c>
      <c r="H1756" s="127" t="s">
        <v>729</v>
      </c>
      <c r="I1756" s="127" t="s">
        <v>63</v>
      </c>
      <c r="J1756" s="128">
        <v>550000</v>
      </c>
      <c r="K1756" s="127" t="s">
        <v>550</v>
      </c>
      <c r="L1756" s="151">
        <v>553191</v>
      </c>
      <c r="M1756" s="128">
        <v>0</v>
      </c>
      <c r="N1756" s="127" t="s">
        <v>562</v>
      </c>
      <c r="O1756" s="127" t="s">
        <v>457</v>
      </c>
      <c r="P1756" s="128">
        <v>-2913535.93</v>
      </c>
      <c r="Q1756" s="128">
        <v>0</v>
      </c>
      <c r="R1756" s="128">
        <v>0</v>
      </c>
      <c r="S1756" s="128">
        <v>0</v>
      </c>
      <c r="T1756" s="128">
        <v>-2913535.93</v>
      </c>
      <c r="U1756" s="128">
        <v>0</v>
      </c>
      <c r="V1756" s="128">
        <v>-2913535.93</v>
      </c>
      <c r="W1756" s="128">
        <v>0</v>
      </c>
      <c r="X1756" s="128">
        <v>0</v>
      </c>
      <c r="Y1756" s="128">
        <v>0</v>
      </c>
      <c r="Z1756" s="128">
        <v>-2913535.93</v>
      </c>
      <c r="AA1756" s="128">
        <v>0</v>
      </c>
      <c r="AB1756" s="126">
        <f t="shared" si="186"/>
        <v>0.29135359300000002</v>
      </c>
      <c r="AC1756" s="122" t="s">
        <v>1838</v>
      </c>
      <c r="AD1756" s="123">
        <f t="shared" si="187"/>
        <v>17.025197822999999</v>
      </c>
    </row>
    <row r="1757" spans="1:30" ht="12.75" hidden="1" customHeight="1">
      <c r="A1757" s="125" t="str">
        <f t="shared" si="183"/>
        <v>LIC40Misc Expenses</v>
      </c>
      <c r="B1757" s="125">
        <f>+IFERROR(VLOOKUP(L1757,'TB mapping'!A:D,4,0),0)</f>
        <v>0</v>
      </c>
      <c r="C1757" s="125">
        <f>+IFERROR(VLOOKUP(L1757,'TB mapping'!A:C,3,0),0)</f>
        <v>6.3</v>
      </c>
      <c r="D1757" s="125" t="str">
        <f t="shared" si="184"/>
        <v>LIC400</v>
      </c>
      <c r="E1757" s="125" t="str">
        <f t="shared" si="185"/>
        <v>LIC406.3</v>
      </c>
      <c r="F1757" s="158" t="str">
        <f>+VLOOKUP(H1757,'code mapping'!A:C,3,0)</f>
        <v>LIC40</v>
      </c>
      <c r="G1757" s="127" t="s">
        <v>453</v>
      </c>
      <c r="H1757" s="127" t="s">
        <v>729</v>
      </c>
      <c r="I1757" s="127" t="s">
        <v>63</v>
      </c>
      <c r="J1757" s="128">
        <v>550000</v>
      </c>
      <c r="K1757" s="127" t="s">
        <v>550</v>
      </c>
      <c r="L1757" s="151">
        <v>553197</v>
      </c>
      <c r="M1757" s="128">
        <v>0</v>
      </c>
      <c r="N1757" s="127" t="s">
        <v>675</v>
      </c>
      <c r="O1757" s="127" t="s">
        <v>457</v>
      </c>
      <c r="P1757" s="128">
        <v>-0.01</v>
      </c>
      <c r="Q1757" s="128">
        <v>0</v>
      </c>
      <c r="R1757" s="128">
        <v>0</v>
      </c>
      <c r="S1757" s="128">
        <v>0</v>
      </c>
      <c r="T1757" s="128">
        <v>-0.01</v>
      </c>
      <c r="U1757" s="128">
        <v>0</v>
      </c>
      <c r="V1757" s="128">
        <v>-0.01</v>
      </c>
      <c r="W1757" s="128">
        <v>0</v>
      </c>
      <c r="X1757" s="128">
        <v>0</v>
      </c>
      <c r="Y1757" s="128">
        <v>0</v>
      </c>
      <c r="Z1757" s="128">
        <v>-0.01</v>
      </c>
      <c r="AA1757" s="128">
        <v>0</v>
      </c>
      <c r="AB1757" s="126">
        <f t="shared" si="186"/>
        <v>1.0000000000000001E-9</v>
      </c>
      <c r="AC1757" s="122" t="s">
        <v>1838</v>
      </c>
      <c r="AD1757" s="123">
        <f t="shared" si="187"/>
        <v>17.025197822999999</v>
      </c>
    </row>
    <row r="1758" spans="1:30" ht="12.75" hidden="1" customHeight="1">
      <c r="A1758" s="125" t="str">
        <f t="shared" si="183"/>
        <v>LIC40Other Exp - Brok - Indirect</v>
      </c>
      <c r="B1758" s="125">
        <f>+IFERROR(VLOOKUP(L1758,'TB mapping'!A:D,4,0),0)</f>
        <v>0</v>
      </c>
      <c r="C1758" s="125">
        <f>+IFERROR(VLOOKUP(L1758,'TB mapping'!A:C,3,0),0)</f>
        <v>6.3</v>
      </c>
      <c r="D1758" s="125" t="str">
        <f t="shared" si="184"/>
        <v>LIC400</v>
      </c>
      <c r="E1758" s="125" t="str">
        <f t="shared" si="185"/>
        <v>LIC406.3</v>
      </c>
      <c r="F1758" s="158" t="str">
        <f>+VLOOKUP(H1758,'code mapping'!A:C,3,0)</f>
        <v>LIC40</v>
      </c>
      <c r="G1758" s="127" t="s">
        <v>453</v>
      </c>
      <c r="H1758" s="127" t="s">
        <v>729</v>
      </c>
      <c r="I1758" s="127" t="s">
        <v>63</v>
      </c>
      <c r="J1758" s="128">
        <v>550000</v>
      </c>
      <c r="K1758" s="127" t="s">
        <v>550</v>
      </c>
      <c r="L1758" s="151">
        <v>553202</v>
      </c>
      <c r="M1758" s="128">
        <v>0</v>
      </c>
      <c r="N1758" s="127" t="s">
        <v>564</v>
      </c>
      <c r="O1758" s="127" t="s">
        <v>457</v>
      </c>
      <c r="P1758" s="128">
        <v>-20121226.219999999</v>
      </c>
      <c r="Q1758" s="128">
        <v>0</v>
      </c>
      <c r="R1758" s="128">
        <v>0</v>
      </c>
      <c r="S1758" s="128">
        <v>0</v>
      </c>
      <c r="T1758" s="128">
        <v>-20121226.219999999</v>
      </c>
      <c r="U1758" s="128">
        <v>0</v>
      </c>
      <c r="V1758" s="128">
        <v>-20121226.219999999</v>
      </c>
      <c r="W1758" s="128">
        <v>0</v>
      </c>
      <c r="X1758" s="128">
        <v>0</v>
      </c>
      <c r="Y1758" s="128">
        <v>0</v>
      </c>
      <c r="Z1758" s="128">
        <v>-20121226.219999999</v>
      </c>
      <c r="AA1758" s="128">
        <v>0</v>
      </c>
      <c r="AB1758" s="126">
        <f t="shared" si="186"/>
        <v>2.0121226219999997</v>
      </c>
      <c r="AC1758" s="122" t="s">
        <v>1838</v>
      </c>
      <c r="AD1758" s="123">
        <f t="shared" si="187"/>
        <v>17.025197822999999</v>
      </c>
    </row>
    <row r="1759" spans="1:30" ht="12.75" hidden="1" customHeight="1">
      <c r="A1759" s="125" t="str">
        <f t="shared" si="183"/>
        <v>LIC40Brokerage/Dist Exps</v>
      </c>
      <c r="B1759" s="125">
        <f>+IFERROR(VLOOKUP(L1759,'TB mapping'!A:D,4,0),0)</f>
        <v>0</v>
      </c>
      <c r="C1759" s="125">
        <f>+IFERROR(VLOOKUP(L1759,'TB mapping'!A:C,3,0),0)</f>
        <v>6.3</v>
      </c>
      <c r="D1759" s="125" t="str">
        <f t="shared" si="184"/>
        <v>LIC400</v>
      </c>
      <c r="E1759" s="125" t="str">
        <f t="shared" si="185"/>
        <v>LIC406.3</v>
      </c>
      <c r="F1759" s="158" t="str">
        <f>+VLOOKUP(H1759,'code mapping'!A:C,3,0)</f>
        <v>LIC40</v>
      </c>
      <c r="G1759" s="127" t="s">
        <v>453</v>
      </c>
      <c r="H1759" s="127" t="s">
        <v>729</v>
      </c>
      <c r="I1759" s="127" t="s">
        <v>63</v>
      </c>
      <c r="J1759" s="128">
        <v>550000</v>
      </c>
      <c r="K1759" s="127" t="s">
        <v>550</v>
      </c>
      <c r="L1759" s="151">
        <v>553208</v>
      </c>
      <c r="M1759" s="128">
        <v>0</v>
      </c>
      <c r="N1759" s="127" t="s">
        <v>565</v>
      </c>
      <c r="O1759" s="127" t="s">
        <v>457</v>
      </c>
      <c r="P1759" s="128">
        <v>0</v>
      </c>
      <c r="Q1759" s="128">
        <v>14250722.4</v>
      </c>
      <c r="R1759" s="128">
        <v>0</v>
      </c>
      <c r="S1759" s="128">
        <v>0</v>
      </c>
      <c r="T1759" s="128">
        <v>0</v>
      </c>
      <c r="U1759" s="128">
        <v>14250722.4</v>
      </c>
      <c r="V1759" s="128">
        <v>0</v>
      </c>
      <c r="W1759" s="128">
        <v>14250722.4</v>
      </c>
      <c r="X1759" s="128">
        <v>0</v>
      </c>
      <c r="Y1759" s="128">
        <v>0</v>
      </c>
      <c r="Z1759" s="128">
        <v>0</v>
      </c>
      <c r="AA1759" s="128">
        <v>14250722.4</v>
      </c>
      <c r="AB1759" s="126">
        <f t="shared" si="186"/>
        <v>-1.42507224</v>
      </c>
      <c r="AC1759" s="122" t="s">
        <v>1838</v>
      </c>
      <c r="AD1759" s="123">
        <f t="shared" si="187"/>
        <v>17.025197822999999</v>
      </c>
    </row>
    <row r="1760" spans="1:30" ht="12.75" hidden="1" customHeight="1">
      <c r="A1760" s="125" t="str">
        <f t="shared" si="183"/>
        <v>LIC40Internal Audit Fee</v>
      </c>
      <c r="B1760" s="125">
        <f>+IFERROR(VLOOKUP(L1760,'TB mapping'!A:D,4,0),0)</f>
        <v>0</v>
      </c>
      <c r="C1760" s="125">
        <f>+IFERROR(VLOOKUP(L1760,'TB mapping'!A:C,3,0),0)</f>
        <v>6.3</v>
      </c>
      <c r="D1760" s="125" t="str">
        <f t="shared" si="184"/>
        <v>LIC400</v>
      </c>
      <c r="E1760" s="125" t="str">
        <f t="shared" si="185"/>
        <v>LIC406.3</v>
      </c>
      <c r="F1760" s="158" t="str">
        <f>+VLOOKUP(H1760,'code mapping'!A:C,3,0)</f>
        <v>LIC40</v>
      </c>
      <c r="G1760" s="127" t="s">
        <v>453</v>
      </c>
      <c r="H1760" s="127" t="s">
        <v>729</v>
      </c>
      <c r="I1760" s="127" t="s">
        <v>63</v>
      </c>
      <c r="J1760" s="128">
        <v>550000</v>
      </c>
      <c r="K1760" s="127" t="s">
        <v>550</v>
      </c>
      <c r="L1760" s="151">
        <v>553213</v>
      </c>
      <c r="M1760" s="128">
        <v>0</v>
      </c>
      <c r="N1760" s="127" t="s">
        <v>566</v>
      </c>
      <c r="O1760" s="127" t="s">
        <v>457</v>
      </c>
      <c r="P1760" s="128">
        <v>-211804.36</v>
      </c>
      <c r="Q1760" s="128">
        <v>0</v>
      </c>
      <c r="R1760" s="128">
        <v>0</v>
      </c>
      <c r="S1760" s="128">
        <v>0</v>
      </c>
      <c r="T1760" s="128">
        <v>-211804.36</v>
      </c>
      <c r="U1760" s="128">
        <v>0</v>
      </c>
      <c r="V1760" s="128">
        <v>-211804.36</v>
      </c>
      <c r="W1760" s="128">
        <v>0</v>
      </c>
      <c r="X1760" s="128">
        <v>0</v>
      </c>
      <c r="Y1760" s="128">
        <v>0</v>
      </c>
      <c r="Z1760" s="128">
        <v>-211804.36</v>
      </c>
      <c r="AA1760" s="128">
        <v>0</v>
      </c>
      <c r="AB1760" s="126">
        <f t="shared" si="186"/>
        <v>2.1180435999999997E-2</v>
      </c>
      <c r="AC1760" s="122" t="s">
        <v>1838</v>
      </c>
      <c r="AD1760" s="123">
        <f t="shared" si="187"/>
        <v>17.025197822999999</v>
      </c>
    </row>
    <row r="1761" spans="1:30" ht="12.75" hidden="1" customHeight="1">
      <c r="A1761" s="125" t="str">
        <f t="shared" si="183"/>
        <v>LIC40Other Expenses - RDD</v>
      </c>
      <c r="B1761" s="125">
        <f>+IFERROR(VLOOKUP(L1761,'TB mapping'!A:D,4,0),0)</f>
        <v>0</v>
      </c>
      <c r="C1761" s="125">
        <f>+IFERROR(VLOOKUP(L1761,'TB mapping'!A:C,3,0),0)</f>
        <v>6.3</v>
      </c>
      <c r="D1761" s="125" t="str">
        <f t="shared" si="184"/>
        <v>LIC400</v>
      </c>
      <c r="E1761" s="125" t="str">
        <f t="shared" si="185"/>
        <v>LIC406.3</v>
      </c>
      <c r="F1761" s="158" t="str">
        <f>+VLOOKUP(H1761,'code mapping'!A:C,3,0)</f>
        <v>LIC40</v>
      </c>
      <c r="G1761" s="127" t="s">
        <v>453</v>
      </c>
      <c r="H1761" s="127" t="s">
        <v>729</v>
      </c>
      <c r="I1761" s="127" t="s">
        <v>63</v>
      </c>
      <c r="J1761" s="128">
        <v>550000</v>
      </c>
      <c r="K1761" s="127" t="s">
        <v>550</v>
      </c>
      <c r="L1761" s="151">
        <v>553255</v>
      </c>
      <c r="M1761" s="128">
        <v>0</v>
      </c>
      <c r="N1761" s="127" t="s">
        <v>676</v>
      </c>
      <c r="O1761" s="127" t="s">
        <v>457</v>
      </c>
      <c r="P1761" s="128">
        <v>-636548.95000000007</v>
      </c>
      <c r="Q1761" s="128">
        <v>0</v>
      </c>
      <c r="R1761" s="128">
        <v>0</v>
      </c>
      <c r="S1761" s="128">
        <v>0</v>
      </c>
      <c r="T1761" s="128">
        <v>-636548.95000000007</v>
      </c>
      <c r="U1761" s="128">
        <v>0</v>
      </c>
      <c r="V1761" s="128">
        <v>-636548.95000000007</v>
      </c>
      <c r="W1761" s="128">
        <v>0</v>
      </c>
      <c r="X1761" s="128">
        <v>0</v>
      </c>
      <c r="Y1761" s="128">
        <v>0</v>
      </c>
      <c r="Z1761" s="128">
        <v>-636548.95000000007</v>
      </c>
      <c r="AA1761" s="128">
        <v>0</v>
      </c>
      <c r="AB1761" s="126">
        <f t="shared" si="186"/>
        <v>6.3654895000000003E-2</v>
      </c>
      <c r="AC1761" s="122" t="s">
        <v>1838</v>
      </c>
      <c r="AD1761" s="123">
        <f t="shared" si="187"/>
        <v>17.025197822999999</v>
      </c>
    </row>
    <row r="1762" spans="1:30" ht="12.75" hidden="1" customHeight="1">
      <c r="A1762" s="125" t="str">
        <f t="shared" si="183"/>
        <v>LIC40Other Expenses - RWD</v>
      </c>
      <c r="B1762" s="125">
        <f>+IFERROR(VLOOKUP(L1762,'TB mapping'!A:D,4,0),0)</f>
        <v>0</v>
      </c>
      <c r="C1762" s="125">
        <f>+IFERROR(VLOOKUP(L1762,'TB mapping'!A:C,3,0),0)</f>
        <v>6.3</v>
      </c>
      <c r="D1762" s="125" t="str">
        <f t="shared" si="184"/>
        <v>LIC400</v>
      </c>
      <c r="E1762" s="125" t="str">
        <f t="shared" si="185"/>
        <v>LIC406.3</v>
      </c>
      <c r="F1762" s="158" t="str">
        <f>+VLOOKUP(H1762,'code mapping'!A:C,3,0)</f>
        <v>LIC40</v>
      </c>
      <c r="G1762" s="127" t="s">
        <v>453</v>
      </c>
      <c r="H1762" s="127" t="s">
        <v>729</v>
      </c>
      <c r="I1762" s="127" t="s">
        <v>63</v>
      </c>
      <c r="J1762" s="128">
        <v>550000</v>
      </c>
      <c r="K1762" s="127" t="s">
        <v>550</v>
      </c>
      <c r="L1762" s="151">
        <v>553257</v>
      </c>
      <c r="M1762" s="128">
        <v>0</v>
      </c>
      <c r="N1762" s="127" t="s">
        <v>677</v>
      </c>
      <c r="O1762" s="127" t="s">
        <v>457</v>
      </c>
      <c r="P1762" s="128">
        <v>-94441.24</v>
      </c>
      <c r="Q1762" s="128">
        <v>0</v>
      </c>
      <c r="R1762" s="128">
        <v>0</v>
      </c>
      <c r="S1762" s="128">
        <v>0</v>
      </c>
      <c r="T1762" s="128">
        <v>-94441.24</v>
      </c>
      <c r="U1762" s="128">
        <v>0</v>
      </c>
      <c r="V1762" s="128">
        <v>-94441.24</v>
      </c>
      <c r="W1762" s="128">
        <v>0</v>
      </c>
      <c r="X1762" s="128">
        <v>0</v>
      </c>
      <c r="Y1762" s="128">
        <v>0</v>
      </c>
      <c r="Z1762" s="128">
        <v>-94441.24</v>
      </c>
      <c r="AA1762" s="128">
        <v>0</v>
      </c>
      <c r="AB1762" s="126">
        <f t="shared" si="186"/>
        <v>9.4441239999999999E-3</v>
      </c>
      <c r="AC1762" s="122" t="s">
        <v>1838</v>
      </c>
      <c r="AD1762" s="123">
        <f t="shared" si="187"/>
        <v>17.025197822999999</v>
      </c>
    </row>
    <row r="1763" spans="1:30" ht="12.75" hidden="1" customHeight="1">
      <c r="A1763" s="125" t="str">
        <f t="shared" si="183"/>
        <v>LIC40Other Expenses - RMD</v>
      </c>
      <c r="B1763" s="125">
        <f>+IFERROR(VLOOKUP(L1763,'TB mapping'!A:D,4,0),0)</f>
        <v>0</v>
      </c>
      <c r="C1763" s="125">
        <f>+IFERROR(VLOOKUP(L1763,'TB mapping'!A:C,3,0),0)</f>
        <v>6.3</v>
      </c>
      <c r="D1763" s="125" t="str">
        <f t="shared" si="184"/>
        <v>LIC400</v>
      </c>
      <c r="E1763" s="125" t="str">
        <f t="shared" si="185"/>
        <v>LIC406.3</v>
      </c>
      <c r="F1763" s="158" t="str">
        <f>+VLOOKUP(H1763,'code mapping'!A:C,3,0)</f>
        <v>LIC40</v>
      </c>
      <c r="G1763" s="127" t="s">
        <v>453</v>
      </c>
      <c r="H1763" s="127" t="s">
        <v>729</v>
      </c>
      <c r="I1763" s="127" t="s">
        <v>63</v>
      </c>
      <c r="J1763" s="128">
        <v>550000</v>
      </c>
      <c r="K1763" s="127" t="s">
        <v>550</v>
      </c>
      <c r="L1763" s="151">
        <v>553271</v>
      </c>
      <c r="M1763" s="128">
        <v>0</v>
      </c>
      <c r="N1763" s="127" t="s">
        <v>678</v>
      </c>
      <c r="O1763" s="127" t="s">
        <v>457</v>
      </c>
      <c r="P1763" s="128">
        <v>-26477.79</v>
      </c>
      <c r="Q1763" s="128">
        <v>0</v>
      </c>
      <c r="R1763" s="128">
        <v>0</v>
      </c>
      <c r="S1763" s="128">
        <v>0</v>
      </c>
      <c r="T1763" s="128">
        <v>-26477.79</v>
      </c>
      <c r="U1763" s="128">
        <v>0</v>
      </c>
      <c r="V1763" s="128">
        <v>-26477.79</v>
      </c>
      <c r="W1763" s="128">
        <v>0</v>
      </c>
      <c r="X1763" s="128">
        <v>0</v>
      </c>
      <c r="Y1763" s="128">
        <v>0</v>
      </c>
      <c r="Z1763" s="128">
        <v>-26477.79</v>
      </c>
      <c r="AA1763" s="128">
        <v>0</v>
      </c>
      <c r="AB1763" s="126">
        <f t="shared" si="186"/>
        <v>2.6477790000000003E-3</v>
      </c>
      <c r="AC1763" s="122" t="s">
        <v>1838</v>
      </c>
      <c r="AD1763" s="123">
        <f t="shared" si="187"/>
        <v>17.025197822999999</v>
      </c>
    </row>
    <row r="1764" spans="1:30" ht="12.75" hidden="1" customHeight="1">
      <c r="A1764" s="125" t="str">
        <f t="shared" si="183"/>
        <v>LIC40Other Expenses-GDP</v>
      </c>
      <c r="B1764" s="125">
        <f>+IFERROR(VLOOKUP(L1764,'TB mapping'!A:D,4,0),0)</f>
        <v>0</v>
      </c>
      <c r="C1764" s="125">
        <f>+IFERROR(VLOOKUP(L1764,'TB mapping'!A:C,3,0),0)</f>
        <v>6.3</v>
      </c>
      <c r="D1764" s="125" t="str">
        <f t="shared" si="184"/>
        <v>LIC400</v>
      </c>
      <c r="E1764" s="125" t="str">
        <f t="shared" si="185"/>
        <v>LIC406.3</v>
      </c>
      <c r="F1764" s="158" t="str">
        <f>+VLOOKUP(H1764,'code mapping'!A:C,3,0)</f>
        <v>LIC40</v>
      </c>
      <c r="G1764" s="127" t="s">
        <v>453</v>
      </c>
      <c r="H1764" s="127" t="s">
        <v>729</v>
      </c>
      <c r="I1764" s="127" t="s">
        <v>63</v>
      </c>
      <c r="J1764" s="128">
        <v>550000</v>
      </c>
      <c r="K1764" s="127" t="s">
        <v>550</v>
      </c>
      <c r="L1764" s="151">
        <v>553329</v>
      </c>
      <c r="M1764" s="128">
        <v>0</v>
      </c>
      <c r="N1764" s="127" t="s">
        <v>567</v>
      </c>
      <c r="O1764" s="127" t="s">
        <v>457</v>
      </c>
      <c r="P1764" s="128">
        <v>-8917705.6300000008</v>
      </c>
      <c r="Q1764" s="128">
        <v>0</v>
      </c>
      <c r="R1764" s="128">
        <v>0</v>
      </c>
      <c r="S1764" s="128">
        <v>0</v>
      </c>
      <c r="T1764" s="128">
        <v>-8917705.6300000008</v>
      </c>
      <c r="U1764" s="128">
        <v>0</v>
      </c>
      <c r="V1764" s="128">
        <v>-8917705.6300000008</v>
      </c>
      <c r="W1764" s="128">
        <v>0</v>
      </c>
      <c r="X1764" s="128">
        <v>0</v>
      </c>
      <c r="Y1764" s="128">
        <v>0</v>
      </c>
      <c r="Z1764" s="128">
        <v>-8917705.6300000008</v>
      </c>
      <c r="AA1764" s="128">
        <v>0</v>
      </c>
      <c r="AB1764" s="126">
        <f t="shared" si="186"/>
        <v>0.89177056300000013</v>
      </c>
      <c r="AC1764" s="122" t="s">
        <v>1838</v>
      </c>
      <c r="AD1764" s="123">
        <f t="shared" si="187"/>
        <v>17.025197822999999</v>
      </c>
    </row>
    <row r="1765" spans="1:30" ht="12.75" hidden="1" customHeight="1">
      <c r="A1765" s="125" t="str">
        <f t="shared" si="183"/>
        <v>LIC40Other Expenses-MDP</v>
      </c>
      <c r="B1765" s="125">
        <f>+IFERROR(VLOOKUP(L1765,'TB mapping'!A:D,4,0),0)</f>
        <v>0</v>
      </c>
      <c r="C1765" s="125">
        <f>+IFERROR(VLOOKUP(L1765,'TB mapping'!A:C,3,0),0)</f>
        <v>6.3</v>
      </c>
      <c r="D1765" s="125" t="str">
        <f t="shared" si="184"/>
        <v>LIC400</v>
      </c>
      <c r="E1765" s="125" t="str">
        <f t="shared" si="185"/>
        <v>LIC406.3</v>
      </c>
      <c r="F1765" s="158" t="str">
        <f>+VLOOKUP(H1765,'code mapping'!A:C,3,0)</f>
        <v>LIC40</v>
      </c>
      <c r="G1765" s="127" t="s">
        <v>453</v>
      </c>
      <c r="H1765" s="127" t="s">
        <v>729</v>
      </c>
      <c r="I1765" s="127" t="s">
        <v>63</v>
      </c>
      <c r="J1765" s="128">
        <v>550000</v>
      </c>
      <c r="K1765" s="127" t="s">
        <v>550</v>
      </c>
      <c r="L1765" s="151">
        <v>553332</v>
      </c>
      <c r="M1765" s="128">
        <v>0</v>
      </c>
      <c r="N1765" s="127" t="s">
        <v>679</v>
      </c>
      <c r="O1765" s="127" t="s">
        <v>457</v>
      </c>
      <c r="P1765" s="128">
        <v>-21205.279999999999</v>
      </c>
      <c r="Q1765" s="128">
        <v>0</v>
      </c>
      <c r="R1765" s="128">
        <v>0</v>
      </c>
      <c r="S1765" s="128">
        <v>0</v>
      </c>
      <c r="T1765" s="128">
        <v>-21205.279999999999</v>
      </c>
      <c r="U1765" s="128">
        <v>0</v>
      </c>
      <c r="V1765" s="128">
        <v>-21205.279999999999</v>
      </c>
      <c r="W1765" s="128">
        <v>0</v>
      </c>
      <c r="X1765" s="128">
        <v>0</v>
      </c>
      <c r="Y1765" s="128">
        <v>0</v>
      </c>
      <c r="Z1765" s="128">
        <v>-21205.279999999999</v>
      </c>
      <c r="AA1765" s="128">
        <v>0</v>
      </c>
      <c r="AB1765" s="126">
        <f t="shared" si="186"/>
        <v>2.120528E-3</v>
      </c>
      <c r="AC1765" s="122" t="s">
        <v>1838</v>
      </c>
      <c r="AD1765" s="123">
        <f t="shared" si="187"/>
        <v>17.025197822999999</v>
      </c>
    </row>
    <row r="1766" spans="1:30" ht="12.75" hidden="1" customHeight="1">
      <c r="A1766" s="125" t="str">
        <f t="shared" si="183"/>
        <v>LIC40Other Expenses-DPD</v>
      </c>
      <c r="B1766" s="125">
        <f>+IFERROR(VLOOKUP(L1766,'TB mapping'!A:D,4,0),0)</f>
        <v>0</v>
      </c>
      <c r="C1766" s="125">
        <f>+IFERROR(VLOOKUP(L1766,'TB mapping'!A:C,3,0),0)</f>
        <v>6.3</v>
      </c>
      <c r="D1766" s="125" t="str">
        <f t="shared" si="184"/>
        <v>LIC400</v>
      </c>
      <c r="E1766" s="125" t="str">
        <f t="shared" si="185"/>
        <v>LIC406.3</v>
      </c>
      <c r="F1766" s="158" t="str">
        <f>+VLOOKUP(H1766,'code mapping'!A:C,3,0)</f>
        <v>LIC40</v>
      </c>
      <c r="G1766" s="127" t="s">
        <v>453</v>
      </c>
      <c r="H1766" s="127" t="s">
        <v>729</v>
      </c>
      <c r="I1766" s="127" t="s">
        <v>63</v>
      </c>
      <c r="J1766" s="128">
        <v>550000</v>
      </c>
      <c r="K1766" s="127" t="s">
        <v>550</v>
      </c>
      <c r="L1766" s="151">
        <v>553350</v>
      </c>
      <c r="M1766" s="128">
        <v>0</v>
      </c>
      <c r="N1766" s="127" t="s">
        <v>680</v>
      </c>
      <c r="O1766" s="127" t="s">
        <v>457</v>
      </c>
      <c r="P1766" s="128">
        <v>-714919.29</v>
      </c>
      <c r="Q1766" s="128">
        <v>0</v>
      </c>
      <c r="R1766" s="128">
        <v>0</v>
      </c>
      <c r="S1766" s="128">
        <v>0</v>
      </c>
      <c r="T1766" s="128">
        <v>-714919.29</v>
      </c>
      <c r="U1766" s="128">
        <v>0</v>
      </c>
      <c r="V1766" s="128">
        <v>-714919.29</v>
      </c>
      <c r="W1766" s="128">
        <v>0</v>
      </c>
      <c r="X1766" s="128">
        <v>0</v>
      </c>
      <c r="Y1766" s="128">
        <v>0</v>
      </c>
      <c r="Z1766" s="128">
        <v>-714919.29</v>
      </c>
      <c r="AA1766" s="128">
        <v>0</v>
      </c>
      <c r="AB1766" s="126">
        <f t="shared" si="186"/>
        <v>7.149192900000001E-2</v>
      </c>
      <c r="AC1766" s="122" t="s">
        <v>1838</v>
      </c>
      <c r="AD1766" s="123">
        <f t="shared" si="187"/>
        <v>17.025197822999999</v>
      </c>
    </row>
    <row r="1767" spans="1:30" ht="12.75" hidden="1" customHeight="1">
      <c r="A1767" s="125" t="str">
        <f t="shared" si="183"/>
        <v>LIC40Other Expenses-WDP</v>
      </c>
      <c r="B1767" s="125">
        <f>+IFERROR(VLOOKUP(L1767,'TB mapping'!A:D,4,0),0)</f>
        <v>0</v>
      </c>
      <c r="C1767" s="125">
        <f>+IFERROR(VLOOKUP(L1767,'TB mapping'!A:C,3,0),0)</f>
        <v>6.3</v>
      </c>
      <c r="D1767" s="125" t="str">
        <f t="shared" si="184"/>
        <v>LIC400</v>
      </c>
      <c r="E1767" s="125" t="str">
        <f t="shared" si="185"/>
        <v>LIC406.3</v>
      </c>
      <c r="F1767" s="158" t="str">
        <f>+VLOOKUP(H1767,'code mapping'!A:C,3,0)</f>
        <v>LIC40</v>
      </c>
      <c r="G1767" s="127" t="s">
        <v>453</v>
      </c>
      <c r="H1767" s="127" t="s">
        <v>729</v>
      </c>
      <c r="I1767" s="127" t="s">
        <v>63</v>
      </c>
      <c r="J1767" s="128">
        <v>550000</v>
      </c>
      <c r="K1767" s="127" t="s">
        <v>550</v>
      </c>
      <c r="L1767" s="151">
        <v>553352</v>
      </c>
      <c r="M1767" s="128">
        <v>0</v>
      </c>
      <c r="N1767" s="127" t="s">
        <v>681</v>
      </c>
      <c r="O1767" s="127" t="s">
        <v>457</v>
      </c>
      <c r="P1767" s="128">
        <v>-25374.79</v>
      </c>
      <c r="Q1767" s="128">
        <v>0</v>
      </c>
      <c r="R1767" s="128">
        <v>0</v>
      </c>
      <c r="S1767" s="128">
        <v>0</v>
      </c>
      <c r="T1767" s="128">
        <v>-25374.79</v>
      </c>
      <c r="U1767" s="128">
        <v>0</v>
      </c>
      <c r="V1767" s="128">
        <v>-25374.79</v>
      </c>
      <c r="W1767" s="128">
        <v>0</v>
      </c>
      <c r="X1767" s="128">
        <v>0</v>
      </c>
      <c r="Y1767" s="128">
        <v>0</v>
      </c>
      <c r="Z1767" s="128">
        <v>-25374.79</v>
      </c>
      <c r="AA1767" s="128">
        <v>0</v>
      </c>
      <c r="AB1767" s="126">
        <f t="shared" si="186"/>
        <v>2.537479E-3</v>
      </c>
      <c r="AC1767" s="122" t="s">
        <v>1838</v>
      </c>
      <c r="AD1767" s="123">
        <f t="shared" si="187"/>
        <v>17.025197822999999</v>
      </c>
    </row>
    <row r="1768" spans="1:30" ht="12.75" hidden="1" customHeight="1">
      <c r="A1768" s="125" t="str">
        <f t="shared" si="183"/>
        <v>LIC40Inv Educ Fund Expense - Amfi</v>
      </c>
      <c r="B1768" s="125">
        <f>+IFERROR(VLOOKUP(L1768,'TB mapping'!A:D,4,0),0)</f>
        <v>0</v>
      </c>
      <c r="C1768" s="125">
        <f>+IFERROR(VLOOKUP(L1768,'TB mapping'!A:C,3,0),0)</f>
        <v>6.3</v>
      </c>
      <c r="D1768" s="125" t="str">
        <f t="shared" si="184"/>
        <v>LIC400</v>
      </c>
      <c r="E1768" s="125" t="str">
        <f t="shared" si="185"/>
        <v>LIC406.3</v>
      </c>
      <c r="F1768" s="158" t="str">
        <f>+VLOOKUP(H1768,'code mapping'!A:C,3,0)</f>
        <v>LIC40</v>
      </c>
      <c r="G1768" s="127" t="s">
        <v>453</v>
      </c>
      <c r="H1768" s="127" t="s">
        <v>729</v>
      </c>
      <c r="I1768" s="127" t="s">
        <v>63</v>
      </c>
      <c r="J1768" s="128">
        <v>550000</v>
      </c>
      <c r="K1768" s="127" t="s">
        <v>550</v>
      </c>
      <c r="L1768" s="151">
        <v>554526</v>
      </c>
      <c r="M1768" s="128">
        <v>0</v>
      </c>
      <c r="N1768" s="127" t="s">
        <v>569</v>
      </c>
      <c r="O1768" s="127" t="s">
        <v>457</v>
      </c>
      <c r="P1768" s="128">
        <v>-3322305.93</v>
      </c>
      <c r="Q1768" s="128">
        <v>0</v>
      </c>
      <c r="R1768" s="128">
        <v>0</v>
      </c>
      <c r="S1768" s="128">
        <v>0</v>
      </c>
      <c r="T1768" s="128">
        <v>-3322305.93</v>
      </c>
      <c r="U1768" s="128">
        <v>0</v>
      </c>
      <c r="V1768" s="128">
        <v>-3322305.93</v>
      </c>
      <c r="W1768" s="128">
        <v>0</v>
      </c>
      <c r="X1768" s="128">
        <v>0</v>
      </c>
      <c r="Y1768" s="128">
        <v>0</v>
      </c>
      <c r="Z1768" s="128">
        <v>-3322305.93</v>
      </c>
      <c r="AA1768" s="128">
        <v>0</v>
      </c>
      <c r="AB1768" s="126">
        <f t="shared" si="186"/>
        <v>0.33223059300000002</v>
      </c>
      <c r="AC1768" s="122" t="s">
        <v>1838</v>
      </c>
      <c r="AD1768" s="123">
        <f t="shared" si="187"/>
        <v>17.025197822999999</v>
      </c>
    </row>
    <row r="1769" spans="1:30" ht="12.75" hidden="1" customHeight="1">
      <c r="A1769" s="125" t="str">
        <f t="shared" si="183"/>
        <v>LIC40Transaction Processing Charges</v>
      </c>
      <c r="B1769" s="125">
        <f>+IFERROR(VLOOKUP(L1769,'TB mapping'!A:D,4,0),0)</f>
        <v>0</v>
      </c>
      <c r="C1769" s="125">
        <f>+IFERROR(VLOOKUP(L1769,'TB mapping'!A:C,3,0),0)</f>
        <v>6.3</v>
      </c>
      <c r="D1769" s="125" t="str">
        <f t="shared" si="184"/>
        <v>LIC400</v>
      </c>
      <c r="E1769" s="125" t="str">
        <f t="shared" si="185"/>
        <v>LIC406.3</v>
      </c>
      <c r="F1769" s="158" t="str">
        <f>+VLOOKUP(H1769,'code mapping'!A:C,3,0)</f>
        <v>LIC40</v>
      </c>
      <c r="G1769" s="127" t="s">
        <v>453</v>
      </c>
      <c r="H1769" s="127" t="s">
        <v>729</v>
      </c>
      <c r="I1769" s="127" t="s">
        <v>63</v>
      </c>
      <c r="J1769" s="128">
        <v>550000</v>
      </c>
      <c r="K1769" s="127" t="s">
        <v>550</v>
      </c>
      <c r="L1769" s="151">
        <v>554527</v>
      </c>
      <c r="M1769" s="128">
        <v>0</v>
      </c>
      <c r="N1769" s="127" t="s">
        <v>570</v>
      </c>
      <c r="O1769" s="127" t="s">
        <v>457</v>
      </c>
      <c r="P1769" s="128">
        <v>-448</v>
      </c>
      <c r="Q1769" s="128">
        <v>0</v>
      </c>
      <c r="R1769" s="128">
        <v>0</v>
      </c>
      <c r="S1769" s="128">
        <v>0</v>
      </c>
      <c r="T1769" s="128">
        <v>-448</v>
      </c>
      <c r="U1769" s="128">
        <v>0</v>
      </c>
      <c r="V1769" s="128">
        <v>-448</v>
      </c>
      <c r="W1769" s="128">
        <v>0</v>
      </c>
      <c r="X1769" s="128">
        <v>0</v>
      </c>
      <c r="Y1769" s="128">
        <v>0</v>
      </c>
      <c r="Z1769" s="128">
        <v>-448</v>
      </c>
      <c r="AA1769" s="128">
        <v>0</v>
      </c>
      <c r="AB1769" s="126">
        <f t="shared" si="186"/>
        <v>4.4799999999999998E-5</v>
      </c>
      <c r="AC1769" s="122" t="s">
        <v>1838</v>
      </c>
      <c r="AD1769" s="123">
        <f t="shared" si="187"/>
        <v>17.025197822999999</v>
      </c>
    </row>
    <row r="1770" spans="1:30" ht="12.75" hidden="1" customHeight="1">
      <c r="A1770" s="125" t="str">
        <f t="shared" si="183"/>
        <v>LIC40Int On Borrowing From Bank</v>
      </c>
      <c r="B1770" s="125">
        <f>+IFERROR(VLOOKUP(L1770,'TB mapping'!A:D,4,0),0)</f>
        <v>0</v>
      </c>
      <c r="C1770" s="125">
        <f>+IFERROR(VLOOKUP(L1770,'TB mapping'!A:C,3,0),0)</f>
        <v>6.3</v>
      </c>
      <c r="D1770" s="125" t="str">
        <f t="shared" si="184"/>
        <v>LIC400</v>
      </c>
      <c r="E1770" s="125" t="str">
        <f t="shared" si="185"/>
        <v>LIC406.3</v>
      </c>
      <c r="F1770" s="158" t="str">
        <f>+VLOOKUP(H1770,'code mapping'!A:C,3,0)</f>
        <v>LIC40</v>
      </c>
      <c r="G1770" s="127" t="s">
        <v>453</v>
      </c>
      <c r="H1770" s="127" t="s">
        <v>729</v>
      </c>
      <c r="I1770" s="127" t="s">
        <v>63</v>
      </c>
      <c r="J1770" s="128">
        <v>550000</v>
      </c>
      <c r="K1770" s="127" t="s">
        <v>550</v>
      </c>
      <c r="L1770" s="151">
        <v>555156</v>
      </c>
      <c r="M1770" s="128">
        <v>0</v>
      </c>
      <c r="N1770" s="127" t="s">
        <v>742</v>
      </c>
      <c r="O1770" s="127" t="s">
        <v>457</v>
      </c>
      <c r="P1770" s="128">
        <v>-3609808.29</v>
      </c>
      <c r="Q1770" s="128">
        <v>0</v>
      </c>
      <c r="R1770" s="128">
        <v>0</v>
      </c>
      <c r="S1770" s="128">
        <v>0</v>
      </c>
      <c r="T1770" s="128">
        <v>-3609808.29</v>
      </c>
      <c r="U1770" s="128">
        <v>0</v>
      </c>
      <c r="V1770" s="128">
        <v>-3609808.29</v>
      </c>
      <c r="W1770" s="128">
        <v>0</v>
      </c>
      <c r="X1770" s="128">
        <v>0</v>
      </c>
      <c r="Y1770" s="128">
        <v>0</v>
      </c>
      <c r="Z1770" s="128">
        <v>-3609808.29</v>
      </c>
      <c r="AA1770" s="128">
        <v>0</v>
      </c>
      <c r="AB1770" s="126">
        <f t="shared" si="186"/>
        <v>0.360980829</v>
      </c>
      <c r="AC1770" s="122" t="s">
        <v>1838</v>
      </c>
      <c r="AD1770" s="123">
        <f t="shared" si="187"/>
        <v>17.025197822999999</v>
      </c>
    </row>
    <row r="1771" spans="1:30" ht="12.75" hidden="1" customHeight="1">
      <c r="A1771" s="125" t="str">
        <f t="shared" si="183"/>
        <v>LIC40Client Servicing Expenes</v>
      </c>
      <c r="B1771" s="125">
        <f>+IFERROR(VLOOKUP(L1771,'TB mapping'!A:D,4,0),0)</f>
        <v>0</v>
      </c>
      <c r="C1771" s="125">
        <f>+IFERROR(VLOOKUP(L1771,'TB mapping'!A:C,3,0),0)</f>
        <v>6.3</v>
      </c>
      <c r="D1771" s="125" t="str">
        <f t="shared" si="184"/>
        <v>LIC400</v>
      </c>
      <c r="E1771" s="125" t="str">
        <f t="shared" si="185"/>
        <v>LIC406.3</v>
      </c>
      <c r="F1771" s="158" t="str">
        <f>+VLOOKUP(H1771,'code mapping'!A:C,3,0)</f>
        <v>LIC40</v>
      </c>
      <c r="G1771" s="127" t="s">
        <v>453</v>
      </c>
      <c r="H1771" s="127" t="s">
        <v>729</v>
      </c>
      <c r="I1771" s="127" t="s">
        <v>63</v>
      </c>
      <c r="J1771" s="128">
        <v>550000</v>
      </c>
      <c r="K1771" s="127" t="s">
        <v>550</v>
      </c>
      <c r="L1771" s="151">
        <v>555157</v>
      </c>
      <c r="M1771" s="128">
        <v>0</v>
      </c>
      <c r="N1771" s="127" t="s">
        <v>571</v>
      </c>
      <c r="O1771" s="127" t="s">
        <v>457</v>
      </c>
      <c r="P1771" s="128">
        <v>-46082432.009999998</v>
      </c>
      <c r="Q1771" s="128">
        <v>0</v>
      </c>
      <c r="R1771" s="128">
        <v>0</v>
      </c>
      <c r="S1771" s="128">
        <v>0</v>
      </c>
      <c r="T1771" s="128">
        <v>-46082432.009999998</v>
      </c>
      <c r="U1771" s="128">
        <v>0</v>
      </c>
      <c r="V1771" s="128">
        <v>-46082432.009999998</v>
      </c>
      <c r="W1771" s="128">
        <v>0</v>
      </c>
      <c r="X1771" s="128">
        <v>0</v>
      </c>
      <c r="Y1771" s="128">
        <v>0</v>
      </c>
      <c r="Z1771" s="128">
        <v>-46082432.009999998</v>
      </c>
      <c r="AA1771" s="128">
        <v>0</v>
      </c>
      <c r="AB1771" s="126">
        <f t="shared" si="186"/>
        <v>4.6082432009999996</v>
      </c>
      <c r="AC1771" s="122" t="s">
        <v>1838</v>
      </c>
      <c r="AD1771" s="123">
        <f t="shared" si="187"/>
        <v>17.025197822999999</v>
      </c>
    </row>
    <row r="1772" spans="1:30" ht="12.75" hidden="1" customHeight="1">
      <c r="A1772" s="125" t="str">
        <f t="shared" si="183"/>
        <v>LIC40Management Fees - RDD</v>
      </c>
      <c r="B1772" s="125">
        <f>+IFERROR(VLOOKUP(L1772,'TB mapping'!A:D,4,0),0)</f>
        <v>6.1</v>
      </c>
      <c r="C1772" s="125">
        <f>+IFERROR(VLOOKUP(L1772,'TB mapping'!A:C,3,0),0)</f>
        <v>6.3</v>
      </c>
      <c r="D1772" s="125" t="str">
        <f t="shared" si="184"/>
        <v>LIC406.1</v>
      </c>
      <c r="E1772" s="125" t="str">
        <f t="shared" si="185"/>
        <v>LIC406.3</v>
      </c>
      <c r="F1772" s="158" t="str">
        <f>+VLOOKUP(H1772,'code mapping'!A:C,3,0)</f>
        <v>LIC40</v>
      </c>
      <c r="G1772" s="127" t="s">
        <v>453</v>
      </c>
      <c r="H1772" s="127" t="s">
        <v>729</v>
      </c>
      <c r="I1772" s="127" t="s">
        <v>63</v>
      </c>
      <c r="J1772" s="128">
        <v>550000</v>
      </c>
      <c r="K1772" s="127" t="s">
        <v>550</v>
      </c>
      <c r="L1772" s="151">
        <v>555255</v>
      </c>
      <c r="M1772" s="128">
        <v>0</v>
      </c>
      <c r="N1772" s="127" t="s">
        <v>682</v>
      </c>
      <c r="O1772" s="127" t="s">
        <v>457</v>
      </c>
      <c r="P1772" s="128">
        <v>-2426840.61</v>
      </c>
      <c r="Q1772" s="128">
        <v>0</v>
      </c>
      <c r="R1772" s="128">
        <v>0</v>
      </c>
      <c r="S1772" s="128">
        <v>0</v>
      </c>
      <c r="T1772" s="128">
        <v>-2426840.61</v>
      </c>
      <c r="U1772" s="128">
        <v>0</v>
      </c>
      <c r="V1772" s="128">
        <v>-2426840.61</v>
      </c>
      <c r="W1772" s="128">
        <v>0</v>
      </c>
      <c r="X1772" s="128">
        <v>0</v>
      </c>
      <c r="Y1772" s="128">
        <v>0</v>
      </c>
      <c r="Z1772" s="128">
        <v>-2426840.61</v>
      </c>
      <c r="AA1772" s="128">
        <v>0</v>
      </c>
      <c r="AB1772" s="126">
        <f t="shared" si="186"/>
        <v>0.24268406099999998</v>
      </c>
      <c r="AC1772" s="122" t="s">
        <v>1838</v>
      </c>
      <c r="AD1772" s="123">
        <f t="shared" si="187"/>
        <v>17.025197822999999</v>
      </c>
    </row>
    <row r="1773" spans="1:30" ht="12.75" hidden="1" customHeight="1">
      <c r="A1773" s="125" t="str">
        <f t="shared" si="183"/>
        <v>LIC40Management Fees - RWD</v>
      </c>
      <c r="B1773" s="125">
        <f>+IFERROR(VLOOKUP(L1773,'TB mapping'!A:D,4,0),0)</f>
        <v>6.1</v>
      </c>
      <c r="C1773" s="125">
        <f>+IFERROR(VLOOKUP(L1773,'TB mapping'!A:C,3,0),0)</f>
        <v>6.3</v>
      </c>
      <c r="D1773" s="125" t="str">
        <f t="shared" si="184"/>
        <v>LIC406.1</v>
      </c>
      <c r="E1773" s="125" t="str">
        <f t="shared" si="185"/>
        <v>LIC406.3</v>
      </c>
      <c r="F1773" s="158" t="str">
        <f>+VLOOKUP(H1773,'code mapping'!A:C,3,0)</f>
        <v>LIC40</v>
      </c>
      <c r="G1773" s="127" t="s">
        <v>453</v>
      </c>
      <c r="H1773" s="127" t="s">
        <v>729</v>
      </c>
      <c r="I1773" s="127" t="s">
        <v>63</v>
      </c>
      <c r="J1773" s="128">
        <v>550000</v>
      </c>
      <c r="K1773" s="127" t="s">
        <v>550</v>
      </c>
      <c r="L1773" s="151">
        <v>555257</v>
      </c>
      <c r="M1773" s="128">
        <v>0</v>
      </c>
      <c r="N1773" s="127" t="s">
        <v>683</v>
      </c>
      <c r="O1773" s="127" t="s">
        <v>457</v>
      </c>
      <c r="P1773" s="128">
        <v>-343651.96</v>
      </c>
      <c r="Q1773" s="128">
        <v>0</v>
      </c>
      <c r="R1773" s="128">
        <v>0</v>
      </c>
      <c r="S1773" s="128">
        <v>0</v>
      </c>
      <c r="T1773" s="128">
        <v>-343651.96</v>
      </c>
      <c r="U1773" s="128">
        <v>0</v>
      </c>
      <c r="V1773" s="128">
        <v>-343651.96</v>
      </c>
      <c r="W1773" s="128">
        <v>0</v>
      </c>
      <c r="X1773" s="128">
        <v>0</v>
      </c>
      <c r="Y1773" s="128">
        <v>0</v>
      </c>
      <c r="Z1773" s="128">
        <v>-343651.96</v>
      </c>
      <c r="AA1773" s="128">
        <v>0</v>
      </c>
      <c r="AB1773" s="126">
        <f t="shared" si="186"/>
        <v>3.4365196000000001E-2</v>
      </c>
      <c r="AC1773" s="122" t="s">
        <v>1838</v>
      </c>
      <c r="AD1773" s="123">
        <f t="shared" si="187"/>
        <v>17.025197822999999</v>
      </c>
    </row>
    <row r="1774" spans="1:30" ht="12.75" hidden="1" customHeight="1">
      <c r="A1774" s="125" t="str">
        <f t="shared" si="183"/>
        <v>LIC40Management Fees - RMD</v>
      </c>
      <c r="B1774" s="125">
        <f>+IFERROR(VLOOKUP(L1774,'TB mapping'!A:D,4,0),0)</f>
        <v>6.1</v>
      </c>
      <c r="C1774" s="125">
        <f>+IFERROR(VLOOKUP(L1774,'TB mapping'!A:C,3,0),0)</f>
        <v>6.3</v>
      </c>
      <c r="D1774" s="125" t="str">
        <f t="shared" si="184"/>
        <v>LIC406.1</v>
      </c>
      <c r="E1774" s="125" t="str">
        <f t="shared" si="185"/>
        <v>LIC406.3</v>
      </c>
      <c r="F1774" s="158" t="str">
        <f>+VLOOKUP(H1774,'code mapping'!A:C,3,0)</f>
        <v>LIC40</v>
      </c>
      <c r="G1774" s="127" t="s">
        <v>453</v>
      </c>
      <c r="H1774" s="127" t="s">
        <v>729</v>
      </c>
      <c r="I1774" s="127" t="s">
        <v>63</v>
      </c>
      <c r="J1774" s="128">
        <v>550000</v>
      </c>
      <c r="K1774" s="127" t="s">
        <v>550</v>
      </c>
      <c r="L1774" s="151">
        <v>555271</v>
      </c>
      <c r="M1774" s="128">
        <v>0</v>
      </c>
      <c r="N1774" s="127" t="s">
        <v>684</v>
      </c>
      <c r="O1774" s="127" t="s">
        <v>457</v>
      </c>
      <c r="P1774" s="128">
        <v>-103772.47</v>
      </c>
      <c r="Q1774" s="128">
        <v>0</v>
      </c>
      <c r="R1774" s="128">
        <v>0</v>
      </c>
      <c r="S1774" s="128">
        <v>0</v>
      </c>
      <c r="T1774" s="128">
        <v>-103772.47</v>
      </c>
      <c r="U1774" s="128">
        <v>0</v>
      </c>
      <c r="V1774" s="128">
        <v>-103772.47</v>
      </c>
      <c r="W1774" s="128">
        <v>0</v>
      </c>
      <c r="X1774" s="128">
        <v>0</v>
      </c>
      <c r="Y1774" s="128">
        <v>0</v>
      </c>
      <c r="Z1774" s="128">
        <v>-103772.47</v>
      </c>
      <c r="AA1774" s="128">
        <v>0</v>
      </c>
      <c r="AB1774" s="126">
        <f t="shared" si="186"/>
        <v>1.0377247000000001E-2</v>
      </c>
      <c r="AC1774" s="122" t="s">
        <v>1838</v>
      </c>
      <c r="AD1774" s="123">
        <f t="shared" si="187"/>
        <v>17.025197822999999</v>
      </c>
    </row>
    <row r="1775" spans="1:30" ht="12.75" hidden="1" customHeight="1">
      <c r="A1775" s="125" t="str">
        <f t="shared" si="183"/>
        <v>LIC40Management Fee-Reclassfication</v>
      </c>
      <c r="B1775" s="125">
        <f>+IFERROR(VLOOKUP(L1775,'TB mapping'!A:D,4,0),0)</f>
        <v>6.1</v>
      </c>
      <c r="C1775" s="125">
        <f>+IFERROR(VLOOKUP(L1775,'TB mapping'!A:C,3,0),0)</f>
        <v>6.3</v>
      </c>
      <c r="D1775" s="125" t="str">
        <f t="shared" si="184"/>
        <v>LIC406.1</v>
      </c>
      <c r="E1775" s="125" t="str">
        <f t="shared" si="185"/>
        <v>LIC406.3</v>
      </c>
      <c r="F1775" s="158" t="str">
        <f>+VLOOKUP(H1775,'code mapping'!A:C,3,0)</f>
        <v>LIC40</v>
      </c>
      <c r="G1775" s="127" t="s">
        <v>453</v>
      </c>
      <c r="H1775" s="127" t="s">
        <v>729</v>
      </c>
      <c r="I1775" s="127" t="s">
        <v>63</v>
      </c>
      <c r="J1775" s="128">
        <v>550000</v>
      </c>
      <c r="K1775" s="127" t="s">
        <v>550</v>
      </c>
      <c r="L1775" s="151">
        <v>555274</v>
      </c>
      <c r="M1775" s="128">
        <v>0</v>
      </c>
      <c r="N1775" s="127" t="s">
        <v>583</v>
      </c>
      <c r="O1775" s="127" t="s">
        <v>457</v>
      </c>
      <c r="P1775" s="128">
        <v>-6779660.6200000001</v>
      </c>
      <c r="Q1775" s="128">
        <v>0</v>
      </c>
      <c r="R1775" s="128">
        <v>0</v>
      </c>
      <c r="S1775" s="128">
        <v>0</v>
      </c>
      <c r="T1775" s="128">
        <v>-6779660.6200000001</v>
      </c>
      <c r="U1775" s="128">
        <v>0</v>
      </c>
      <c r="V1775" s="128">
        <v>-6779660.6200000001</v>
      </c>
      <c r="W1775" s="128">
        <v>0</v>
      </c>
      <c r="X1775" s="128">
        <v>0</v>
      </c>
      <c r="Y1775" s="128">
        <v>0</v>
      </c>
      <c r="Z1775" s="128">
        <v>-6779660.6200000001</v>
      </c>
      <c r="AA1775" s="128">
        <v>0</v>
      </c>
      <c r="AB1775" s="126">
        <f t="shared" si="186"/>
        <v>0.67796606199999998</v>
      </c>
      <c r="AC1775" s="122" t="s">
        <v>1838</v>
      </c>
      <c r="AD1775" s="123">
        <f t="shared" si="187"/>
        <v>17.025197822999999</v>
      </c>
    </row>
    <row r="1776" spans="1:30" ht="12.75" hidden="1" customHeight="1">
      <c r="A1776" s="125" t="str">
        <f t="shared" si="183"/>
        <v>LIC40CGST on Mfees</v>
      </c>
      <c r="B1776" s="125">
        <f>+IFERROR(VLOOKUP(L1776,'TB mapping'!A:D,4,0),0)</f>
        <v>6.1</v>
      </c>
      <c r="C1776" s="125">
        <f>+IFERROR(VLOOKUP(L1776,'TB mapping'!A:C,3,0),0)</f>
        <v>6.3</v>
      </c>
      <c r="D1776" s="125" t="str">
        <f t="shared" si="184"/>
        <v>LIC406.1</v>
      </c>
      <c r="E1776" s="125" t="str">
        <f t="shared" si="185"/>
        <v>LIC406.3</v>
      </c>
      <c r="F1776" s="158" t="str">
        <f>+VLOOKUP(H1776,'code mapping'!A:C,3,0)</f>
        <v>LIC40</v>
      </c>
      <c r="G1776" s="127" t="s">
        <v>453</v>
      </c>
      <c r="H1776" s="127" t="s">
        <v>729</v>
      </c>
      <c r="I1776" s="127" t="s">
        <v>63</v>
      </c>
      <c r="J1776" s="128">
        <v>550000</v>
      </c>
      <c r="K1776" s="127" t="s">
        <v>550</v>
      </c>
      <c r="L1776" s="151">
        <v>555597</v>
      </c>
      <c r="M1776" s="128">
        <v>0</v>
      </c>
      <c r="N1776" s="127" t="s">
        <v>574</v>
      </c>
      <c r="O1776" s="127" t="s">
        <v>457</v>
      </c>
      <c r="P1776" s="128">
        <v>-5450824.3099999996</v>
      </c>
      <c r="Q1776" s="128">
        <v>0</v>
      </c>
      <c r="R1776" s="128">
        <v>0</v>
      </c>
      <c r="S1776" s="128">
        <v>0</v>
      </c>
      <c r="T1776" s="128">
        <v>-5450824.3099999996</v>
      </c>
      <c r="U1776" s="128">
        <v>0</v>
      </c>
      <c r="V1776" s="128">
        <v>-5450824.3099999996</v>
      </c>
      <c r="W1776" s="128">
        <v>0</v>
      </c>
      <c r="X1776" s="128">
        <v>0</v>
      </c>
      <c r="Y1776" s="128">
        <v>0</v>
      </c>
      <c r="Z1776" s="128">
        <v>-5450824.3099999996</v>
      </c>
      <c r="AA1776" s="128">
        <v>0</v>
      </c>
      <c r="AB1776" s="126">
        <f t="shared" si="186"/>
        <v>0.54508243099999998</v>
      </c>
      <c r="AC1776" s="122" t="s">
        <v>1838</v>
      </c>
      <c r="AD1776" s="123">
        <f t="shared" si="187"/>
        <v>17.025197822999999</v>
      </c>
    </row>
    <row r="1777" spans="1:30" ht="12.75" hidden="1" customHeight="1">
      <c r="A1777" s="125" t="str">
        <f t="shared" si="183"/>
        <v>LIC40SGST on Mfees</v>
      </c>
      <c r="B1777" s="125">
        <f>+IFERROR(VLOOKUP(L1777,'TB mapping'!A:D,4,0),0)</f>
        <v>6.1</v>
      </c>
      <c r="C1777" s="125">
        <f>+IFERROR(VLOOKUP(L1777,'TB mapping'!A:C,3,0),0)</f>
        <v>6.3</v>
      </c>
      <c r="D1777" s="125" t="str">
        <f t="shared" si="184"/>
        <v>LIC406.1</v>
      </c>
      <c r="E1777" s="125" t="str">
        <f t="shared" si="185"/>
        <v>LIC406.3</v>
      </c>
      <c r="F1777" s="158" t="str">
        <f>+VLOOKUP(H1777,'code mapping'!A:C,3,0)</f>
        <v>LIC40</v>
      </c>
      <c r="G1777" s="127" t="s">
        <v>453</v>
      </c>
      <c r="H1777" s="127" t="s">
        <v>729</v>
      </c>
      <c r="I1777" s="127" t="s">
        <v>63</v>
      </c>
      <c r="J1777" s="128">
        <v>550000</v>
      </c>
      <c r="K1777" s="127" t="s">
        <v>550</v>
      </c>
      <c r="L1777" s="151">
        <v>555598</v>
      </c>
      <c r="M1777" s="128">
        <v>0</v>
      </c>
      <c r="N1777" s="127" t="s">
        <v>575</v>
      </c>
      <c r="O1777" s="127" t="s">
        <v>457</v>
      </c>
      <c r="P1777" s="128">
        <v>-5450831.1799999997</v>
      </c>
      <c r="Q1777" s="128">
        <v>0</v>
      </c>
      <c r="R1777" s="128">
        <v>0</v>
      </c>
      <c r="S1777" s="128">
        <v>0</v>
      </c>
      <c r="T1777" s="128">
        <v>-5450831.1799999997</v>
      </c>
      <c r="U1777" s="128">
        <v>0</v>
      </c>
      <c r="V1777" s="128">
        <v>-5450831.1799999997</v>
      </c>
      <c r="W1777" s="128">
        <v>0</v>
      </c>
      <c r="X1777" s="128">
        <v>0</v>
      </c>
      <c r="Y1777" s="128">
        <v>0</v>
      </c>
      <c r="Z1777" s="128">
        <v>-5450831.1799999997</v>
      </c>
      <c r="AA1777" s="128">
        <v>0</v>
      </c>
      <c r="AB1777" s="126">
        <f t="shared" si="186"/>
        <v>0.54508311799999998</v>
      </c>
      <c r="AC1777" s="122" t="s">
        <v>1838</v>
      </c>
      <c r="AD1777" s="123">
        <f t="shared" si="187"/>
        <v>17.025197822999999</v>
      </c>
    </row>
    <row r="1778" spans="1:30" ht="12.75" hidden="1" customHeight="1">
      <c r="A1778" s="125" t="str">
        <f t="shared" si="183"/>
        <v>LIC40CGST on Mfees -GDP</v>
      </c>
      <c r="B1778" s="125">
        <f>+IFERROR(VLOOKUP(L1778,'TB mapping'!A:D,4,0),0)</f>
        <v>6.1</v>
      </c>
      <c r="C1778" s="125">
        <f>+IFERROR(VLOOKUP(L1778,'TB mapping'!A:C,3,0),0)</f>
        <v>6.3</v>
      </c>
      <c r="D1778" s="125" t="str">
        <f t="shared" si="184"/>
        <v>LIC406.1</v>
      </c>
      <c r="E1778" s="125" t="str">
        <f t="shared" si="185"/>
        <v>LIC406.3</v>
      </c>
      <c r="F1778" s="158" t="str">
        <f>+VLOOKUP(H1778,'code mapping'!A:C,3,0)</f>
        <v>LIC40</v>
      </c>
      <c r="G1778" s="127" t="s">
        <v>453</v>
      </c>
      <c r="H1778" s="127" t="s">
        <v>729</v>
      </c>
      <c r="I1778" s="127" t="s">
        <v>63</v>
      </c>
      <c r="J1778" s="128">
        <v>550000</v>
      </c>
      <c r="K1778" s="127" t="s">
        <v>550</v>
      </c>
      <c r="L1778" s="151">
        <v>555599</v>
      </c>
      <c r="M1778" s="128">
        <v>0</v>
      </c>
      <c r="N1778" s="127" t="s">
        <v>576</v>
      </c>
      <c r="O1778" s="127" t="s">
        <v>457</v>
      </c>
      <c r="P1778" s="128">
        <v>0</v>
      </c>
      <c r="Q1778" s="128">
        <v>51926.59</v>
      </c>
      <c r="R1778" s="128">
        <v>0</v>
      </c>
      <c r="S1778" s="128">
        <v>0</v>
      </c>
      <c r="T1778" s="128">
        <v>0</v>
      </c>
      <c r="U1778" s="128">
        <v>51926.59</v>
      </c>
      <c r="V1778" s="128">
        <v>0</v>
      </c>
      <c r="W1778" s="128">
        <v>51926.59</v>
      </c>
      <c r="X1778" s="128">
        <v>0</v>
      </c>
      <c r="Y1778" s="128">
        <v>0</v>
      </c>
      <c r="Z1778" s="128">
        <v>0</v>
      </c>
      <c r="AA1778" s="128">
        <v>51926.59</v>
      </c>
      <c r="AB1778" s="126">
        <f t="shared" si="186"/>
        <v>-5.1926589999999996E-3</v>
      </c>
      <c r="AC1778" s="122" t="s">
        <v>1838</v>
      </c>
      <c r="AD1778" s="123">
        <f t="shared" si="187"/>
        <v>17.025197822999999</v>
      </c>
    </row>
    <row r="1779" spans="1:30" ht="12.75" hidden="1" customHeight="1">
      <c r="A1779" s="125" t="str">
        <f t="shared" si="183"/>
        <v>LIC40SGST on Mfees -GDP</v>
      </c>
      <c r="B1779" s="125">
        <f>+IFERROR(VLOOKUP(L1779,'TB mapping'!A:D,4,0),0)</f>
        <v>6.1</v>
      </c>
      <c r="C1779" s="125">
        <f>+IFERROR(VLOOKUP(L1779,'TB mapping'!A:C,3,0),0)</f>
        <v>6.3</v>
      </c>
      <c r="D1779" s="125" t="str">
        <f t="shared" si="184"/>
        <v>LIC406.1</v>
      </c>
      <c r="E1779" s="125" t="str">
        <f t="shared" si="185"/>
        <v>LIC406.3</v>
      </c>
      <c r="F1779" s="158" t="str">
        <f>+VLOOKUP(H1779,'code mapping'!A:C,3,0)</f>
        <v>LIC40</v>
      </c>
      <c r="G1779" s="127" t="s">
        <v>453</v>
      </c>
      <c r="H1779" s="127" t="s">
        <v>729</v>
      </c>
      <c r="I1779" s="127" t="s">
        <v>63</v>
      </c>
      <c r="J1779" s="128">
        <v>550000</v>
      </c>
      <c r="K1779" s="127" t="s">
        <v>550</v>
      </c>
      <c r="L1779" s="151">
        <v>555600</v>
      </c>
      <c r="M1779" s="128">
        <v>0</v>
      </c>
      <c r="N1779" s="127" t="s">
        <v>577</v>
      </c>
      <c r="O1779" s="127" t="s">
        <v>457</v>
      </c>
      <c r="P1779" s="128">
        <v>0</v>
      </c>
      <c r="Q1779" s="128">
        <v>51933.46</v>
      </c>
      <c r="R1779" s="128">
        <v>0</v>
      </c>
      <c r="S1779" s="128">
        <v>0</v>
      </c>
      <c r="T1779" s="128">
        <v>0</v>
      </c>
      <c r="U1779" s="128">
        <v>51933.46</v>
      </c>
      <c r="V1779" s="128">
        <v>0</v>
      </c>
      <c r="W1779" s="128">
        <v>51933.46</v>
      </c>
      <c r="X1779" s="128">
        <v>0</v>
      </c>
      <c r="Y1779" s="128">
        <v>0</v>
      </c>
      <c r="Z1779" s="128">
        <v>0</v>
      </c>
      <c r="AA1779" s="128">
        <v>51933.46</v>
      </c>
      <c r="AB1779" s="126">
        <f t="shared" si="186"/>
        <v>-5.1933459999999997E-3</v>
      </c>
      <c r="AC1779" s="122" t="s">
        <v>1838</v>
      </c>
      <c r="AD1779" s="123">
        <f t="shared" si="187"/>
        <v>17.025197822999999</v>
      </c>
    </row>
    <row r="1780" spans="1:30" ht="12.75" hidden="1" customHeight="1">
      <c r="A1780" s="125" t="str">
        <f t="shared" si="183"/>
        <v>LIC40CGST on Mfees -Regular</v>
      </c>
      <c r="B1780" s="125">
        <f>+IFERROR(VLOOKUP(L1780,'TB mapping'!A:D,4,0),0)</f>
        <v>6.1</v>
      </c>
      <c r="C1780" s="125">
        <f>+IFERROR(VLOOKUP(L1780,'TB mapping'!A:C,3,0),0)</f>
        <v>6.3</v>
      </c>
      <c r="D1780" s="125" t="str">
        <f t="shared" si="184"/>
        <v>LIC406.1</v>
      </c>
      <c r="E1780" s="125" t="str">
        <f t="shared" si="185"/>
        <v>LIC406.3</v>
      </c>
      <c r="F1780" s="158" t="str">
        <f>+VLOOKUP(H1780,'code mapping'!A:C,3,0)</f>
        <v>LIC40</v>
      </c>
      <c r="G1780" s="127" t="s">
        <v>453</v>
      </c>
      <c r="H1780" s="127" t="s">
        <v>729</v>
      </c>
      <c r="I1780" s="127" t="s">
        <v>63</v>
      </c>
      <c r="J1780" s="128">
        <v>550000</v>
      </c>
      <c r="K1780" s="127" t="s">
        <v>550</v>
      </c>
      <c r="L1780" s="151">
        <v>555605</v>
      </c>
      <c r="M1780" s="128">
        <v>0</v>
      </c>
      <c r="N1780" s="127" t="s">
        <v>743</v>
      </c>
      <c r="O1780" s="127" t="s">
        <v>457</v>
      </c>
      <c r="P1780" s="128">
        <v>-76271.19</v>
      </c>
      <c r="Q1780" s="128">
        <v>0</v>
      </c>
      <c r="R1780" s="128">
        <v>0</v>
      </c>
      <c r="S1780" s="128">
        <v>0</v>
      </c>
      <c r="T1780" s="128">
        <v>-76271.19</v>
      </c>
      <c r="U1780" s="128">
        <v>0</v>
      </c>
      <c r="V1780" s="128">
        <v>-76271.19</v>
      </c>
      <c r="W1780" s="128">
        <v>0</v>
      </c>
      <c r="X1780" s="128">
        <v>0</v>
      </c>
      <c r="Y1780" s="128">
        <v>0</v>
      </c>
      <c r="Z1780" s="128">
        <v>-76271.19</v>
      </c>
      <c r="AA1780" s="128">
        <v>0</v>
      </c>
      <c r="AB1780" s="126">
        <f t="shared" si="186"/>
        <v>7.6271189999999999E-3</v>
      </c>
      <c r="AC1780" s="122" t="s">
        <v>1838</v>
      </c>
      <c r="AD1780" s="123">
        <f t="shared" si="187"/>
        <v>17.025197822999999</v>
      </c>
    </row>
    <row r="1781" spans="1:30" ht="12.75" hidden="1" customHeight="1">
      <c r="A1781" s="125" t="str">
        <f t="shared" si="183"/>
        <v>LIC40SGST on Mfees -Regular</v>
      </c>
      <c r="B1781" s="125">
        <f>+IFERROR(VLOOKUP(L1781,'TB mapping'!A:D,4,0),0)</f>
        <v>6.1</v>
      </c>
      <c r="C1781" s="125">
        <f>+IFERROR(VLOOKUP(L1781,'TB mapping'!A:C,3,0),0)</f>
        <v>6.3</v>
      </c>
      <c r="D1781" s="125" t="str">
        <f t="shared" si="184"/>
        <v>LIC406.1</v>
      </c>
      <c r="E1781" s="125" t="str">
        <f t="shared" si="185"/>
        <v>LIC406.3</v>
      </c>
      <c r="F1781" s="158" t="str">
        <f>+VLOOKUP(H1781,'code mapping'!A:C,3,0)</f>
        <v>LIC40</v>
      </c>
      <c r="G1781" s="127" t="s">
        <v>453</v>
      </c>
      <c r="H1781" s="127" t="s">
        <v>729</v>
      </c>
      <c r="I1781" s="127" t="s">
        <v>63</v>
      </c>
      <c r="J1781" s="128">
        <v>550000</v>
      </c>
      <c r="K1781" s="127" t="s">
        <v>550</v>
      </c>
      <c r="L1781" s="151">
        <v>555606</v>
      </c>
      <c r="M1781" s="128">
        <v>0</v>
      </c>
      <c r="N1781" s="127" t="s">
        <v>744</v>
      </c>
      <c r="O1781" s="127" t="s">
        <v>457</v>
      </c>
      <c r="P1781" s="128">
        <v>-76271.19</v>
      </c>
      <c r="Q1781" s="128">
        <v>0</v>
      </c>
      <c r="R1781" s="128">
        <v>0</v>
      </c>
      <c r="S1781" s="128">
        <v>0</v>
      </c>
      <c r="T1781" s="128">
        <v>-76271.19</v>
      </c>
      <c r="U1781" s="128">
        <v>0</v>
      </c>
      <c r="V1781" s="128">
        <v>-76271.19</v>
      </c>
      <c r="W1781" s="128">
        <v>0</v>
      </c>
      <c r="X1781" s="128">
        <v>0</v>
      </c>
      <c r="Y1781" s="128">
        <v>0</v>
      </c>
      <c r="Z1781" s="128">
        <v>-76271.19</v>
      </c>
      <c r="AA1781" s="128">
        <v>0</v>
      </c>
      <c r="AB1781" s="126">
        <f t="shared" si="186"/>
        <v>7.6271189999999999E-3</v>
      </c>
      <c r="AC1781" s="122" t="s">
        <v>1838</v>
      </c>
      <c r="AD1781" s="123">
        <f t="shared" ref="AD1781:AD1789" si="188">SUMIF(E:E,E1781,AB:AB)</f>
        <v>17.025197822999999</v>
      </c>
    </row>
    <row r="1782" spans="1:30" ht="12.75" hidden="1" customHeight="1">
      <c r="A1782" s="125" t="str">
        <f t="shared" si="183"/>
        <v>LIC40Operating Expenses</v>
      </c>
      <c r="B1782" s="125">
        <f>+IFERROR(VLOOKUP(L1782,'TB mapping'!A:D,4,0),0)</f>
        <v>0</v>
      </c>
      <c r="C1782" s="125">
        <f>+IFERROR(VLOOKUP(L1782,'TB mapping'!A:C,3,0),0)</f>
        <v>6.3</v>
      </c>
      <c r="D1782" s="125" t="str">
        <f t="shared" si="184"/>
        <v>LIC400</v>
      </c>
      <c r="E1782" s="125" t="str">
        <f t="shared" si="185"/>
        <v>LIC406.3</v>
      </c>
      <c r="F1782" s="158" t="str">
        <f>+VLOOKUP(H1782,'code mapping'!A:C,3,0)</f>
        <v>LIC40</v>
      </c>
      <c r="G1782" s="127" t="s">
        <v>453</v>
      </c>
      <c r="H1782" s="127" t="s">
        <v>729</v>
      </c>
      <c r="I1782" s="127" t="s">
        <v>63</v>
      </c>
      <c r="J1782" s="128">
        <v>550000</v>
      </c>
      <c r="K1782" s="127" t="s">
        <v>550</v>
      </c>
      <c r="L1782" s="151">
        <v>556421</v>
      </c>
      <c r="M1782" s="128">
        <v>0</v>
      </c>
      <c r="N1782" s="127" t="s">
        <v>578</v>
      </c>
      <c r="O1782" s="127" t="s">
        <v>457</v>
      </c>
      <c r="P1782" s="128">
        <v>-182376.19</v>
      </c>
      <c r="Q1782" s="128">
        <v>0</v>
      </c>
      <c r="R1782" s="128">
        <v>0</v>
      </c>
      <c r="S1782" s="128">
        <v>0</v>
      </c>
      <c r="T1782" s="128">
        <v>-182376.19</v>
      </c>
      <c r="U1782" s="128">
        <v>0</v>
      </c>
      <c r="V1782" s="128">
        <v>-182376.19</v>
      </c>
      <c r="W1782" s="128">
        <v>0</v>
      </c>
      <c r="X1782" s="128">
        <v>0</v>
      </c>
      <c r="Y1782" s="128">
        <v>0</v>
      </c>
      <c r="Z1782" s="128">
        <v>-182376.19</v>
      </c>
      <c r="AA1782" s="128">
        <v>0</v>
      </c>
      <c r="AB1782" s="126">
        <f t="shared" si="186"/>
        <v>1.8237619E-2</v>
      </c>
      <c r="AC1782" s="122" t="s">
        <v>1838</v>
      </c>
      <c r="AD1782" s="123">
        <f t="shared" si="188"/>
        <v>17.025197822999999</v>
      </c>
    </row>
    <row r="1783" spans="1:30" ht="12.75" hidden="1" customHeight="1">
      <c r="A1783" s="125" t="str">
        <f t="shared" si="183"/>
        <v>LIC40Management Fee</v>
      </c>
      <c r="B1783" s="125">
        <f>+IFERROR(VLOOKUP(L1783,'TB mapping'!A:D,4,0),0)</f>
        <v>6.1</v>
      </c>
      <c r="C1783" s="125">
        <f>+IFERROR(VLOOKUP(L1783,'TB mapping'!A:C,3,0),0)</f>
        <v>6.3</v>
      </c>
      <c r="D1783" s="125" t="str">
        <f t="shared" si="184"/>
        <v>LIC406.1</v>
      </c>
      <c r="E1783" s="125" t="str">
        <f t="shared" si="185"/>
        <v>LIC406.3</v>
      </c>
      <c r="F1783" s="158" t="str">
        <f>+VLOOKUP(H1783,'code mapping'!A:C,3,0)</f>
        <v>LIC40</v>
      </c>
      <c r="G1783" s="127" t="s">
        <v>453</v>
      </c>
      <c r="H1783" s="127" t="s">
        <v>729</v>
      </c>
      <c r="I1783" s="127" t="s">
        <v>63</v>
      </c>
      <c r="J1783" s="128">
        <v>555100</v>
      </c>
      <c r="K1783" s="127" t="s">
        <v>579</v>
      </c>
      <c r="L1783" s="151">
        <v>555100</v>
      </c>
      <c r="M1783" s="128">
        <v>0</v>
      </c>
      <c r="N1783" s="127" t="s">
        <v>580</v>
      </c>
      <c r="O1783" s="127" t="s">
        <v>457</v>
      </c>
      <c r="P1783" s="128">
        <v>-24401684.329999998</v>
      </c>
      <c r="Q1783" s="128">
        <v>0</v>
      </c>
      <c r="R1783" s="128">
        <v>0</v>
      </c>
      <c r="S1783" s="128">
        <v>0</v>
      </c>
      <c r="T1783" s="128">
        <v>-24401684.329999998</v>
      </c>
      <c r="U1783" s="128">
        <v>0</v>
      </c>
      <c r="V1783" s="128">
        <v>-24401684.329999998</v>
      </c>
      <c r="W1783" s="128">
        <v>0</v>
      </c>
      <c r="X1783" s="128">
        <v>0</v>
      </c>
      <c r="Y1783" s="128">
        <v>0</v>
      </c>
      <c r="Z1783" s="128">
        <v>-24401684.329999998</v>
      </c>
      <c r="AA1783" s="128">
        <v>0</v>
      </c>
      <c r="AB1783" s="126">
        <f t="shared" si="186"/>
        <v>2.4401684329999997</v>
      </c>
      <c r="AC1783" s="122" t="s">
        <v>1838</v>
      </c>
      <c r="AD1783" s="123">
        <f t="shared" si="188"/>
        <v>17.025197822999999</v>
      </c>
    </row>
    <row r="1784" spans="1:30" ht="12.75" hidden="1" customHeight="1">
      <c r="A1784" s="125" t="str">
        <f t="shared" si="183"/>
        <v>LIC40Management Fees-RG</v>
      </c>
      <c r="B1784" s="125">
        <f>+IFERROR(VLOOKUP(L1784,'TB mapping'!A:D,4,0),0)</f>
        <v>6.1</v>
      </c>
      <c r="C1784" s="125">
        <f>+IFERROR(VLOOKUP(L1784,'TB mapping'!A:C,3,0),0)</f>
        <v>6.3</v>
      </c>
      <c r="D1784" s="125" t="str">
        <f t="shared" si="184"/>
        <v>LIC406.1</v>
      </c>
      <c r="E1784" s="125" t="str">
        <f t="shared" si="185"/>
        <v>LIC406.3</v>
      </c>
      <c r="F1784" s="158" t="str">
        <f>+VLOOKUP(H1784,'code mapping'!A:C,3,0)</f>
        <v>LIC40</v>
      </c>
      <c r="G1784" s="127" t="s">
        <v>453</v>
      </c>
      <c r="H1784" s="127" t="s">
        <v>729</v>
      </c>
      <c r="I1784" s="127" t="s">
        <v>63</v>
      </c>
      <c r="J1784" s="128">
        <v>555100</v>
      </c>
      <c r="K1784" s="127" t="s">
        <v>579</v>
      </c>
      <c r="L1784" s="151">
        <v>555191</v>
      </c>
      <c r="M1784" s="128">
        <v>0</v>
      </c>
      <c r="N1784" s="127" t="s">
        <v>581</v>
      </c>
      <c r="O1784" s="127" t="s">
        <v>457</v>
      </c>
      <c r="P1784" s="128">
        <v>-10884541.039999999</v>
      </c>
      <c r="Q1784" s="128">
        <v>0</v>
      </c>
      <c r="R1784" s="128">
        <v>0</v>
      </c>
      <c r="S1784" s="128">
        <v>0</v>
      </c>
      <c r="T1784" s="128">
        <v>-10884541.039999999</v>
      </c>
      <c r="U1784" s="128">
        <v>0</v>
      </c>
      <c r="V1784" s="128">
        <v>-10884541.039999999</v>
      </c>
      <c r="W1784" s="128">
        <v>0</v>
      </c>
      <c r="X1784" s="128">
        <v>0</v>
      </c>
      <c r="Y1784" s="128">
        <v>0</v>
      </c>
      <c r="Z1784" s="128">
        <v>-10884541.039999999</v>
      </c>
      <c r="AA1784" s="128">
        <v>0</v>
      </c>
      <c r="AB1784" s="126">
        <f t="shared" si="186"/>
        <v>1.088454104</v>
      </c>
      <c r="AC1784" s="122" t="s">
        <v>1838</v>
      </c>
      <c r="AD1784" s="123">
        <f t="shared" si="188"/>
        <v>17.025197822999999</v>
      </c>
    </row>
    <row r="1785" spans="1:30" ht="12.75" hidden="1" customHeight="1">
      <c r="A1785" s="125" t="str">
        <f t="shared" ref="A1785:A1848" si="189">+F1785&amp;N1785</f>
        <v>LIC40Management Fees-GDP</v>
      </c>
      <c r="B1785" s="125">
        <f>+IFERROR(VLOOKUP(L1785,'TB mapping'!A:D,4,0),0)</f>
        <v>6.1</v>
      </c>
      <c r="C1785" s="125">
        <f>+IFERROR(VLOOKUP(L1785,'TB mapping'!A:C,3,0),0)</f>
        <v>6.3</v>
      </c>
      <c r="D1785" s="125" t="str">
        <f t="shared" ref="D1785:D1848" si="190">+F1785&amp;B1785</f>
        <v>LIC406.1</v>
      </c>
      <c r="E1785" s="125" t="str">
        <f t="shared" ref="E1785:E1848" si="191">+F1785&amp;C1785</f>
        <v>LIC406.3</v>
      </c>
      <c r="F1785" s="158" t="str">
        <f>+VLOOKUP(H1785,'code mapping'!A:C,3,0)</f>
        <v>LIC40</v>
      </c>
      <c r="G1785" s="127" t="s">
        <v>453</v>
      </c>
      <c r="H1785" s="127" t="s">
        <v>729</v>
      </c>
      <c r="I1785" s="127" t="s">
        <v>63</v>
      </c>
      <c r="J1785" s="128">
        <v>555100</v>
      </c>
      <c r="K1785" s="127" t="s">
        <v>579</v>
      </c>
      <c r="L1785" s="151">
        <v>555329</v>
      </c>
      <c r="M1785" s="128">
        <v>0</v>
      </c>
      <c r="N1785" s="127" t="s">
        <v>584</v>
      </c>
      <c r="O1785" s="127" t="s">
        <v>457</v>
      </c>
      <c r="P1785" s="128">
        <v>-32502264.460000001</v>
      </c>
      <c r="Q1785" s="128">
        <v>0</v>
      </c>
      <c r="R1785" s="128">
        <v>0</v>
      </c>
      <c r="S1785" s="128">
        <v>0</v>
      </c>
      <c r="T1785" s="128">
        <v>-32502264.460000001</v>
      </c>
      <c r="U1785" s="128">
        <v>0</v>
      </c>
      <c r="V1785" s="128">
        <v>-32502264.460000001</v>
      </c>
      <c r="W1785" s="128">
        <v>0</v>
      </c>
      <c r="X1785" s="128">
        <v>0</v>
      </c>
      <c r="Y1785" s="128">
        <v>0</v>
      </c>
      <c r="Z1785" s="128">
        <v>-32502264.460000001</v>
      </c>
      <c r="AA1785" s="128">
        <v>0</v>
      </c>
      <c r="AB1785" s="126">
        <f t="shared" ref="AB1785:AB1848" si="192">SUM(-Z1785-AA1785)/10^7</f>
        <v>3.2502264460000001</v>
      </c>
      <c r="AC1785" s="122" t="s">
        <v>1838</v>
      </c>
      <c r="AD1785" s="123">
        <f t="shared" si="188"/>
        <v>17.025197822999999</v>
      </c>
    </row>
    <row r="1786" spans="1:30" ht="12.75" hidden="1" customHeight="1">
      <c r="A1786" s="125" t="str">
        <f t="shared" si="189"/>
        <v>LIC40Management Fees-MDP</v>
      </c>
      <c r="B1786" s="125">
        <f>+IFERROR(VLOOKUP(L1786,'TB mapping'!A:D,4,0),0)</f>
        <v>6.1</v>
      </c>
      <c r="C1786" s="125">
        <f>+IFERROR(VLOOKUP(L1786,'TB mapping'!A:C,3,0),0)</f>
        <v>6.3</v>
      </c>
      <c r="D1786" s="125" t="str">
        <f t="shared" si="190"/>
        <v>LIC406.1</v>
      </c>
      <c r="E1786" s="125" t="str">
        <f t="shared" si="191"/>
        <v>LIC406.3</v>
      </c>
      <c r="F1786" s="158" t="str">
        <f>+VLOOKUP(H1786,'code mapping'!A:C,3,0)</f>
        <v>LIC40</v>
      </c>
      <c r="G1786" s="127" t="s">
        <v>453</v>
      </c>
      <c r="H1786" s="127" t="s">
        <v>729</v>
      </c>
      <c r="I1786" s="127" t="s">
        <v>63</v>
      </c>
      <c r="J1786" s="128">
        <v>555100</v>
      </c>
      <c r="K1786" s="127" t="s">
        <v>579</v>
      </c>
      <c r="L1786" s="151">
        <v>555332</v>
      </c>
      <c r="M1786" s="128">
        <v>0</v>
      </c>
      <c r="N1786" s="127" t="s">
        <v>685</v>
      </c>
      <c r="O1786" s="127" t="s">
        <v>457</v>
      </c>
      <c r="P1786" s="128">
        <v>-68791.67</v>
      </c>
      <c r="Q1786" s="128">
        <v>0</v>
      </c>
      <c r="R1786" s="128">
        <v>0</v>
      </c>
      <c r="S1786" s="128">
        <v>0</v>
      </c>
      <c r="T1786" s="128">
        <v>-68791.67</v>
      </c>
      <c r="U1786" s="128">
        <v>0</v>
      </c>
      <c r="V1786" s="128">
        <v>-68791.67</v>
      </c>
      <c r="W1786" s="128">
        <v>0</v>
      </c>
      <c r="X1786" s="128">
        <v>0</v>
      </c>
      <c r="Y1786" s="128">
        <v>0</v>
      </c>
      <c r="Z1786" s="128">
        <v>-68791.67</v>
      </c>
      <c r="AA1786" s="128">
        <v>0</v>
      </c>
      <c r="AB1786" s="126">
        <f t="shared" si="192"/>
        <v>6.8791669999999994E-3</v>
      </c>
      <c r="AC1786" s="122" t="s">
        <v>1838</v>
      </c>
      <c r="AD1786" s="123">
        <f t="shared" si="188"/>
        <v>17.025197822999999</v>
      </c>
    </row>
    <row r="1787" spans="1:30" ht="12.75" hidden="1" customHeight="1">
      <c r="A1787" s="125" t="str">
        <f t="shared" si="189"/>
        <v>LIC40Management Fees-DPD</v>
      </c>
      <c r="B1787" s="125">
        <f>+IFERROR(VLOOKUP(L1787,'TB mapping'!A:D,4,0),0)</f>
        <v>6.1</v>
      </c>
      <c r="C1787" s="125">
        <f>+IFERROR(VLOOKUP(L1787,'TB mapping'!A:C,3,0),0)</f>
        <v>6.3</v>
      </c>
      <c r="D1787" s="125" t="str">
        <f t="shared" si="190"/>
        <v>LIC406.1</v>
      </c>
      <c r="E1787" s="125" t="str">
        <f t="shared" si="191"/>
        <v>LIC406.3</v>
      </c>
      <c r="F1787" s="158" t="str">
        <f>+VLOOKUP(H1787,'code mapping'!A:C,3,0)</f>
        <v>LIC40</v>
      </c>
      <c r="G1787" s="127" t="s">
        <v>453</v>
      </c>
      <c r="H1787" s="127" t="s">
        <v>729</v>
      </c>
      <c r="I1787" s="127" t="s">
        <v>63</v>
      </c>
      <c r="J1787" s="128">
        <v>555100</v>
      </c>
      <c r="K1787" s="127" t="s">
        <v>579</v>
      </c>
      <c r="L1787" s="151">
        <v>555350</v>
      </c>
      <c r="M1787" s="128">
        <v>0</v>
      </c>
      <c r="N1787" s="127" t="s">
        <v>686</v>
      </c>
      <c r="O1787" s="127" t="s">
        <v>457</v>
      </c>
      <c r="P1787" s="128">
        <v>-2664777.6</v>
      </c>
      <c r="Q1787" s="128">
        <v>0</v>
      </c>
      <c r="R1787" s="128">
        <v>0</v>
      </c>
      <c r="S1787" s="128">
        <v>0</v>
      </c>
      <c r="T1787" s="128">
        <v>-2664777.6</v>
      </c>
      <c r="U1787" s="128">
        <v>0</v>
      </c>
      <c r="V1787" s="128">
        <v>-2664777.6</v>
      </c>
      <c r="W1787" s="128">
        <v>0</v>
      </c>
      <c r="X1787" s="128">
        <v>0</v>
      </c>
      <c r="Y1787" s="128">
        <v>0</v>
      </c>
      <c r="Z1787" s="128">
        <v>-2664777.6</v>
      </c>
      <c r="AA1787" s="128">
        <v>0</v>
      </c>
      <c r="AB1787" s="126">
        <f t="shared" si="192"/>
        <v>0.26647776000000001</v>
      </c>
      <c r="AC1787" s="122" t="s">
        <v>1838</v>
      </c>
      <c r="AD1787" s="123">
        <f t="shared" si="188"/>
        <v>17.025197822999999</v>
      </c>
    </row>
    <row r="1788" spans="1:30" ht="12.75" hidden="1" customHeight="1">
      <c r="A1788" s="125" t="str">
        <f t="shared" si="189"/>
        <v>LIC40Management Fees-WDP</v>
      </c>
      <c r="B1788" s="125">
        <f>+IFERROR(VLOOKUP(L1788,'TB mapping'!A:D,4,0),0)</f>
        <v>6.1</v>
      </c>
      <c r="C1788" s="125">
        <f>+IFERROR(VLOOKUP(L1788,'TB mapping'!A:C,3,0),0)</f>
        <v>6.3</v>
      </c>
      <c r="D1788" s="125" t="str">
        <f t="shared" si="190"/>
        <v>LIC406.1</v>
      </c>
      <c r="E1788" s="125" t="str">
        <f t="shared" si="191"/>
        <v>LIC406.3</v>
      </c>
      <c r="F1788" s="158" t="str">
        <f>+VLOOKUP(H1788,'code mapping'!A:C,3,0)</f>
        <v>LIC40</v>
      </c>
      <c r="G1788" s="127" t="s">
        <v>453</v>
      </c>
      <c r="H1788" s="127" t="s">
        <v>729</v>
      </c>
      <c r="I1788" s="127" t="s">
        <v>63</v>
      </c>
      <c r="J1788" s="128">
        <v>555100</v>
      </c>
      <c r="K1788" s="127" t="s">
        <v>579</v>
      </c>
      <c r="L1788" s="151">
        <v>555352</v>
      </c>
      <c r="M1788" s="128">
        <v>0</v>
      </c>
      <c r="N1788" s="127" t="s">
        <v>687</v>
      </c>
      <c r="O1788" s="127" t="s">
        <v>457</v>
      </c>
      <c r="P1788" s="128">
        <v>-97270.65</v>
      </c>
      <c r="Q1788" s="128">
        <v>0</v>
      </c>
      <c r="R1788" s="128">
        <v>0</v>
      </c>
      <c r="S1788" s="128">
        <v>0</v>
      </c>
      <c r="T1788" s="128">
        <v>-97270.65</v>
      </c>
      <c r="U1788" s="128">
        <v>0</v>
      </c>
      <c r="V1788" s="128">
        <v>-97270.65</v>
      </c>
      <c r="W1788" s="128">
        <v>0</v>
      </c>
      <c r="X1788" s="128">
        <v>0</v>
      </c>
      <c r="Y1788" s="128">
        <v>0</v>
      </c>
      <c r="Z1788" s="128">
        <v>-97270.65</v>
      </c>
      <c r="AA1788" s="128">
        <v>0</v>
      </c>
      <c r="AB1788" s="126">
        <f t="shared" si="192"/>
        <v>9.727065E-3</v>
      </c>
      <c r="AC1788" s="122" t="s">
        <v>1838</v>
      </c>
      <c r="AD1788" s="123">
        <f t="shared" si="188"/>
        <v>17.025197822999999</v>
      </c>
    </row>
    <row r="1789" spans="1:30" ht="12.75" hidden="1" customHeight="1">
      <c r="A1789" s="125" t="str">
        <f t="shared" si="189"/>
        <v>LIC40Management Fees-Regular</v>
      </c>
      <c r="B1789" s="125">
        <f>+IFERROR(VLOOKUP(L1789,'TB mapping'!A:D,4,0),0)</f>
        <v>6.1</v>
      </c>
      <c r="C1789" s="125">
        <f>+IFERROR(VLOOKUP(L1789,'TB mapping'!A:C,3,0),0)</f>
        <v>6.3</v>
      </c>
      <c r="D1789" s="125" t="str">
        <f t="shared" si="190"/>
        <v>LIC406.1</v>
      </c>
      <c r="E1789" s="125" t="str">
        <f t="shared" si="191"/>
        <v>LIC406.3</v>
      </c>
      <c r="F1789" s="158" t="str">
        <f>+VLOOKUP(H1789,'code mapping'!A:C,3,0)</f>
        <v>LIC40</v>
      </c>
      <c r="G1789" s="127" t="s">
        <v>453</v>
      </c>
      <c r="H1789" s="127" t="s">
        <v>729</v>
      </c>
      <c r="I1789" s="127" t="s">
        <v>63</v>
      </c>
      <c r="J1789" s="128">
        <v>555100</v>
      </c>
      <c r="K1789" s="127" t="s">
        <v>579</v>
      </c>
      <c r="L1789" s="151">
        <v>555521</v>
      </c>
      <c r="M1789" s="128">
        <v>0</v>
      </c>
      <c r="N1789" s="127" t="s">
        <v>745</v>
      </c>
      <c r="O1789" s="127" t="s">
        <v>457</v>
      </c>
      <c r="P1789" s="128">
        <v>-847457.62</v>
      </c>
      <c r="Q1789" s="128">
        <v>0</v>
      </c>
      <c r="R1789" s="128">
        <v>0</v>
      </c>
      <c r="S1789" s="128">
        <v>0</v>
      </c>
      <c r="T1789" s="128">
        <v>-847457.62</v>
      </c>
      <c r="U1789" s="128">
        <v>0</v>
      </c>
      <c r="V1789" s="128">
        <v>-847457.62</v>
      </c>
      <c r="W1789" s="128">
        <v>0</v>
      </c>
      <c r="X1789" s="128">
        <v>0</v>
      </c>
      <c r="Y1789" s="128">
        <v>0</v>
      </c>
      <c r="Z1789" s="128">
        <v>-847457.62</v>
      </c>
      <c r="AA1789" s="128">
        <v>0</v>
      </c>
      <c r="AB1789" s="126">
        <f t="shared" si="192"/>
        <v>8.4745762000000002E-2</v>
      </c>
      <c r="AC1789" s="122" t="s">
        <v>1838</v>
      </c>
      <c r="AD1789" s="123">
        <f t="shared" si="188"/>
        <v>17.025197822999999</v>
      </c>
    </row>
    <row r="1790" spans="1:30" ht="12.75" hidden="1" customHeight="1">
      <c r="A1790" s="125" t="str">
        <f t="shared" si="189"/>
        <v>LIC40Dividend Dist - RWD</v>
      </c>
      <c r="B1790" s="125">
        <f>+IFERROR(VLOOKUP(L1790,'TB mapping'!A:D,4,0),0)</f>
        <v>0</v>
      </c>
      <c r="C1790" s="125" t="str">
        <f>+IFERROR(VLOOKUP(L1790,'TB mapping'!A:C,3,0),0)</f>
        <v>ignore</v>
      </c>
      <c r="D1790" s="125" t="str">
        <f t="shared" si="190"/>
        <v>LIC400</v>
      </c>
      <c r="E1790" s="125" t="str">
        <f t="shared" si="191"/>
        <v>LIC40ignore</v>
      </c>
      <c r="F1790" s="158" t="str">
        <f>+VLOOKUP(H1790,'code mapping'!A:C,3,0)</f>
        <v>LIC40</v>
      </c>
      <c r="G1790" s="127" t="s">
        <v>453</v>
      </c>
      <c r="H1790" s="127" t="s">
        <v>729</v>
      </c>
      <c r="I1790" s="127" t="s">
        <v>63</v>
      </c>
      <c r="J1790" s="128">
        <v>555300</v>
      </c>
      <c r="K1790" s="127" t="s">
        <v>586</v>
      </c>
      <c r="L1790" s="151">
        <v>553303</v>
      </c>
      <c r="M1790" s="128">
        <v>0</v>
      </c>
      <c r="N1790" s="127" t="s">
        <v>688</v>
      </c>
      <c r="O1790" s="127" t="s">
        <v>457</v>
      </c>
      <c r="P1790" s="128">
        <v>-9233911.1600000001</v>
      </c>
      <c r="Q1790" s="128">
        <v>0</v>
      </c>
      <c r="R1790" s="128">
        <v>0</v>
      </c>
      <c r="S1790" s="128">
        <v>0</v>
      </c>
      <c r="T1790" s="128">
        <v>-9233911.1600000001</v>
      </c>
      <c r="U1790" s="128">
        <v>0</v>
      </c>
      <c r="V1790" s="128">
        <v>-9233911.1600000001</v>
      </c>
      <c r="W1790" s="128">
        <v>0</v>
      </c>
      <c r="X1790" s="128">
        <v>0</v>
      </c>
      <c r="Y1790" s="128">
        <v>0</v>
      </c>
      <c r="Z1790" s="128">
        <v>-9233911.1600000001</v>
      </c>
      <c r="AA1790" s="128">
        <v>0</v>
      </c>
      <c r="AB1790" s="126">
        <f t="shared" si="192"/>
        <v>0.92339111600000001</v>
      </c>
      <c r="AC1790" s="122" t="s">
        <v>1838</v>
      </c>
      <c r="AD1790" s="123">
        <f t="shared" ref="AD1790:AD1821" si="193">SUMIF(C:C,C1790,AB:AB)</f>
        <v>-291.7660984179999</v>
      </c>
    </row>
    <row r="1791" spans="1:30" ht="12.75" hidden="1" customHeight="1">
      <c r="A1791" s="125" t="str">
        <f t="shared" si="189"/>
        <v>LIC40Dividend Dist - RDD</v>
      </c>
      <c r="B1791" s="125">
        <f>+IFERROR(VLOOKUP(L1791,'TB mapping'!A:D,4,0),0)</f>
        <v>0</v>
      </c>
      <c r="C1791" s="125" t="str">
        <f>+IFERROR(VLOOKUP(L1791,'TB mapping'!A:C,3,0),0)</f>
        <v>ignore</v>
      </c>
      <c r="D1791" s="125" t="str">
        <f t="shared" si="190"/>
        <v>LIC400</v>
      </c>
      <c r="E1791" s="125" t="str">
        <f t="shared" si="191"/>
        <v>LIC40ignore</v>
      </c>
      <c r="F1791" s="158" t="str">
        <f>+VLOOKUP(H1791,'code mapping'!A:C,3,0)</f>
        <v>LIC40</v>
      </c>
      <c r="G1791" s="127" t="s">
        <v>453</v>
      </c>
      <c r="H1791" s="127" t="s">
        <v>729</v>
      </c>
      <c r="I1791" s="127" t="s">
        <v>63</v>
      </c>
      <c r="J1791" s="128">
        <v>555300</v>
      </c>
      <c r="K1791" s="127" t="s">
        <v>586</v>
      </c>
      <c r="L1791" s="151">
        <v>553304</v>
      </c>
      <c r="M1791" s="128">
        <v>0</v>
      </c>
      <c r="N1791" s="127" t="s">
        <v>689</v>
      </c>
      <c r="O1791" s="127" t="s">
        <v>457</v>
      </c>
      <c r="P1791" s="128">
        <v>-63993022.119999997</v>
      </c>
      <c r="Q1791" s="128">
        <v>0</v>
      </c>
      <c r="R1791" s="128">
        <v>0</v>
      </c>
      <c r="S1791" s="128">
        <v>0</v>
      </c>
      <c r="T1791" s="128">
        <v>-63993022.119999997</v>
      </c>
      <c r="U1791" s="128">
        <v>0</v>
      </c>
      <c r="V1791" s="128">
        <v>-63993022.119999997</v>
      </c>
      <c r="W1791" s="128">
        <v>0</v>
      </c>
      <c r="X1791" s="128">
        <v>0</v>
      </c>
      <c r="Y1791" s="128">
        <v>0</v>
      </c>
      <c r="Z1791" s="128">
        <v>-63993022.119999997</v>
      </c>
      <c r="AA1791" s="128">
        <v>0</v>
      </c>
      <c r="AB1791" s="126">
        <f t="shared" si="192"/>
        <v>6.3993022119999994</v>
      </c>
      <c r="AC1791" s="122" t="s">
        <v>1838</v>
      </c>
      <c r="AD1791" s="123">
        <f t="shared" si="193"/>
        <v>-291.7660984179999</v>
      </c>
    </row>
    <row r="1792" spans="1:30" ht="12.75" hidden="1" customHeight="1">
      <c r="A1792" s="125" t="str">
        <f t="shared" si="189"/>
        <v>LIC40Dividend Dist - RMD</v>
      </c>
      <c r="B1792" s="125">
        <f>+IFERROR(VLOOKUP(L1792,'TB mapping'!A:D,4,0),0)</f>
        <v>0</v>
      </c>
      <c r="C1792" s="125" t="str">
        <f>+IFERROR(VLOOKUP(L1792,'TB mapping'!A:C,3,0),0)</f>
        <v>ignore</v>
      </c>
      <c r="D1792" s="125" t="str">
        <f t="shared" si="190"/>
        <v>LIC400</v>
      </c>
      <c r="E1792" s="125" t="str">
        <f t="shared" si="191"/>
        <v>LIC40ignore</v>
      </c>
      <c r="F1792" s="158" t="str">
        <f>+VLOOKUP(H1792,'code mapping'!A:C,3,0)</f>
        <v>LIC40</v>
      </c>
      <c r="G1792" s="127" t="s">
        <v>453</v>
      </c>
      <c r="H1792" s="127" t="s">
        <v>729</v>
      </c>
      <c r="I1792" s="127" t="s">
        <v>63</v>
      </c>
      <c r="J1792" s="128">
        <v>555300</v>
      </c>
      <c r="K1792" s="127" t="s">
        <v>586</v>
      </c>
      <c r="L1792" s="151">
        <v>553306</v>
      </c>
      <c r="M1792" s="128">
        <v>0</v>
      </c>
      <c r="N1792" s="127" t="s">
        <v>690</v>
      </c>
      <c r="O1792" s="127" t="s">
        <v>457</v>
      </c>
      <c r="P1792" s="128">
        <v>-2577261.4300000002</v>
      </c>
      <c r="Q1792" s="128">
        <v>0</v>
      </c>
      <c r="R1792" s="128">
        <v>0</v>
      </c>
      <c r="S1792" s="128">
        <v>0</v>
      </c>
      <c r="T1792" s="128">
        <v>-2577261.4300000002</v>
      </c>
      <c r="U1792" s="128">
        <v>0</v>
      </c>
      <c r="V1792" s="128">
        <v>-2577261.4300000002</v>
      </c>
      <c r="W1792" s="128">
        <v>0</v>
      </c>
      <c r="X1792" s="128">
        <v>0</v>
      </c>
      <c r="Y1792" s="128">
        <v>0</v>
      </c>
      <c r="Z1792" s="128">
        <v>-2577261.4300000002</v>
      </c>
      <c r="AA1792" s="128">
        <v>0</v>
      </c>
      <c r="AB1792" s="126">
        <f t="shared" si="192"/>
        <v>0.25772614300000002</v>
      </c>
      <c r="AC1792" s="122" t="s">
        <v>1838</v>
      </c>
      <c r="AD1792" s="123">
        <f t="shared" si="193"/>
        <v>-291.7660984179999</v>
      </c>
    </row>
    <row r="1793" spans="1:30" ht="12.75" hidden="1" customHeight="1">
      <c r="A1793" s="125" t="str">
        <f t="shared" si="189"/>
        <v>LIC40Dividend Distribution-DPD</v>
      </c>
      <c r="B1793" s="125">
        <f>+IFERROR(VLOOKUP(L1793,'TB mapping'!A:D,4,0),0)</f>
        <v>0</v>
      </c>
      <c r="C1793" s="125" t="str">
        <f>+IFERROR(VLOOKUP(L1793,'TB mapping'!A:C,3,0),0)</f>
        <v>ignore</v>
      </c>
      <c r="D1793" s="125" t="str">
        <f t="shared" si="190"/>
        <v>LIC400</v>
      </c>
      <c r="E1793" s="125" t="str">
        <f t="shared" si="191"/>
        <v>LIC40ignore</v>
      </c>
      <c r="F1793" s="158" t="str">
        <f>+VLOOKUP(H1793,'code mapping'!A:C,3,0)</f>
        <v>LIC40</v>
      </c>
      <c r="G1793" s="127" t="s">
        <v>453</v>
      </c>
      <c r="H1793" s="127" t="s">
        <v>729</v>
      </c>
      <c r="I1793" s="127" t="s">
        <v>63</v>
      </c>
      <c r="J1793" s="128">
        <v>555300</v>
      </c>
      <c r="K1793" s="127" t="s">
        <v>586</v>
      </c>
      <c r="L1793" s="151">
        <v>554366</v>
      </c>
      <c r="M1793" s="128">
        <v>0</v>
      </c>
      <c r="N1793" s="127" t="s">
        <v>692</v>
      </c>
      <c r="O1793" s="127" t="s">
        <v>457</v>
      </c>
      <c r="P1793" s="128">
        <v>-82257641.090000004</v>
      </c>
      <c r="Q1793" s="128">
        <v>0</v>
      </c>
      <c r="R1793" s="128">
        <v>0</v>
      </c>
      <c r="S1793" s="128">
        <v>0</v>
      </c>
      <c r="T1793" s="128">
        <v>-82257641.090000004</v>
      </c>
      <c r="U1793" s="128">
        <v>0</v>
      </c>
      <c r="V1793" s="128">
        <v>-82257641.090000004</v>
      </c>
      <c r="W1793" s="128">
        <v>0</v>
      </c>
      <c r="X1793" s="128">
        <v>0</v>
      </c>
      <c r="Y1793" s="128">
        <v>0</v>
      </c>
      <c r="Z1793" s="128">
        <v>-82257641.090000004</v>
      </c>
      <c r="AA1793" s="128">
        <v>0</v>
      </c>
      <c r="AB1793" s="126">
        <f t="shared" si="192"/>
        <v>8.225764109</v>
      </c>
      <c r="AC1793" s="122" t="s">
        <v>1838</v>
      </c>
      <c r="AD1793" s="123">
        <f t="shared" si="193"/>
        <v>-291.7660984179999</v>
      </c>
    </row>
    <row r="1794" spans="1:30" ht="12.75" hidden="1" customHeight="1">
      <c r="A1794" s="125" t="str">
        <f t="shared" si="189"/>
        <v>LIC40Dividend Distribution-WDP</v>
      </c>
      <c r="B1794" s="125">
        <f>+IFERROR(VLOOKUP(L1794,'TB mapping'!A:D,4,0),0)</f>
        <v>0</v>
      </c>
      <c r="C1794" s="125" t="str">
        <f>+IFERROR(VLOOKUP(L1794,'TB mapping'!A:C,3,0),0)</f>
        <v>ignore</v>
      </c>
      <c r="D1794" s="125" t="str">
        <f t="shared" si="190"/>
        <v>LIC400</v>
      </c>
      <c r="E1794" s="125" t="str">
        <f t="shared" si="191"/>
        <v>LIC40ignore</v>
      </c>
      <c r="F1794" s="158" t="str">
        <f>+VLOOKUP(H1794,'code mapping'!A:C,3,0)</f>
        <v>LIC40</v>
      </c>
      <c r="G1794" s="127" t="s">
        <v>453</v>
      </c>
      <c r="H1794" s="127" t="s">
        <v>729</v>
      </c>
      <c r="I1794" s="127" t="s">
        <v>63</v>
      </c>
      <c r="J1794" s="128">
        <v>555300</v>
      </c>
      <c r="K1794" s="127" t="s">
        <v>586</v>
      </c>
      <c r="L1794" s="151">
        <v>554368</v>
      </c>
      <c r="M1794" s="128">
        <v>0</v>
      </c>
      <c r="N1794" s="127" t="s">
        <v>693</v>
      </c>
      <c r="O1794" s="127" t="s">
        <v>457</v>
      </c>
      <c r="P1794" s="128">
        <v>-4890035.62</v>
      </c>
      <c r="Q1794" s="128">
        <v>0</v>
      </c>
      <c r="R1794" s="128">
        <v>0</v>
      </c>
      <c r="S1794" s="128">
        <v>0</v>
      </c>
      <c r="T1794" s="128">
        <v>-4890035.62</v>
      </c>
      <c r="U1794" s="128">
        <v>0</v>
      </c>
      <c r="V1794" s="128">
        <v>-4890035.62</v>
      </c>
      <c r="W1794" s="128">
        <v>0</v>
      </c>
      <c r="X1794" s="128">
        <v>0</v>
      </c>
      <c r="Y1794" s="128">
        <v>0</v>
      </c>
      <c r="Z1794" s="128">
        <v>-4890035.62</v>
      </c>
      <c r="AA1794" s="128">
        <v>0</v>
      </c>
      <c r="AB1794" s="126">
        <f t="shared" si="192"/>
        <v>0.489003562</v>
      </c>
      <c r="AC1794" s="122" t="s">
        <v>1838</v>
      </c>
      <c r="AD1794" s="123">
        <f t="shared" si="193"/>
        <v>-291.7660984179999</v>
      </c>
    </row>
    <row r="1795" spans="1:30" ht="12.75" hidden="1" customHeight="1">
      <c r="A1795" s="125" t="str">
        <f t="shared" si="189"/>
        <v>LIC40DDT Expense-RWD</v>
      </c>
      <c r="B1795" s="125">
        <f>+IFERROR(VLOOKUP(L1795,'TB mapping'!A:D,4,0),0)</f>
        <v>0</v>
      </c>
      <c r="C1795" s="125" t="str">
        <f>+IFERROR(VLOOKUP(L1795,'TB mapping'!A:C,3,0),0)</f>
        <v>ignore</v>
      </c>
      <c r="D1795" s="125" t="str">
        <f t="shared" si="190"/>
        <v>LIC400</v>
      </c>
      <c r="E1795" s="125" t="str">
        <f t="shared" si="191"/>
        <v>LIC40ignore</v>
      </c>
      <c r="F1795" s="158" t="str">
        <f>+VLOOKUP(H1795,'code mapping'!A:C,3,0)</f>
        <v>LIC40</v>
      </c>
      <c r="G1795" s="127" t="s">
        <v>453</v>
      </c>
      <c r="H1795" s="127" t="s">
        <v>729</v>
      </c>
      <c r="I1795" s="127" t="s">
        <v>63</v>
      </c>
      <c r="J1795" s="128">
        <v>555300</v>
      </c>
      <c r="K1795" s="127" t="s">
        <v>586</v>
      </c>
      <c r="L1795" s="151">
        <v>556303</v>
      </c>
      <c r="M1795" s="128">
        <v>0</v>
      </c>
      <c r="N1795" s="127" t="s">
        <v>694</v>
      </c>
      <c r="O1795" s="127" t="s">
        <v>457</v>
      </c>
      <c r="P1795" s="128">
        <v>-3904226.47</v>
      </c>
      <c r="Q1795" s="128">
        <v>0</v>
      </c>
      <c r="R1795" s="128">
        <v>0</v>
      </c>
      <c r="S1795" s="128">
        <v>0</v>
      </c>
      <c r="T1795" s="128">
        <v>-3904226.47</v>
      </c>
      <c r="U1795" s="128">
        <v>0</v>
      </c>
      <c r="V1795" s="128">
        <v>-3904226.47</v>
      </c>
      <c r="W1795" s="128">
        <v>0</v>
      </c>
      <c r="X1795" s="128">
        <v>0</v>
      </c>
      <c r="Y1795" s="128">
        <v>0</v>
      </c>
      <c r="Z1795" s="128">
        <v>-3904226.47</v>
      </c>
      <c r="AA1795" s="128">
        <v>0</v>
      </c>
      <c r="AB1795" s="126">
        <f t="shared" si="192"/>
        <v>0.39042264700000001</v>
      </c>
      <c r="AC1795" s="122" t="s">
        <v>1838</v>
      </c>
      <c r="AD1795" s="123">
        <f t="shared" si="193"/>
        <v>-291.7660984179999</v>
      </c>
    </row>
    <row r="1796" spans="1:30" ht="12.75" hidden="1" customHeight="1">
      <c r="A1796" s="125" t="str">
        <f t="shared" si="189"/>
        <v>LIC40DDT Expense-RDD</v>
      </c>
      <c r="B1796" s="125">
        <f>+IFERROR(VLOOKUP(L1796,'TB mapping'!A:D,4,0),0)</f>
        <v>0</v>
      </c>
      <c r="C1796" s="125" t="str">
        <f>+IFERROR(VLOOKUP(L1796,'TB mapping'!A:C,3,0),0)</f>
        <v>ignore</v>
      </c>
      <c r="D1796" s="125" t="str">
        <f t="shared" si="190"/>
        <v>LIC400</v>
      </c>
      <c r="E1796" s="125" t="str">
        <f t="shared" si="191"/>
        <v>LIC40ignore</v>
      </c>
      <c r="F1796" s="158" t="str">
        <f>+VLOOKUP(H1796,'code mapping'!A:C,3,0)</f>
        <v>LIC40</v>
      </c>
      <c r="G1796" s="127" t="s">
        <v>453</v>
      </c>
      <c r="H1796" s="127" t="s">
        <v>729</v>
      </c>
      <c r="I1796" s="127" t="s">
        <v>63</v>
      </c>
      <c r="J1796" s="128">
        <v>555300</v>
      </c>
      <c r="K1796" s="127" t="s">
        <v>586</v>
      </c>
      <c r="L1796" s="151">
        <v>556304</v>
      </c>
      <c r="M1796" s="128">
        <v>0</v>
      </c>
      <c r="N1796" s="127" t="s">
        <v>695</v>
      </c>
      <c r="O1796" s="127" t="s">
        <v>457</v>
      </c>
      <c r="P1796" s="128">
        <v>-27894098.09</v>
      </c>
      <c r="Q1796" s="128">
        <v>0</v>
      </c>
      <c r="R1796" s="128">
        <v>0</v>
      </c>
      <c r="S1796" s="128">
        <v>0</v>
      </c>
      <c r="T1796" s="128">
        <v>-27894098.09</v>
      </c>
      <c r="U1796" s="128">
        <v>0</v>
      </c>
      <c r="V1796" s="128">
        <v>-27894098.09</v>
      </c>
      <c r="W1796" s="128">
        <v>0</v>
      </c>
      <c r="X1796" s="128">
        <v>0</v>
      </c>
      <c r="Y1796" s="128">
        <v>0</v>
      </c>
      <c r="Z1796" s="128">
        <v>-27894098.09</v>
      </c>
      <c r="AA1796" s="128">
        <v>0</v>
      </c>
      <c r="AB1796" s="126">
        <f t="shared" si="192"/>
        <v>2.7894098089999999</v>
      </c>
      <c r="AC1796" s="122" t="s">
        <v>1838</v>
      </c>
      <c r="AD1796" s="123">
        <f t="shared" si="193"/>
        <v>-291.7660984179999</v>
      </c>
    </row>
    <row r="1797" spans="1:30" ht="12.75" hidden="1" customHeight="1">
      <c r="A1797" s="125" t="str">
        <f t="shared" si="189"/>
        <v>LIC40DDT Expense-RMD</v>
      </c>
      <c r="B1797" s="125">
        <f>+IFERROR(VLOOKUP(L1797,'TB mapping'!A:D,4,0),0)</f>
        <v>0</v>
      </c>
      <c r="C1797" s="125" t="str">
        <f>+IFERROR(VLOOKUP(L1797,'TB mapping'!A:C,3,0),0)</f>
        <v>ignore</v>
      </c>
      <c r="D1797" s="125" t="str">
        <f t="shared" si="190"/>
        <v>LIC400</v>
      </c>
      <c r="E1797" s="125" t="str">
        <f t="shared" si="191"/>
        <v>LIC40ignore</v>
      </c>
      <c r="F1797" s="158" t="str">
        <f>+VLOOKUP(H1797,'code mapping'!A:C,3,0)</f>
        <v>LIC40</v>
      </c>
      <c r="G1797" s="127" t="s">
        <v>453</v>
      </c>
      <c r="H1797" s="127" t="s">
        <v>729</v>
      </c>
      <c r="I1797" s="127" t="s">
        <v>63</v>
      </c>
      <c r="J1797" s="128">
        <v>555300</v>
      </c>
      <c r="K1797" s="127" t="s">
        <v>586</v>
      </c>
      <c r="L1797" s="151">
        <v>556306</v>
      </c>
      <c r="M1797" s="128">
        <v>0</v>
      </c>
      <c r="N1797" s="127" t="s">
        <v>696</v>
      </c>
      <c r="O1797" s="127" t="s">
        <v>457</v>
      </c>
      <c r="P1797" s="128">
        <v>-1156803.24</v>
      </c>
      <c r="Q1797" s="128">
        <v>0</v>
      </c>
      <c r="R1797" s="128">
        <v>0</v>
      </c>
      <c r="S1797" s="128">
        <v>0</v>
      </c>
      <c r="T1797" s="128">
        <v>-1156803.24</v>
      </c>
      <c r="U1797" s="128">
        <v>0</v>
      </c>
      <c r="V1797" s="128">
        <v>-1156803.24</v>
      </c>
      <c r="W1797" s="128">
        <v>0</v>
      </c>
      <c r="X1797" s="128">
        <v>0</v>
      </c>
      <c r="Y1797" s="128">
        <v>0</v>
      </c>
      <c r="Z1797" s="128">
        <v>-1156803.24</v>
      </c>
      <c r="AA1797" s="128">
        <v>0</v>
      </c>
      <c r="AB1797" s="126">
        <f t="shared" si="192"/>
        <v>0.115680324</v>
      </c>
      <c r="AC1797" s="122" t="s">
        <v>1838</v>
      </c>
      <c r="AD1797" s="123">
        <f t="shared" si="193"/>
        <v>-291.7660984179999</v>
      </c>
    </row>
    <row r="1798" spans="1:30" ht="12.75" hidden="1" customHeight="1">
      <c r="A1798" s="125" t="str">
        <f t="shared" si="189"/>
        <v>LIC40DDT Expense-DPD</v>
      </c>
      <c r="B1798" s="125">
        <f>+IFERROR(VLOOKUP(L1798,'TB mapping'!A:D,4,0),0)</f>
        <v>0</v>
      </c>
      <c r="C1798" s="125" t="str">
        <f>+IFERROR(VLOOKUP(L1798,'TB mapping'!A:C,3,0),0)</f>
        <v>ignore</v>
      </c>
      <c r="D1798" s="125" t="str">
        <f t="shared" si="190"/>
        <v>LIC400</v>
      </c>
      <c r="E1798" s="125" t="str">
        <f t="shared" si="191"/>
        <v>LIC40ignore</v>
      </c>
      <c r="F1798" s="158" t="str">
        <f>+VLOOKUP(H1798,'code mapping'!A:C,3,0)</f>
        <v>LIC40</v>
      </c>
      <c r="G1798" s="127" t="s">
        <v>453</v>
      </c>
      <c r="H1798" s="127" t="s">
        <v>729</v>
      </c>
      <c r="I1798" s="127" t="s">
        <v>63</v>
      </c>
      <c r="J1798" s="128">
        <v>555300</v>
      </c>
      <c r="K1798" s="127" t="s">
        <v>586</v>
      </c>
      <c r="L1798" s="151">
        <v>556366</v>
      </c>
      <c r="M1798" s="128">
        <v>0</v>
      </c>
      <c r="N1798" s="127" t="s">
        <v>698</v>
      </c>
      <c r="O1798" s="127" t="s">
        <v>457</v>
      </c>
      <c r="P1798" s="128">
        <v>-37639405.240000002</v>
      </c>
      <c r="Q1798" s="128">
        <v>0</v>
      </c>
      <c r="R1798" s="128">
        <v>0</v>
      </c>
      <c r="S1798" s="128">
        <v>0</v>
      </c>
      <c r="T1798" s="128">
        <v>-37639405.240000002</v>
      </c>
      <c r="U1798" s="128">
        <v>0</v>
      </c>
      <c r="V1798" s="128">
        <v>-37639405.240000002</v>
      </c>
      <c r="W1798" s="128">
        <v>0</v>
      </c>
      <c r="X1798" s="128">
        <v>0</v>
      </c>
      <c r="Y1798" s="128">
        <v>0</v>
      </c>
      <c r="Z1798" s="128">
        <v>-37639405.240000002</v>
      </c>
      <c r="AA1798" s="128">
        <v>0</v>
      </c>
      <c r="AB1798" s="126">
        <f t="shared" si="192"/>
        <v>3.7639405240000001</v>
      </c>
      <c r="AC1798" s="122" t="s">
        <v>1838</v>
      </c>
      <c r="AD1798" s="123">
        <f t="shared" si="193"/>
        <v>-291.7660984179999</v>
      </c>
    </row>
    <row r="1799" spans="1:30" ht="12.75" hidden="1" customHeight="1">
      <c r="A1799" s="125" t="str">
        <f t="shared" si="189"/>
        <v>LIC40DDT Expense-WDP</v>
      </c>
      <c r="B1799" s="125">
        <f>+IFERROR(VLOOKUP(L1799,'TB mapping'!A:D,4,0),0)</f>
        <v>0</v>
      </c>
      <c r="C1799" s="125" t="str">
        <f>+IFERROR(VLOOKUP(L1799,'TB mapping'!A:C,3,0),0)</f>
        <v>ignore</v>
      </c>
      <c r="D1799" s="125" t="str">
        <f t="shared" si="190"/>
        <v>LIC400</v>
      </c>
      <c r="E1799" s="125" t="str">
        <f t="shared" si="191"/>
        <v>LIC40ignore</v>
      </c>
      <c r="F1799" s="158" t="str">
        <f>+VLOOKUP(H1799,'code mapping'!A:C,3,0)</f>
        <v>LIC40</v>
      </c>
      <c r="G1799" s="127" t="s">
        <v>453</v>
      </c>
      <c r="H1799" s="127" t="s">
        <v>729</v>
      </c>
      <c r="I1799" s="127" t="s">
        <v>63</v>
      </c>
      <c r="J1799" s="128">
        <v>555300</v>
      </c>
      <c r="K1799" s="127" t="s">
        <v>586</v>
      </c>
      <c r="L1799" s="151">
        <v>556368</v>
      </c>
      <c r="M1799" s="128">
        <v>0</v>
      </c>
      <c r="N1799" s="127" t="s">
        <v>699</v>
      </c>
      <c r="O1799" s="127" t="s">
        <v>457</v>
      </c>
      <c r="P1799" s="128">
        <v>-2067579.27</v>
      </c>
      <c r="Q1799" s="128">
        <v>0</v>
      </c>
      <c r="R1799" s="128">
        <v>0</v>
      </c>
      <c r="S1799" s="128">
        <v>0</v>
      </c>
      <c r="T1799" s="128">
        <v>-2067579.27</v>
      </c>
      <c r="U1799" s="128">
        <v>0</v>
      </c>
      <c r="V1799" s="128">
        <v>-2067579.27</v>
      </c>
      <c r="W1799" s="128">
        <v>0</v>
      </c>
      <c r="X1799" s="128">
        <v>0</v>
      </c>
      <c r="Y1799" s="128">
        <v>0</v>
      </c>
      <c r="Z1799" s="128">
        <v>-2067579.27</v>
      </c>
      <c r="AA1799" s="128">
        <v>0</v>
      </c>
      <c r="AB1799" s="126">
        <f t="shared" si="192"/>
        <v>0.20675792700000001</v>
      </c>
      <c r="AC1799" s="122" t="s">
        <v>1838</v>
      </c>
      <c r="AD1799" s="123">
        <f t="shared" si="193"/>
        <v>-291.7660984179999</v>
      </c>
    </row>
    <row r="1800" spans="1:30" ht="12.75" hidden="1" customHeight="1">
      <c r="A1800" s="125" t="str">
        <f t="shared" si="189"/>
        <v>LIC08Investment - Equities</v>
      </c>
      <c r="B1800" s="125">
        <f>+IFERROR(VLOOKUP(L1800,'TB mapping'!A:D,4,0),0)</f>
        <v>0</v>
      </c>
      <c r="C1800" s="125">
        <f>+IFERROR(VLOOKUP(L1800,'TB mapping'!A:C,3,0),0)</f>
        <v>0</v>
      </c>
      <c r="D1800" s="125" t="str">
        <f t="shared" si="190"/>
        <v>LIC080</v>
      </c>
      <c r="E1800" s="125" t="str">
        <f t="shared" si="191"/>
        <v>LIC080</v>
      </c>
      <c r="F1800" s="158" t="str">
        <f>+VLOOKUP(H1800,'code mapping'!A:C,3,0)</f>
        <v>LIC08</v>
      </c>
      <c r="G1800" s="127" t="s">
        <v>453</v>
      </c>
      <c r="H1800" s="127" t="s">
        <v>746</v>
      </c>
      <c r="I1800" s="127" t="s">
        <v>228</v>
      </c>
      <c r="J1800" s="128">
        <v>101000</v>
      </c>
      <c r="K1800" s="127" t="s">
        <v>591</v>
      </c>
      <c r="L1800" s="151">
        <v>101100</v>
      </c>
      <c r="M1800" s="128">
        <v>0</v>
      </c>
      <c r="N1800" s="127" t="s">
        <v>592</v>
      </c>
      <c r="O1800" s="127" t="s">
        <v>457</v>
      </c>
      <c r="P1800" s="128">
        <v>-2273282087.0300002</v>
      </c>
      <c r="Q1800" s="128">
        <v>0</v>
      </c>
      <c r="R1800" s="128">
        <v>0</v>
      </c>
      <c r="S1800" s="128">
        <v>0</v>
      </c>
      <c r="T1800" s="128">
        <v>-2273282087.0300002</v>
      </c>
      <c r="U1800" s="128">
        <v>0</v>
      </c>
      <c r="V1800" s="128">
        <v>-2273282087.0300002</v>
      </c>
      <c r="W1800" s="128">
        <v>0</v>
      </c>
      <c r="X1800" s="128">
        <v>0</v>
      </c>
      <c r="Y1800" s="128">
        <v>0</v>
      </c>
      <c r="Z1800" s="128">
        <v>-2273282087.0300002</v>
      </c>
      <c r="AA1800" s="128">
        <v>0</v>
      </c>
      <c r="AB1800" s="126">
        <f t="shared" si="192"/>
        <v>227.32820870300003</v>
      </c>
      <c r="AC1800" s="122" t="s">
        <v>1838</v>
      </c>
      <c r="AD1800" s="123">
        <f t="shared" si="193"/>
        <v>1983.9723217250009</v>
      </c>
    </row>
    <row r="1801" spans="1:30" ht="12.75" hidden="1" customHeight="1">
      <c r="A1801" s="125" t="str">
        <f t="shared" si="189"/>
        <v>LIC08Investment - Treasury Bills</v>
      </c>
      <c r="B1801" s="125">
        <f>+IFERROR(VLOOKUP(L1801,'TB mapping'!A:D,4,0),0)</f>
        <v>0</v>
      </c>
      <c r="C1801" s="125">
        <f>+IFERROR(VLOOKUP(L1801,'TB mapping'!A:C,3,0),0)</f>
        <v>0</v>
      </c>
      <c r="D1801" s="125" t="str">
        <f t="shared" si="190"/>
        <v>LIC080</v>
      </c>
      <c r="E1801" s="125" t="str">
        <f t="shared" si="191"/>
        <v>LIC080</v>
      </c>
      <c r="F1801" s="158" t="str">
        <f>+VLOOKUP(H1801,'code mapping'!A:C,3,0)</f>
        <v>LIC08</v>
      </c>
      <c r="G1801" s="127" t="s">
        <v>453</v>
      </c>
      <c r="H1801" s="127" t="s">
        <v>746</v>
      </c>
      <c r="I1801" s="127" t="s">
        <v>228</v>
      </c>
      <c r="J1801" s="128">
        <v>102000</v>
      </c>
      <c r="K1801" s="127" t="s">
        <v>455</v>
      </c>
      <c r="L1801" s="151">
        <v>102110</v>
      </c>
      <c r="M1801" s="128">
        <v>0</v>
      </c>
      <c r="N1801" s="127" t="s">
        <v>643</v>
      </c>
      <c r="O1801" s="127" t="s">
        <v>457</v>
      </c>
      <c r="P1801" s="128">
        <v>-288431220</v>
      </c>
      <c r="Q1801" s="128">
        <v>0</v>
      </c>
      <c r="R1801" s="128">
        <v>0</v>
      </c>
      <c r="S1801" s="128">
        <v>0</v>
      </c>
      <c r="T1801" s="128">
        <v>-288431220</v>
      </c>
      <c r="U1801" s="128">
        <v>0</v>
      </c>
      <c r="V1801" s="128">
        <v>-288431220</v>
      </c>
      <c r="W1801" s="128">
        <v>0</v>
      </c>
      <c r="X1801" s="128">
        <v>0</v>
      </c>
      <c r="Y1801" s="128">
        <v>0</v>
      </c>
      <c r="Z1801" s="128">
        <v>-288431220</v>
      </c>
      <c r="AA1801" s="128">
        <v>0</v>
      </c>
      <c r="AB1801" s="126">
        <f t="shared" si="192"/>
        <v>28.843122000000001</v>
      </c>
      <c r="AC1801" s="122" t="s">
        <v>1838</v>
      </c>
      <c r="AD1801" s="123">
        <f t="shared" si="193"/>
        <v>1983.9723217250009</v>
      </c>
    </row>
    <row r="1802" spans="1:30" ht="12.75" hidden="1" customHeight="1">
      <c r="A1802" s="125" t="str">
        <f t="shared" si="189"/>
        <v>LIC08Investment - Corp Bond/Debent.</v>
      </c>
      <c r="B1802" s="125">
        <f>+IFERROR(VLOOKUP(L1802,'TB mapping'!A:D,4,0),0)</f>
        <v>0</v>
      </c>
      <c r="C1802" s="125">
        <f>+IFERROR(VLOOKUP(L1802,'TB mapping'!A:C,3,0),0)</f>
        <v>0</v>
      </c>
      <c r="D1802" s="125" t="str">
        <f t="shared" si="190"/>
        <v>LIC080</v>
      </c>
      <c r="E1802" s="125" t="str">
        <f t="shared" si="191"/>
        <v>LIC080</v>
      </c>
      <c r="F1802" s="158" t="str">
        <f>+VLOOKUP(H1802,'code mapping'!A:C,3,0)</f>
        <v>LIC08</v>
      </c>
      <c r="G1802" s="127" t="s">
        <v>453</v>
      </c>
      <c r="H1802" s="127" t="s">
        <v>746</v>
      </c>
      <c r="I1802" s="127" t="s">
        <v>228</v>
      </c>
      <c r="J1802" s="128">
        <v>102000</v>
      </c>
      <c r="K1802" s="127" t="s">
        <v>455</v>
      </c>
      <c r="L1802" s="151">
        <v>102120</v>
      </c>
      <c r="M1802" s="128">
        <v>0</v>
      </c>
      <c r="N1802" s="127" t="s">
        <v>456</v>
      </c>
      <c r="O1802" s="127" t="s">
        <v>457</v>
      </c>
      <c r="P1802" s="128">
        <v>-238879803.05000001</v>
      </c>
      <c r="Q1802" s="128">
        <v>0</v>
      </c>
      <c r="R1802" s="128">
        <v>0</v>
      </c>
      <c r="S1802" s="128">
        <v>0</v>
      </c>
      <c r="T1802" s="128">
        <v>-238879803.05000001</v>
      </c>
      <c r="U1802" s="128">
        <v>0</v>
      </c>
      <c r="V1802" s="128">
        <v>-238879803.05000001</v>
      </c>
      <c r="W1802" s="128">
        <v>0</v>
      </c>
      <c r="X1802" s="128">
        <v>0</v>
      </c>
      <c r="Y1802" s="128">
        <v>0</v>
      </c>
      <c r="Z1802" s="128">
        <v>-238879803.05000001</v>
      </c>
      <c r="AA1802" s="128">
        <v>0</v>
      </c>
      <c r="AB1802" s="126">
        <f t="shared" si="192"/>
        <v>23.887980305000003</v>
      </c>
      <c r="AC1802" s="122" t="s">
        <v>1838</v>
      </c>
      <c r="AD1802" s="123">
        <f t="shared" si="193"/>
        <v>1983.9723217250009</v>
      </c>
    </row>
    <row r="1803" spans="1:30" ht="12.75" hidden="1" customHeight="1">
      <c r="A1803" s="125" t="str">
        <f t="shared" si="189"/>
        <v>LIC08Investment - Government Bonds</v>
      </c>
      <c r="B1803" s="125">
        <f>+IFERROR(VLOOKUP(L1803,'TB mapping'!A:D,4,0),0)</f>
        <v>0</v>
      </c>
      <c r="C1803" s="125">
        <f>+IFERROR(VLOOKUP(L1803,'TB mapping'!A:C,3,0),0)</f>
        <v>0</v>
      </c>
      <c r="D1803" s="125" t="str">
        <f t="shared" si="190"/>
        <v>LIC080</v>
      </c>
      <c r="E1803" s="125" t="str">
        <f t="shared" si="191"/>
        <v>LIC080</v>
      </c>
      <c r="F1803" s="158" t="str">
        <f>+VLOOKUP(H1803,'code mapping'!A:C,3,0)</f>
        <v>LIC08</v>
      </c>
      <c r="G1803" s="127" t="s">
        <v>453</v>
      </c>
      <c r="H1803" s="127" t="s">
        <v>746</v>
      </c>
      <c r="I1803" s="127" t="s">
        <v>228</v>
      </c>
      <c r="J1803" s="128">
        <v>102000</v>
      </c>
      <c r="K1803" s="127" t="s">
        <v>455</v>
      </c>
      <c r="L1803" s="151">
        <v>102130</v>
      </c>
      <c r="M1803" s="128">
        <v>0</v>
      </c>
      <c r="N1803" s="127" t="s">
        <v>458</v>
      </c>
      <c r="O1803" s="127" t="s">
        <v>457</v>
      </c>
      <c r="P1803" s="128">
        <v>-400271139.19</v>
      </c>
      <c r="Q1803" s="128">
        <v>0</v>
      </c>
      <c r="R1803" s="128">
        <v>0</v>
      </c>
      <c r="S1803" s="128">
        <v>0</v>
      </c>
      <c r="T1803" s="128">
        <v>-400271139.19</v>
      </c>
      <c r="U1803" s="128">
        <v>0</v>
      </c>
      <c r="V1803" s="128">
        <v>-400271139.19</v>
      </c>
      <c r="W1803" s="128">
        <v>0</v>
      </c>
      <c r="X1803" s="128">
        <v>0</v>
      </c>
      <c r="Y1803" s="128">
        <v>0</v>
      </c>
      <c r="Z1803" s="128">
        <v>-400271139.19</v>
      </c>
      <c r="AA1803" s="128">
        <v>0</v>
      </c>
      <c r="AB1803" s="126">
        <f t="shared" si="192"/>
        <v>40.027113919000001</v>
      </c>
      <c r="AC1803" s="122" t="s">
        <v>1838</v>
      </c>
      <c r="AD1803" s="123">
        <f t="shared" si="193"/>
        <v>1983.9723217250009</v>
      </c>
    </row>
    <row r="1804" spans="1:30" ht="12.75" hidden="1" customHeight="1">
      <c r="A1804" s="125" t="str">
        <f t="shared" si="189"/>
        <v>LIC08Investment Mutual Fund</v>
      </c>
      <c r="B1804" s="125">
        <f>+IFERROR(VLOOKUP(L1804,'TB mapping'!A:D,4,0),0)</f>
        <v>0</v>
      </c>
      <c r="C1804" s="125">
        <f>+IFERROR(VLOOKUP(L1804,'TB mapping'!A:C,3,0),0)</f>
        <v>0</v>
      </c>
      <c r="D1804" s="125" t="str">
        <f t="shared" si="190"/>
        <v>LIC080</v>
      </c>
      <c r="E1804" s="125" t="str">
        <f t="shared" si="191"/>
        <v>LIC080</v>
      </c>
      <c r="F1804" s="158" t="str">
        <f>+VLOOKUP(H1804,'code mapping'!A:C,3,0)</f>
        <v>LIC08</v>
      </c>
      <c r="G1804" s="127" t="s">
        <v>453</v>
      </c>
      <c r="H1804" s="127" t="s">
        <v>746</v>
      </c>
      <c r="I1804" s="127" t="s">
        <v>228</v>
      </c>
      <c r="J1804" s="128">
        <v>105000</v>
      </c>
      <c r="K1804" s="127" t="s">
        <v>460</v>
      </c>
      <c r="L1804" s="151">
        <v>105100</v>
      </c>
      <c r="M1804" s="128">
        <v>0</v>
      </c>
      <c r="N1804" s="127" t="s">
        <v>461</v>
      </c>
      <c r="O1804" s="127" t="s">
        <v>457</v>
      </c>
      <c r="P1804" s="128">
        <v>0</v>
      </c>
      <c r="Q1804" s="128">
        <v>0.01</v>
      </c>
      <c r="R1804" s="128">
        <v>0</v>
      </c>
      <c r="S1804" s="128">
        <v>0</v>
      </c>
      <c r="T1804" s="128">
        <v>0</v>
      </c>
      <c r="U1804" s="128">
        <v>0.01</v>
      </c>
      <c r="V1804" s="128">
        <v>0</v>
      </c>
      <c r="W1804" s="128">
        <v>0.01</v>
      </c>
      <c r="X1804" s="128">
        <v>0</v>
      </c>
      <c r="Y1804" s="128">
        <v>0</v>
      </c>
      <c r="Z1804" s="128">
        <v>0</v>
      </c>
      <c r="AA1804" s="128">
        <v>0.01</v>
      </c>
      <c r="AB1804" s="126">
        <f t="shared" si="192"/>
        <v>-1.0000000000000001E-9</v>
      </c>
      <c r="AC1804" s="122" t="s">
        <v>1838</v>
      </c>
      <c r="AD1804" s="123">
        <f t="shared" si="193"/>
        <v>1983.9723217250009</v>
      </c>
    </row>
    <row r="1805" spans="1:30" ht="12.75" hidden="1" customHeight="1">
      <c r="A1805" s="125" t="str">
        <f t="shared" si="189"/>
        <v>LIC08Investment - CBLO</v>
      </c>
      <c r="B1805" s="125">
        <f>+IFERROR(VLOOKUP(L1805,'TB mapping'!A:D,4,0),0)</f>
        <v>0</v>
      </c>
      <c r="C1805" s="125">
        <f>+IFERROR(VLOOKUP(L1805,'TB mapping'!A:C,3,0),0)</f>
        <v>0</v>
      </c>
      <c r="D1805" s="125" t="str">
        <f t="shared" si="190"/>
        <v>LIC080</v>
      </c>
      <c r="E1805" s="125" t="str">
        <f t="shared" si="191"/>
        <v>LIC080</v>
      </c>
      <c r="F1805" s="158" t="str">
        <f>+VLOOKUP(H1805,'code mapping'!A:C,3,0)</f>
        <v>LIC08</v>
      </c>
      <c r="G1805" s="127" t="s">
        <v>453</v>
      </c>
      <c r="H1805" s="127" t="s">
        <v>746</v>
      </c>
      <c r="I1805" s="127" t="s">
        <v>228</v>
      </c>
      <c r="J1805" s="128">
        <v>110000</v>
      </c>
      <c r="K1805" s="127" t="s">
        <v>462</v>
      </c>
      <c r="L1805" s="151">
        <v>110100</v>
      </c>
      <c r="M1805" s="128">
        <v>0</v>
      </c>
      <c r="N1805" s="127" t="s">
        <v>463</v>
      </c>
      <c r="O1805" s="127" t="s">
        <v>457</v>
      </c>
      <c r="P1805" s="128">
        <v>-200820815.43000001</v>
      </c>
      <c r="Q1805" s="128">
        <v>0</v>
      </c>
      <c r="R1805" s="128">
        <v>0</v>
      </c>
      <c r="S1805" s="128">
        <v>0</v>
      </c>
      <c r="T1805" s="128">
        <v>-200820815.43000001</v>
      </c>
      <c r="U1805" s="128">
        <v>0</v>
      </c>
      <c r="V1805" s="128">
        <v>-200820815.43000001</v>
      </c>
      <c r="W1805" s="128">
        <v>0</v>
      </c>
      <c r="X1805" s="128">
        <v>0</v>
      </c>
      <c r="Y1805" s="128">
        <v>0</v>
      </c>
      <c r="Z1805" s="128">
        <v>-200820815.43000001</v>
      </c>
      <c r="AA1805" s="128">
        <v>0</v>
      </c>
      <c r="AB1805" s="126">
        <f t="shared" si="192"/>
        <v>20.082081543000001</v>
      </c>
      <c r="AC1805" s="122" t="s">
        <v>1838</v>
      </c>
      <c r="AD1805" s="123">
        <f t="shared" si="193"/>
        <v>1983.9723217250009</v>
      </c>
    </row>
    <row r="1806" spans="1:30" ht="12.75" hidden="1" customHeight="1">
      <c r="A1806" s="125" t="str">
        <f t="shared" si="189"/>
        <v>LIC08Margin Money Deposits</v>
      </c>
      <c r="B1806" s="125">
        <f>+IFERROR(VLOOKUP(L1806,'TB mapping'!A:D,4,0),0)</f>
        <v>0</v>
      </c>
      <c r="C1806" s="125">
        <f>+IFERROR(VLOOKUP(L1806,'TB mapping'!A:C,3,0),0)</f>
        <v>0</v>
      </c>
      <c r="D1806" s="125" t="str">
        <f t="shared" si="190"/>
        <v>LIC080</v>
      </c>
      <c r="E1806" s="125" t="str">
        <f t="shared" si="191"/>
        <v>LIC080</v>
      </c>
      <c r="F1806" s="158" t="str">
        <f>+VLOOKUP(H1806,'code mapping'!A:C,3,0)</f>
        <v>LIC08</v>
      </c>
      <c r="G1806" s="127" t="s">
        <v>453</v>
      </c>
      <c r="H1806" s="127" t="s">
        <v>746</v>
      </c>
      <c r="I1806" s="127" t="s">
        <v>228</v>
      </c>
      <c r="J1806" s="128">
        <v>110000</v>
      </c>
      <c r="K1806" s="127" t="s">
        <v>462</v>
      </c>
      <c r="L1806" s="151">
        <v>110110</v>
      </c>
      <c r="M1806" s="128">
        <v>0</v>
      </c>
      <c r="N1806" s="127" t="s">
        <v>464</v>
      </c>
      <c r="O1806" s="127" t="s">
        <v>457</v>
      </c>
      <c r="P1806" s="128">
        <v>-651715.05000000005</v>
      </c>
      <c r="Q1806" s="128">
        <v>0</v>
      </c>
      <c r="R1806" s="128">
        <v>0</v>
      </c>
      <c r="S1806" s="128">
        <v>0</v>
      </c>
      <c r="T1806" s="128">
        <v>-651715.05000000005</v>
      </c>
      <c r="U1806" s="128">
        <v>0</v>
      </c>
      <c r="V1806" s="128">
        <v>-651715.05000000005</v>
      </c>
      <c r="W1806" s="128">
        <v>0</v>
      </c>
      <c r="X1806" s="128">
        <v>0</v>
      </c>
      <c r="Y1806" s="128">
        <v>0</v>
      </c>
      <c r="Z1806" s="128">
        <v>-651715.05000000005</v>
      </c>
      <c r="AA1806" s="128">
        <v>0</v>
      </c>
      <c r="AB1806" s="126">
        <f t="shared" si="192"/>
        <v>6.5171505000000005E-2</v>
      </c>
      <c r="AC1806" s="122" t="s">
        <v>1838</v>
      </c>
      <c r="AD1806" s="123">
        <f t="shared" si="193"/>
        <v>1983.9723217250009</v>
      </c>
    </row>
    <row r="1807" spans="1:30" ht="12.75" hidden="1" customHeight="1">
      <c r="A1807" s="125" t="str">
        <f t="shared" si="189"/>
        <v>LIC08Margin Deposit For CCIL</v>
      </c>
      <c r="B1807" s="125">
        <f>+IFERROR(VLOOKUP(L1807,'TB mapping'!A:D,4,0),0)</f>
        <v>0</v>
      </c>
      <c r="C1807" s="125">
        <f>+IFERROR(VLOOKUP(L1807,'TB mapping'!A:C,3,0),0)</f>
        <v>0</v>
      </c>
      <c r="D1807" s="125" t="str">
        <f t="shared" si="190"/>
        <v>LIC080</v>
      </c>
      <c r="E1807" s="125" t="str">
        <f t="shared" si="191"/>
        <v>LIC080</v>
      </c>
      <c r="F1807" s="158" t="str">
        <f>+VLOOKUP(H1807,'code mapping'!A:C,3,0)</f>
        <v>LIC08</v>
      </c>
      <c r="G1807" s="127" t="s">
        <v>453</v>
      </c>
      <c r="H1807" s="127" t="s">
        <v>746</v>
      </c>
      <c r="I1807" s="127" t="s">
        <v>228</v>
      </c>
      <c r="J1807" s="128">
        <v>110000</v>
      </c>
      <c r="K1807" s="127" t="s">
        <v>462</v>
      </c>
      <c r="L1807" s="151">
        <v>110116</v>
      </c>
      <c r="M1807" s="128">
        <v>0</v>
      </c>
      <c r="N1807" s="127" t="s">
        <v>465</v>
      </c>
      <c r="O1807" s="127" t="s">
        <v>457</v>
      </c>
      <c r="P1807" s="128">
        <v>-162503.48000000001</v>
      </c>
      <c r="Q1807" s="128">
        <v>0</v>
      </c>
      <c r="R1807" s="128">
        <v>0</v>
      </c>
      <c r="S1807" s="128">
        <v>0</v>
      </c>
      <c r="T1807" s="128">
        <v>-162503.48000000001</v>
      </c>
      <c r="U1807" s="128">
        <v>0</v>
      </c>
      <c r="V1807" s="128">
        <v>-162503.48000000001</v>
      </c>
      <c r="W1807" s="128">
        <v>0</v>
      </c>
      <c r="X1807" s="128">
        <v>0</v>
      </c>
      <c r="Y1807" s="128">
        <v>0</v>
      </c>
      <c r="Z1807" s="128">
        <v>-162503.48000000001</v>
      </c>
      <c r="AA1807" s="128">
        <v>0</v>
      </c>
      <c r="AB1807" s="126">
        <f t="shared" si="192"/>
        <v>1.6250348000000001E-2</v>
      </c>
      <c r="AC1807" s="122" t="s">
        <v>1838</v>
      </c>
      <c r="AD1807" s="123">
        <f t="shared" si="193"/>
        <v>1983.9723217250009</v>
      </c>
    </row>
    <row r="1808" spans="1:30" ht="12.75" hidden="1" customHeight="1">
      <c r="A1808" s="125" t="str">
        <f t="shared" si="189"/>
        <v>LIC08Sub. Rec. Control Account</v>
      </c>
      <c r="B1808" s="125">
        <f>+IFERROR(VLOOKUP(L1808,'TB mapping'!A:D,4,0),0)</f>
        <v>0</v>
      </c>
      <c r="C1808" s="125">
        <f>+IFERROR(VLOOKUP(L1808,'TB mapping'!A:C,3,0),0)</f>
        <v>0</v>
      </c>
      <c r="D1808" s="125" t="str">
        <f t="shared" si="190"/>
        <v>LIC080</v>
      </c>
      <c r="E1808" s="125" t="str">
        <f t="shared" si="191"/>
        <v>LIC080</v>
      </c>
      <c r="F1808" s="158" t="str">
        <f>+VLOOKUP(H1808,'code mapping'!A:C,3,0)</f>
        <v>LIC08</v>
      </c>
      <c r="G1808" s="127" t="s">
        <v>453</v>
      </c>
      <c r="H1808" s="127" t="s">
        <v>746</v>
      </c>
      <c r="I1808" s="127" t="s">
        <v>228</v>
      </c>
      <c r="J1808" s="128">
        <v>132000</v>
      </c>
      <c r="K1808" s="127" t="s">
        <v>466</v>
      </c>
      <c r="L1808" s="151">
        <v>132121</v>
      </c>
      <c r="M1808" s="128">
        <v>0</v>
      </c>
      <c r="N1808" s="127" t="s">
        <v>467</v>
      </c>
      <c r="O1808" s="127" t="s">
        <v>457</v>
      </c>
      <c r="P1808" s="128">
        <v>-4577971.5600000005</v>
      </c>
      <c r="Q1808" s="128">
        <v>0</v>
      </c>
      <c r="R1808" s="128">
        <v>0</v>
      </c>
      <c r="S1808" s="128">
        <v>0</v>
      </c>
      <c r="T1808" s="128">
        <v>-4577971.5600000005</v>
      </c>
      <c r="U1808" s="128">
        <v>0</v>
      </c>
      <c r="V1808" s="128">
        <v>-4577971.5600000005</v>
      </c>
      <c r="W1808" s="128">
        <v>0</v>
      </c>
      <c r="X1808" s="128">
        <v>0</v>
      </c>
      <c r="Y1808" s="128">
        <v>0</v>
      </c>
      <c r="Z1808" s="128">
        <v>-4577971.5600000005</v>
      </c>
      <c r="AA1808" s="128">
        <v>0</v>
      </c>
      <c r="AB1808" s="126">
        <f t="shared" si="192"/>
        <v>0.45779715600000004</v>
      </c>
      <c r="AC1808" s="122" t="s">
        <v>1838</v>
      </c>
      <c r="AD1808" s="123">
        <f t="shared" si="193"/>
        <v>1983.9723217250009</v>
      </c>
    </row>
    <row r="1809" spans="1:30" ht="12.75" hidden="1" customHeight="1">
      <c r="A1809" s="125" t="str">
        <f t="shared" si="189"/>
        <v>LIC08Switch in Receivable Ct</v>
      </c>
      <c r="B1809" s="125">
        <f>+IFERROR(VLOOKUP(L1809,'TB mapping'!A:D,4,0),0)</f>
        <v>0</v>
      </c>
      <c r="C1809" s="125">
        <f>+IFERROR(VLOOKUP(L1809,'TB mapping'!A:C,3,0),0)</f>
        <v>0</v>
      </c>
      <c r="D1809" s="125" t="str">
        <f t="shared" si="190"/>
        <v>LIC080</v>
      </c>
      <c r="E1809" s="125" t="str">
        <f t="shared" si="191"/>
        <v>LIC080</v>
      </c>
      <c r="F1809" s="158" t="str">
        <f>+VLOOKUP(H1809,'code mapping'!A:C,3,0)</f>
        <v>LIC08</v>
      </c>
      <c r="G1809" s="127" t="s">
        <v>453</v>
      </c>
      <c r="H1809" s="127" t="s">
        <v>746</v>
      </c>
      <c r="I1809" s="127" t="s">
        <v>228</v>
      </c>
      <c r="J1809" s="128">
        <v>132000</v>
      </c>
      <c r="K1809" s="127" t="s">
        <v>466</v>
      </c>
      <c r="L1809" s="151">
        <v>132124</v>
      </c>
      <c r="M1809" s="128">
        <v>0</v>
      </c>
      <c r="N1809" s="127" t="s">
        <v>468</v>
      </c>
      <c r="O1809" s="127" t="s">
        <v>457</v>
      </c>
      <c r="P1809" s="128">
        <v>-1049014.43</v>
      </c>
      <c r="Q1809" s="128">
        <v>0</v>
      </c>
      <c r="R1809" s="128">
        <v>0</v>
      </c>
      <c r="S1809" s="128">
        <v>0</v>
      </c>
      <c r="T1809" s="128">
        <v>-1049014.43</v>
      </c>
      <c r="U1809" s="128">
        <v>0</v>
      </c>
      <c r="V1809" s="128">
        <v>-1049014.43</v>
      </c>
      <c r="W1809" s="128">
        <v>0</v>
      </c>
      <c r="X1809" s="128">
        <v>0</v>
      </c>
      <c r="Y1809" s="128">
        <v>0</v>
      </c>
      <c r="Z1809" s="128">
        <v>-1049014.43</v>
      </c>
      <c r="AA1809" s="128">
        <v>0</v>
      </c>
      <c r="AB1809" s="126">
        <f t="shared" si="192"/>
        <v>0.104901443</v>
      </c>
      <c r="AC1809" s="122" t="s">
        <v>1838</v>
      </c>
      <c r="AD1809" s="123">
        <f t="shared" si="193"/>
        <v>1983.9723217250009</v>
      </c>
    </row>
    <row r="1810" spans="1:30" ht="12.75" hidden="1" customHeight="1">
      <c r="A1810" s="125" t="str">
        <f t="shared" si="189"/>
        <v>LIC08Due From Broker - Equities</v>
      </c>
      <c r="B1810" s="125">
        <f>+IFERROR(VLOOKUP(L1810,'TB mapping'!A:D,4,0),0)</f>
        <v>0</v>
      </c>
      <c r="C1810" s="125">
        <f>+IFERROR(VLOOKUP(L1810,'TB mapping'!A:C,3,0),0)</f>
        <v>0</v>
      </c>
      <c r="D1810" s="125" t="str">
        <f t="shared" si="190"/>
        <v>LIC080</v>
      </c>
      <c r="E1810" s="125" t="str">
        <f t="shared" si="191"/>
        <v>LIC080</v>
      </c>
      <c r="F1810" s="158" t="str">
        <f>+VLOOKUP(H1810,'code mapping'!A:C,3,0)</f>
        <v>LIC08</v>
      </c>
      <c r="G1810" s="127" t="s">
        <v>453</v>
      </c>
      <c r="H1810" s="127" t="s">
        <v>746</v>
      </c>
      <c r="I1810" s="127" t="s">
        <v>228</v>
      </c>
      <c r="J1810" s="128">
        <v>132000</v>
      </c>
      <c r="K1810" s="127" t="s">
        <v>466</v>
      </c>
      <c r="L1810" s="151">
        <v>132150</v>
      </c>
      <c r="M1810" s="128">
        <v>0</v>
      </c>
      <c r="N1810" s="127" t="s">
        <v>594</v>
      </c>
      <c r="O1810" s="127" t="s">
        <v>457</v>
      </c>
      <c r="P1810" s="128">
        <v>-2000</v>
      </c>
      <c r="Q1810" s="128">
        <v>0</v>
      </c>
      <c r="R1810" s="128">
        <v>0</v>
      </c>
      <c r="S1810" s="128">
        <v>0</v>
      </c>
      <c r="T1810" s="128">
        <v>-2000</v>
      </c>
      <c r="U1810" s="128">
        <v>0</v>
      </c>
      <c r="V1810" s="128">
        <v>-2000</v>
      </c>
      <c r="W1810" s="128">
        <v>0</v>
      </c>
      <c r="X1810" s="128">
        <v>0</v>
      </c>
      <c r="Y1810" s="128">
        <v>0</v>
      </c>
      <c r="Z1810" s="128">
        <v>-2000</v>
      </c>
      <c r="AA1810" s="128">
        <v>0</v>
      </c>
      <c r="AB1810" s="126">
        <f t="shared" si="192"/>
        <v>2.0000000000000001E-4</v>
      </c>
      <c r="AC1810" s="122" t="s">
        <v>1838</v>
      </c>
      <c r="AD1810" s="123">
        <f t="shared" si="193"/>
        <v>1983.9723217250009</v>
      </c>
    </row>
    <row r="1811" spans="1:30" ht="12.75" hidden="1" customHeight="1">
      <c r="A1811" s="125" t="str">
        <f t="shared" si="189"/>
        <v>LIC08Due From Broker</v>
      </c>
      <c r="B1811" s="125">
        <f>+IFERROR(VLOOKUP(L1811,'TB mapping'!A:D,4,0),0)</f>
        <v>0</v>
      </c>
      <c r="C1811" s="125">
        <f>+IFERROR(VLOOKUP(L1811,'TB mapping'!A:C,3,0),0)</f>
        <v>0</v>
      </c>
      <c r="D1811" s="125" t="str">
        <f t="shared" si="190"/>
        <v>LIC080</v>
      </c>
      <c r="E1811" s="125" t="str">
        <f t="shared" si="191"/>
        <v>LIC080</v>
      </c>
      <c r="F1811" s="158" t="str">
        <f>+VLOOKUP(H1811,'code mapping'!A:C,3,0)</f>
        <v>LIC08</v>
      </c>
      <c r="G1811" s="127" t="s">
        <v>453</v>
      </c>
      <c r="H1811" s="127" t="s">
        <v>746</v>
      </c>
      <c r="I1811" s="127" t="s">
        <v>228</v>
      </c>
      <c r="J1811" s="128">
        <v>132000</v>
      </c>
      <c r="K1811" s="127" t="s">
        <v>466</v>
      </c>
      <c r="L1811" s="151">
        <v>132153</v>
      </c>
      <c r="M1811" s="128">
        <v>0</v>
      </c>
      <c r="N1811" s="127" t="s">
        <v>625</v>
      </c>
      <c r="O1811" s="127" t="s">
        <v>457</v>
      </c>
      <c r="P1811" s="128">
        <v>-97072888.879999995</v>
      </c>
      <c r="Q1811" s="128">
        <v>0</v>
      </c>
      <c r="R1811" s="128">
        <v>0</v>
      </c>
      <c r="S1811" s="128">
        <v>0</v>
      </c>
      <c r="T1811" s="128">
        <v>-97072888.879999995</v>
      </c>
      <c r="U1811" s="128">
        <v>0</v>
      </c>
      <c r="V1811" s="128">
        <v>-97072888.879999995</v>
      </c>
      <c r="W1811" s="128">
        <v>0</v>
      </c>
      <c r="X1811" s="128">
        <v>0</v>
      </c>
      <c r="Y1811" s="128">
        <v>0</v>
      </c>
      <c r="Z1811" s="128">
        <v>-97072888.879999995</v>
      </c>
      <c r="AA1811" s="128">
        <v>0</v>
      </c>
      <c r="AB1811" s="126">
        <f t="shared" si="192"/>
        <v>9.707288887999999</v>
      </c>
      <c r="AC1811" s="122" t="s">
        <v>1838</v>
      </c>
      <c r="AD1811" s="123">
        <f t="shared" si="193"/>
        <v>1983.9723217250009</v>
      </c>
    </row>
    <row r="1812" spans="1:30" ht="12.75" hidden="1" customHeight="1">
      <c r="A1812" s="125" t="str">
        <f t="shared" si="189"/>
        <v>LIC08Due From Broker - Bonds</v>
      </c>
      <c r="B1812" s="125">
        <f>+IFERROR(VLOOKUP(L1812,'TB mapping'!A:D,4,0),0)</f>
        <v>0</v>
      </c>
      <c r="C1812" s="125">
        <f>+IFERROR(VLOOKUP(L1812,'TB mapping'!A:C,3,0),0)</f>
        <v>0</v>
      </c>
      <c r="D1812" s="125" t="str">
        <f t="shared" si="190"/>
        <v>LIC080</v>
      </c>
      <c r="E1812" s="125" t="str">
        <f t="shared" si="191"/>
        <v>LIC080</v>
      </c>
      <c r="F1812" s="158" t="str">
        <f>+VLOOKUP(H1812,'code mapping'!A:C,3,0)</f>
        <v>LIC08</v>
      </c>
      <c r="G1812" s="127" t="s">
        <v>453</v>
      </c>
      <c r="H1812" s="127" t="s">
        <v>746</v>
      </c>
      <c r="I1812" s="127" t="s">
        <v>228</v>
      </c>
      <c r="J1812" s="128">
        <v>132000</v>
      </c>
      <c r="K1812" s="127" t="s">
        <v>466</v>
      </c>
      <c r="L1812" s="151">
        <v>132160</v>
      </c>
      <c r="M1812" s="128">
        <v>0</v>
      </c>
      <c r="N1812" s="127" t="s">
        <v>469</v>
      </c>
      <c r="O1812" s="127" t="s">
        <v>457</v>
      </c>
      <c r="P1812" s="128">
        <v>-149674611.12</v>
      </c>
      <c r="Q1812" s="128">
        <v>0</v>
      </c>
      <c r="R1812" s="128">
        <v>0</v>
      </c>
      <c r="S1812" s="128">
        <v>0</v>
      </c>
      <c r="T1812" s="128">
        <v>-149674611.12</v>
      </c>
      <c r="U1812" s="128">
        <v>0</v>
      </c>
      <c r="V1812" s="128">
        <v>-149674611.12</v>
      </c>
      <c r="W1812" s="128">
        <v>0</v>
      </c>
      <c r="X1812" s="128">
        <v>0</v>
      </c>
      <c r="Y1812" s="128">
        <v>0</v>
      </c>
      <c r="Z1812" s="128">
        <v>-149674611.12</v>
      </c>
      <c r="AA1812" s="128">
        <v>0</v>
      </c>
      <c r="AB1812" s="126">
        <f t="shared" si="192"/>
        <v>14.967461112000001</v>
      </c>
      <c r="AC1812" s="122" t="s">
        <v>1838</v>
      </c>
      <c r="AD1812" s="123">
        <f t="shared" si="193"/>
        <v>1983.9723217250009</v>
      </c>
    </row>
    <row r="1813" spans="1:30" ht="12.75" hidden="1" customHeight="1">
      <c r="A1813" s="125" t="str">
        <f t="shared" si="189"/>
        <v>LIC08Receivable from AMC</v>
      </c>
      <c r="B1813" s="125">
        <f>+IFERROR(VLOOKUP(L1813,'TB mapping'!A:D,4,0),0)</f>
        <v>0</v>
      </c>
      <c r="C1813" s="125">
        <f>+IFERROR(VLOOKUP(L1813,'TB mapping'!A:C,3,0),0)</f>
        <v>0</v>
      </c>
      <c r="D1813" s="125" t="str">
        <f t="shared" si="190"/>
        <v>LIC080</v>
      </c>
      <c r="E1813" s="125" t="str">
        <f t="shared" si="191"/>
        <v>LIC080</v>
      </c>
      <c r="F1813" s="158" t="str">
        <f>+VLOOKUP(H1813,'code mapping'!A:C,3,0)</f>
        <v>LIC08</v>
      </c>
      <c r="G1813" s="127" t="s">
        <v>453</v>
      </c>
      <c r="H1813" s="127" t="s">
        <v>746</v>
      </c>
      <c r="I1813" s="127" t="s">
        <v>228</v>
      </c>
      <c r="J1813" s="128">
        <v>132000</v>
      </c>
      <c r="K1813" s="127" t="s">
        <v>466</v>
      </c>
      <c r="L1813" s="151">
        <v>152400</v>
      </c>
      <c r="M1813" s="128">
        <v>0</v>
      </c>
      <c r="N1813" s="127" t="s">
        <v>471</v>
      </c>
      <c r="O1813" s="127" t="s">
        <v>457</v>
      </c>
      <c r="P1813" s="128">
        <v>-1.42</v>
      </c>
      <c r="Q1813" s="128">
        <v>0</v>
      </c>
      <c r="R1813" s="128">
        <v>0</v>
      </c>
      <c r="S1813" s="128">
        <v>0</v>
      </c>
      <c r="T1813" s="128">
        <v>-1.42</v>
      </c>
      <c r="U1813" s="128">
        <v>0</v>
      </c>
      <c r="V1813" s="128">
        <v>-1.42</v>
      </c>
      <c r="W1813" s="128">
        <v>0</v>
      </c>
      <c r="X1813" s="128">
        <v>0</v>
      </c>
      <c r="Y1813" s="128">
        <v>0</v>
      </c>
      <c r="Z1813" s="128">
        <v>-1.42</v>
      </c>
      <c r="AA1813" s="128">
        <v>0</v>
      </c>
      <c r="AB1813" s="126">
        <f t="shared" si="192"/>
        <v>1.42E-7</v>
      </c>
      <c r="AC1813" s="122" t="s">
        <v>1838</v>
      </c>
      <c r="AD1813" s="123">
        <f t="shared" si="193"/>
        <v>1983.9723217250009</v>
      </c>
    </row>
    <row r="1814" spans="1:30" ht="12.75" hidden="1" customHeight="1">
      <c r="A1814" s="125" t="str">
        <f t="shared" si="189"/>
        <v>LIC08CCIL Settlement A/C</v>
      </c>
      <c r="B1814" s="125">
        <f>+IFERROR(VLOOKUP(L1814,'TB mapping'!A:D,4,0),0)</f>
        <v>0</v>
      </c>
      <c r="C1814" s="125">
        <f>+IFERROR(VLOOKUP(L1814,'TB mapping'!A:C,3,0),0)</f>
        <v>0</v>
      </c>
      <c r="D1814" s="125" t="str">
        <f t="shared" si="190"/>
        <v>LIC080</v>
      </c>
      <c r="E1814" s="125" t="str">
        <f t="shared" si="191"/>
        <v>LIC080</v>
      </c>
      <c r="F1814" s="158" t="str">
        <f>+VLOOKUP(H1814,'code mapping'!A:C,3,0)</f>
        <v>LIC08</v>
      </c>
      <c r="G1814" s="127" t="s">
        <v>453</v>
      </c>
      <c r="H1814" s="127" t="s">
        <v>746</v>
      </c>
      <c r="I1814" s="127" t="s">
        <v>228</v>
      </c>
      <c r="J1814" s="128">
        <v>140000</v>
      </c>
      <c r="K1814" s="127" t="s">
        <v>472</v>
      </c>
      <c r="L1814" s="151">
        <v>132237</v>
      </c>
      <c r="M1814" s="128">
        <v>0</v>
      </c>
      <c r="N1814" s="127" t="s">
        <v>473</v>
      </c>
      <c r="O1814" s="127" t="s">
        <v>457</v>
      </c>
      <c r="P1814" s="128">
        <v>-0.16</v>
      </c>
      <c r="Q1814" s="128">
        <v>0</v>
      </c>
      <c r="R1814" s="128">
        <v>0</v>
      </c>
      <c r="S1814" s="128">
        <v>0</v>
      </c>
      <c r="T1814" s="128">
        <v>-0.16</v>
      </c>
      <c r="U1814" s="128">
        <v>0</v>
      </c>
      <c r="V1814" s="128">
        <v>-0.16</v>
      </c>
      <c r="W1814" s="128">
        <v>0</v>
      </c>
      <c r="X1814" s="128">
        <v>0</v>
      </c>
      <c r="Y1814" s="128">
        <v>0</v>
      </c>
      <c r="Z1814" s="128">
        <v>-0.16</v>
      </c>
      <c r="AA1814" s="128">
        <v>0</v>
      </c>
      <c r="AB1814" s="126">
        <f t="shared" si="192"/>
        <v>1.6000000000000001E-8</v>
      </c>
      <c r="AC1814" s="122" t="s">
        <v>1838</v>
      </c>
      <c r="AD1814" s="123">
        <f t="shared" si="193"/>
        <v>1983.9723217250009</v>
      </c>
    </row>
    <row r="1815" spans="1:30" ht="12.75" hidden="1" customHeight="1">
      <c r="A1815" s="125" t="str">
        <f t="shared" si="189"/>
        <v>LIC08HDFC Current Account</v>
      </c>
      <c r="B1815" s="125">
        <f>+IFERROR(VLOOKUP(L1815,'TB mapping'!A:D,4,0),0)</f>
        <v>0</v>
      </c>
      <c r="C1815" s="125">
        <f>+IFERROR(VLOOKUP(L1815,'TB mapping'!A:C,3,0),0)</f>
        <v>0</v>
      </c>
      <c r="D1815" s="125" t="str">
        <f t="shared" si="190"/>
        <v>LIC080</v>
      </c>
      <c r="E1815" s="125" t="str">
        <f t="shared" si="191"/>
        <v>LIC080</v>
      </c>
      <c r="F1815" s="158" t="str">
        <f>+VLOOKUP(H1815,'code mapping'!A:C,3,0)</f>
        <v>LIC08</v>
      </c>
      <c r="G1815" s="127" t="s">
        <v>453</v>
      </c>
      <c r="H1815" s="127" t="s">
        <v>746</v>
      </c>
      <c r="I1815" s="127" t="s">
        <v>228</v>
      </c>
      <c r="J1815" s="128">
        <v>140000</v>
      </c>
      <c r="K1815" s="127" t="s">
        <v>472</v>
      </c>
      <c r="L1815" s="151">
        <v>140330</v>
      </c>
      <c r="M1815" s="128">
        <v>0</v>
      </c>
      <c r="N1815" s="127" t="s">
        <v>475</v>
      </c>
      <c r="O1815" s="127" t="s">
        <v>457</v>
      </c>
      <c r="P1815" s="128">
        <v>-0.32</v>
      </c>
      <c r="Q1815" s="128">
        <v>0</v>
      </c>
      <c r="R1815" s="128">
        <v>0</v>
      </c>
      <c r="S1815" s="128">
        <v>0</v>
      </c>
      <c r="T1815" s="128">
        <v>-0.32</v>
      </c>
      <c r="U1815" s="128">
        <v>0</v>
      </c>
      <c r="V1815" s="128">
        <v>-0.32</v>
      </c>
      <c r="W1815" s="128">
        <v>0</v>
      </c>
      <c r="X1815" s="128">
        <v>0</v>
      </c>
      <c r="Y1815" s="128">
        <v>0</v>
      </c>
      <c r="Z1815" s="128">
        <v>-0.32</v>
      </c>
      <c r="AA1815" s="128">
        <v>0</v>
      </c>
      <c r="AB1815" s="126">
        <f t="shared" si="192"/>
        <v>3.2000000000000002E-8</v>
      </c>
      <c r="AC1815" s="122" t="s">
        <v>1838</v>
      </c>
      <c r="AD1815" s="123">
        <f t="shared" si="193"/>
        <v>1983.9723217250009</v>
      </c>
    </row>
    <row r="1816" spans="1:30" ht="12.75" hidden="1" customHeight="1">
      <c r="A1816" s="125" t="str">
        <f t="shared" si="189"/>
        <v>LIC08HDFC Bank Ltd</v>
      </c>
      <c r="B1816" s="125">
        <f>+IFERROR(VLOOKUP(L1816,'TB mapping'!A:D,4,0),0)</f>
        <v>0</v>
      </c>
      <c r="C1816" s="125">
        <f>+IFERROR(VLOOKUP(L1816,'TB mapping'!A:C,3,0),0)</f>
        <v>0</v>
      </c>
      <c r="D1816" s="125" t="str">
        <f t="shared" si="190"/>
        <v>LIC080</v>
      </c>
      <c r="E1816" s="125" t="str">
        <f t="shared" si="191"/>
        <v>LIC080</v>
      </c>
      <c r="F1816" s="158" t="str">
        <f>+VLOOKUP(H1816,'code mapping'!A:C,3,0)</f>
        <v>LIC08</v>
      </c>
      <c r="G1816" s="127" t="s">
        <v>453</v>
      </c>
      <c r="H1816" s="127" t="s">
        <v>746</v>
      </c>
      <c r="I1816" s="127" t="s">
        <v>228</v>
      </c>
      <c r="J1816" s="128">
        <v>140000</v>
      </c>
      <c r="K1816" s="127" t="s">
        <v>472</v>
      </c>
      <c r="L1816" s="151">
        <v>140372</v>
      </c>
      <c r="M1816" s="128">
        <v>0</v>
      </c>
      <c r="N1816" s="127" t="s">
        <v>476</v>
      </c>
      <c r="O1816" s="127" t="s">
        <v>457</v>
      </c>
      <c r="P1816" s="128">
        <v>-3.35</v>
      </c>
      <c r="Q1816" s="128">
        <v>0</v>
      </c>
      <c r="R1816" s="128">
        <v>0</v>
      </c>
      <c r="S1816" s="128">
        <v>0</v>
      </c>
      <c r="T1816" s="128">
        <v>-3.35</v>
      </c>
      <c r="U1816" s="128">
        <v>0</v>
      </c>
      <c r="V1816" s="128">
        <v>-3.35</v>
      </c>
      <c r="W1816" s="128">
        <v>0</v>
      </c>
      <c r="X1816" s="128">
        <v>0</v>
      </c>
      <c r="Y1816" s="128">
        <v>0</v>
      </c>
      <c r="Z1816" s="128">
        <v>-3.35</v>
      </c>
      <c r="AA1816" s="128">
        <v>0</v>
      </c>
      <c r="AB1816" s="126">
        <f t="shared" si="192"/>
        <v>3.3500000000000002E-7</v>
      </c>
      <c r="AC1816" s="122" t="s">
        <v>1838</v>
      </c>
      <c r="AD1816" s="123">
        <f t="shared" si="193"/>
        <v>1983.9723217250009</v>
      </c>
    </row>
    <row r="1817" spans="1:30" ht="12.75" hidden="1" customHeight="1">
      <c r="A1817" s="125" t="str">
        <f t="shared" si="189"/>
        <v>LIC08Standard Chartered Bank- India</v>
      </c>
      <c r="B1817" s="125">
        <f>+IFERROR(VLOOKUP(L1817,'TB mapping'!A:D,4,0),0)</f>
        <v>0</v>
      </c>
      <c r="C1817" s="125">
        <f>+IFERROR(VLOOKUP(L1817,'TB mapping'!A:C,3,0),0)</f>
        <v>0</v>
      </c>
      <c r="D1817" s="125" t="str">
        <f t="shared" si="190"/>
        <v>LIC080</v>
      </c>
      <c r="E1817" s="125" t="str">
        <f t="shared" si="191"/>
        <v>LIC080</v>
      </c>
      <c r="F1817" s="158" t="str">
        <f>+VLOOKUP(H1817,'code mapping'!A:C,3,0)</f>
        <v>LIC08</v>
      </c>
      <c r="G1817" s="127" t="s">
        <v>453</v>
      </c>
      <c r="H1817" s="127" t="s">
        <v>746</v>
      </c>
      <c r="I1817" s="127" t="s">
        <v>228</v>
      </c>
      <c r="J1817" s="128">
        <v>140000</v>
      </c>
      <c r="K1817" s="127" t="s">
        <v>472</v>
      </c>
      <c r="L1817" s="151">
        <v>140500</v>
      </c>
      <c r="M1817" s="128">
        <v>0</v>
      </c>
      <c r="N1817" s="127" t="s">
        <v>477</v>
      </c>
      <c r="O1817" s="127" t="s">
        <v>457</v>
      </c>
      <c r="P1817" s="128">
        <v>-134760.97</v>
      </c>
      <c r="Q1817" s="128">
        <v>0</v>
      </c>
      <c r="R1817" s="128">
        <v>0</v>
      </c>
      <c r="S1817" s="128">
        <v>0</v>
      </c>
      <c r="T1817" s="128">
        <v>-134760.97</v>
      </c>
      <c r="U1817" s="128">
        <v>0</v>
      </c>
      <c r="V1817" s="128">
        <v>-134760.97</v>
      </c>
      <c r="W1817" s="128">
        <v>0</v>
      </c>
      <c r="X1817" s="128">
        <v>0</v>
      </c>
      <c r="Y1817" s="128">
        <v>0</v>
      </c>
      <c r="Z1817" s="128">
        <v>-134760.97</v>
      </c>
      <c r="AA1817" s="128">
        <v>0</v>
      </c>
      <c r="AB1817" s="126">
        <f t="shared" si="192"/>
        <v>1.3476096999999999E-2</v>
      </c>
      <c r="AC1817" s="122" t="s">
        <v>1838</v>
      </c>
      <c r="AD1817" s="123">
        <f t="shared" si="193"/>
        <v>1983.9723217250009</v>
      </c>
    </row>
    <row r="1818" spans="1:30" ht="12.75" hidden="1" customHeight="1">
      <c r="A1818" s="125" t="str">
        <f t="shared" si="189"/>
        <v>LIC08Int Accrual - Corporate Bonds</v>
      </c>
      <c r="B1818" s="125">
        <f>+IFERROR(VLOOKUP(L1818,'TB mapping'!A:D,4,0),0)</f>
        <v>0</v>
      </c>
      <c r="C1818" s="125">
        <f>+IFERROR(VLOOKUP(L1818,'TB mapping'!A:C,3,0),0)</f>
        <v>0</v>
      </c>
      <c r="D1818" s="125" t="str">
        <f t="shared" si="190"/>
        <v>LIC080</v>
      </c>
      <c r="E1818" s="125" t="str">
        <f t="shared" si="191"/>
        <v>LIC080</v>
      </c>
      <c r="F1818" s="158" t="str">
        <f>+VLOOKUP(H1818,'code mapping'!A:C,3,0)</f>
        <v>LIC08</v>
      </c>
      <c r="G1818" s="127" t="s">
        <v>453</v>
      </c>
      <c r="H1818" s="127" t="s">
        <v>746</v>
      </c>
      <c r="I1818" s="127" t="s">
        <v>228</v>
      </c>
      <c r="J1818" s="128">
        <v>152000</v>
      </c>
      <c r="K1818" s="127" t="s">
        <v>478</v>
      </c>
      <c r="L1818" s="151">
        <v>152120</v>
      </c>
      <c r="M1818" s="128">
        <v>0</v>
      </c>
      <c r="N1818" s="127" t="s">
        <v>479</v>
      </c>
      <c r="O1818" s="127" t="s">
        <v>457</v>
      </c>
      <c r="P1818" s="128">
        <v>-5286612.96</v>
      </c>
      <c r="Q1818" s="128">
        <v>0</v>
      </c>
      <c r="R1818" s="128">
        <v>0</v>
      </c>
      <c r="S1818" s="128">
        <v>0</v>
      </c>
      <c r="T1818" s="128">
        <v>-5286612.96</v>
      </c>
      <c r="U1818" s="128">
        <v>0</v>
      </c>
      <c r="V1818" s="128">
        <v>-5286612.96</v>
      </c>
      <c r="W1818" s="128">
        <v>0</v>
      </c>
      <c r="X1818" s="128">
        <v>0</v>
      </c>
      <c r="Y1818" s="128">
        <v>0</v>
      </c>
      <c r="Z1818" s="128">
        <v>-5286612.96</v>
      </c>
      <c r="AA1818" s="128">
        <v>0</v>
      </c>
      <c r="AB1818" s="126">
        <f t="shared" si="192"/>
        <v>0.528661296</v>
      </c>
      <c r="AC1818" s="122" t="s">
        <v>1838</v>
      </c>
      <c r="AD1818" s="123">
        <f t="shared" si="193"/>
        <v>1983.9723217250009</v>
      </c>
    </row>
    <row r="1819" spans="1:30" ht="12.75" hidden="1" customHeight="1">
      <c r="A1819" s="125" t="str">
        <f t="shared" si="189"/>
        <v>LIC08Int Accrual - Government Bonds</v>
      </c>
      <c r="B1819" s="125">
        <f>+IFERROR(VLOOKUP(L1819,'TB mapping'!A:D,4,0),0)</f>
        <v>0</v>
      </c>
      <c r="C1819" s="125">
        <f>+IFERROR(VLOOKUP(L1819,'TB mapping'!A:C,3,0),0)</f>
        <v>0</v>
      </c>
      <c r="D1819" s="125" t="str">
        <f t="shared" si="190"/>
        <v>LIC080</v>
      </c>
      <c r="E1819" s="125" t="str">
        <f t="shared" si="191"/>
        <v>LIC080</v>
      </c>
      <c r="F1819" s="158" t="str">
        <f>+VLOOKUP(H1819,'code mapping'!A:C,3,0)</f>
        <v>LIC08</v>
      </c>
      <c r="G1819" s="127" t="s">
        <v>453</v>
      </c>
      <c r="H1819" s="127" t="s">
        <v>746</v>
      </c>
      <c r="I1819" s="127" t="s">
        <v>228</v>
      </c>
      <c r="J1819" s="128">
        <v>152000</v>
      </c>
      <c r="K1819" s="127" t="s">
        <v>478</v>
      </c>
      <c r="L1819" s="151">
        <v>152130</v>
      </c>
      <c r="M1819" s="128">
        <v>0</v>
      </c>
      <c r="N1819" s="127" t="s">
        <v>480</v>
      </c>
      <c r="O1819" s="127" t="s">
        <v>457</v>
      </c>
      <c r="P1819" s="128">
        <v>-7571827.8300000001</v>
      </c>
      <c r="Q1819" s="128">
        <v>0</v>
      </c>
      <c r="R1819" s="128">
        <v>0</v>
      </c>
      <c r="S1819" s="128">
        <v>0</v>
      </c>
      <c r="T1819" s="128">
        <v>-7571827.8300000001</v>
      </c>
      <c r="U1819" s="128">
        <v>0</v>
      </c>
      <c r="V1819" s="128">
        <v>-7571827.8300000001</v>
      </c>
      <c r="W1819" s="128">
        <v>0</v>
      </c>
      <c r="X1819" s="128">
        <v>0</v>
      </c>
      <c r="Y1819" s="128">
        <v>0</v>
      </c>
      <c r="Z1819" s="128">
        <v>-7571827.8300000001</v>
      </c>
      <c r="AA1819" s="128">
        <v>0</v>
      </c>
      <c r="AB1819" s="126">
        <f t="shared" si="192"/>
        <v>0.75718278299999997</v>
      </c>
      <c r="AC1819" s="122" t="s">
        <v>1838</v>
      </c>
      <c r="AD1819" s="123">
        <f t="shared" si="193"/>
        <v>1983.9723217250009</v>
      </c>
    </row>
    <row r="1820" spans="1:30" ht="12.75" hidden="1" customHeight="1">
      <c r="A1820" s="125" t="str">
        <f t="shared" si="189"/>
        <v>LIC08Amort Receivable - CBLO</v>
      </c>
      <c r="B1820" s="125">
        <f>+IFERROR(VLOOKUP(L1820,'TB mapping'!A:D,4,0),0)</f>
        <v>0</v>
      </c>
      <c r="C1820" s="125">
        <f>+IFERROR(VLOOKUP(L1820,'TB mapping'!A:C,3,0),0)</f>
        <v>0</v>
      </c>
      <c r="D1820" s="125" t="str">
        <f t="shared" si="190"/>
        <v>LIC080</v>
      </c>
      <c r="E1820" s="125" t="str">
        <f t="shared" si="191"/>
        <v>LIC080</v>
      </c>
      <c r="F1820" s="158" t="str">
        <f>+VLOOKUP(H1820,'code mapping'!A:C,3,0)</f>
        <v>LIC08</v>
      </c>
      <c r="G1820" s="127" t="s">
        <v>453</v>
      </c>
      <c r="H1820" s="127" t="s">
        <v>746</v>
      </c>
      <c r="I1820" s="127" t="s">
        <v>228</v>
      </c>
      <c r="J1820" s="128">
        <v>152000</v>
      </c>
      <c r="K1820" s="127" t="s">
        <v>478</v>
      </c>
      <c r="L1820" s="151">
        <v>152232</v>
      </c>
      <c r="M1820" s="128">
        <v>0</v>
      </c>
      <c r="N1820" s="127" t="s">
        <v>482</v>
      </c>
      <c r="O1820" s="127" t="s">
        <v>457</v>
      </c>
      <c r="P1820" s="128">
        <v>-89841.36</v>
      </c>
      <c r="Q1820" s="128">
        <v>0</v>
      </c>
      <c r="R1820" s="128">
        <v>0</v>
      </c>
      <c r="S1820" s="128">
        <v>0</v>
      </c>
      <c r="T1820" s="128">
        <v>-89841.36</v>
      </c>
      <c r="U1820" s="128">
        <v>0</v>
      </c>
      <c r="V1820" s="128">
        <v>-89841.36</v>
      </c>
      <c r="W1820" s="128">
        <v>0</v>
      </c>
      <c r="X1820" s="128">
        <v>0</v>
      </c>
      <c r="Y1820" s="128">
        <v>0</v>
      </c>
      <c r="Z1820" s="128">
        <v>-89841.36</v>
      </c>
      <c r="AA1820" s="128">
        <v>0</v>
      </c>
      <c r="AB1820" s="126">
        <f t="shared" si="192"/>
        <v>8.9841360000000002E-3</v>
      </c>
      <c r="AC1820" s="122" t="s">
        <v>1838</v>
      </c>
      <c r="AD1820" s="123">
        <f t="shared" si="193"/>
        <v>1983.9723217250009</v>
      </c>
    </row>
    <row r="1821" spans="1:30" ht="12.75" hidden="1" customHeight="1">
      <c r="A1821" s="125" t="str">
        <f t="shared" si="189"/>
        <v>LIC08Amortisation/Accretion-Bills</v>
      </c>
      <c r="B1821" s="125">
        <f>+IFERROR(VLOOKUP(L1821,'TB mapping'!A:D,4,0),0)</f>
        <v>0</v>
      </c>
      <c r="C1821" s="125">
        <f>+IFERROR(VLOOKUP(L1821,'TB mapping'!A:C,3,0),0)</f>
        <v>0</v>
      </c>
      <c r="D1821" s="125" t="str">
        <f t="shared" si="190"/>
        <v>LIC080</v>
      </c>
      <c r="E1821" s="125" t="str">
        <f t="shared" si="191"/>
        <v>LIC080</v>
      </c>
      <c r="F1821" s="158" t="str">
        <f>+VLOOKUP(H1821,'code mapping'!A:C,3,0)</f>
        <v>LIC08</v>
      </c>
      <c r="G1821" s="127" t="s">
        <v>453</v>
      </c>
      <c r="H1821" s="127" t="s">
        <v>746</v>
      </c>
      <c r="I1821" s="127" t="s">
        <v>228</v>
      </c>
      <c r="J1821" s="128">
        <v>152000</v>
      </c>
      <c r="K1821" s="127" t="s">
        <v>478</v>
      </c>
      <c r="L1821" s="151">
        <v>153001</v>
      </c>
      <c r="M1821" s="128">
        <v>0</v>
      </c>
      <c r="N1821" s="127" t="s">
        <v>647</v>
      </c>
      <c r="O1821" s="127" t="s">
        <v>457</v>
      </c>
      <c r="P1821" s="128">
        <v>-360873.96</v>
      </c>
      <c r="Q1821" s="128">
        <v>0</v>
      </c>
      <c r="R1821" s="128">
        <v>0</v>
      </c>
      <c r="S1821" s="128">
        <v>0</v>
      </c>
      <c r="T1821" s="128">
        <v>-360873.96</v>
      </c>
      <c r="U1821" s="128">
        <v>0</v>
      </c>
      <c r="V1821" s="128">
        <v>-360873.96</v>
      </c>
      <c r="W1821" s="128">
        <v>0</v>
      </c>
      <c r="X1821" s="128">
        <v>0</v>
      </c>
      <c r="Y1821" s="128">
        <v>0</v>
      </c>
      <c r="Z1821" s="128">
        <v>-360873.96</v>
      </c>
      <c r="AA1821" s="128">
        <v>0</v>
      </c>
      <c r="AB1821" s="126">
        <f t="shared" si="192"/>
        <v>3.6087396000000001E-2</v>
      </c>
      <c r="AC1821" s="122" t="s">
        <v>1838</v>
      </c>
      <c r="AD1821" s="123">
        <f t="shared" si="193"/>
        <v>1983.9723217250009</v>
      </c>
    </row>
    <row r="1822" spans="1:30" ht="12.75" hidden="1" customHeight="1">
      <c r="A1822" s="125" t="str">
        <f t="shared" si="189"/>
        <v>LIC08Prov Unr P/L - Equities</v>
      </c>
      <c r="B1822" s="125">
        <f>+IFERROR(VLOOKUP(L1822,'TB mapping'!A:D,4,0),0)</f>
        <v>0</v>
      </c>
      <c r="C1822" s="125">
        <f>+IFERROR(VLOOKUP(L1822,'TB mapping'!A:C,3,0),0)</f>
        <v>0</v>
      </c>
      <c r="D1822" s="125" t="str">
        <f t="shared" si="190"/>
        <v>LIC080</v>
      </c>
      <c r="E1822" s="125" t="str">
        <f t="shared" si="191"/>
        <v>LIC080</v>
      </c>
      <c r="F1822" s="158" t="str">
        <f>+VLOOKUP(H1822,'code mapping'!A:C,3,0)</f>
        <v>LIC08</v>
      </c>
      <c r="G1822" s="127" t="s">
        <v>453</v>
      </c>
      <c r="H1822" s="127" t="s">
        <v>746</v>
      </c>
      <c r="I1822" s="127" t="s">
        <v>228</v>
      </c>
      <c r="J1822" s="128">
        <v>160000</v>
      </c>
      <c r="K1822" s="127" t="s">
        <v>483</v>
      </c>
      <c r="L1822" s="151">
        <v>161100</v>
      </c>
      <c r="M1822" s="128">
        <v>0</v>
      </c>
      <c r="N1822" s="127" t="s">
        <v>595</v>
      </c>
      <c r="O1822" s="127" t="s">
        <v>457</v>
      </c>
      <c r="P1822" s="128">
        <v>0</v>
      </c>
      <c r="Q1822" s="128">
        <v>57424201.880000003</v>
      </c>
      <c r="R1822" s="128">
        <v>0</v>
      </c>
      <c r="S1822" s="128">
        <v>0</v>
      </c>
      <c r="T1822" s="128">
        <v>0</v>
      </c>
      <c r="U1822" s="128">
        <v>57424201.880000003</v>
      </c>
      <c r="V1822" s="128">
        <v>0</v>
      </c>
      <c r="W1822" s="128">
        <v>57424201.880000003</v>
      </c>
      <c r="X1822" s="128">
        <v>0</v>
      </c>
      <c r="Y1822" s="128">
        <v>0</v>
      </c>
      <c r="Z1822" s="128">
        <v>0</v>
      </c>
      <c r="AA1822" s="128">
        <v>57424201.880000003</v>
      </c>
      <c r="AB1822" s="126">
        <f t="shared" si="192"/>
        <v>-5.7424201880000005</v>
      </c>
      <c r="AC1822" s="122" t="s">
        <v>1838</v>
      </c>
      <c r="AD1822" s="123">
        <f t="shared" ref="AD1822:AD1853" si="194">SUMIF(C:C,C1822,AB:AB)</f>
        <v>1983.9723217250009</v>
      </c>
    </row>
    <row r="1823" spans="1:30" ht="12.75" hidden="1" customHeight="1">
      <c r="A1823" s="125" t="str">
        <f t="shared" si="189"/>
        <v>LIC08Prov Unr P/L - Treasury Bills</v>
      </c>
      <c r="B1823" s="125">
        <f>+IFERROR(VLOOKUP(L1823,'TB mapping'!A:D,4,0),0)</f>
        <v>0</v>
      </c>
      <c r="C1823" s="125">
        <f>+IFERROR(VLOOKUP(L1823,'TB mapping'!A:C,3,0),0)</f>
        <v>0</v>
      </c>
      <c r="D1823" s="125" t="str">
        <f t="shared" si="190"/>
        <v>LIC080</v>
      </c>
      <c r="E1823" s="125" t="str">
        <f t="shared" si="191"/>
        <v>LIC080</v>
      </c>
      <c r="F1823" s="158" t="str">
        <f>+VLOOKUP(H1823,'code mapping'!A:C,3,0)</f>
        <v>LIC08</v>
      </c>
      <c r="G1823" s="127" t="s">
        <v>453</v>
      </c>
      <c r="H1823" s="127" t="s">
        <v>746</v>
      </c>
      <c r="I1823" s="127" t="s">
        <v>228</v>
      </c>
      <c r="J1823" s="128">
        <v>160000</v>
      </c>
      <c r="K1823" s="127" t="s">
        <v>483</v>
      </c>
      <c r="L1823" s="151">
        <v>162110</v>
      </c>
      <c r="M1823" s="128">
        <v>0</v>
      </c>
      <c r="N1823" s="127" t="s">
        <v>648</v>
      </c>
      <c r="O1823" s="127" t="s">
        <v>457</v>
      </c>
      <c r="P1823" s="128">
        <v>-21023.040000000001</v>
      </c>
      <c r="Q1823" s="128">
        <v>0</v>
      </c>
      <c r="R1823" s="128">
        <v>0</v>
      </c>
      <c r="S1823" s="128">
        <v>0</v>
      </c>
      <c r="T1823" s="128">
        <v>-21023.040000000001</v>
      </c>
      <c r="U1823" s="128">
        <v>0</v>
      </c>
      <c r="V1823" s="128">
        <v>-21023.040000000001</v>
      </c>
      <c r="W1823" s="128">
        <v>0</v>
      </c>
      <c r="X1823" s="128">
        <v>0</v>
      </c>
      <c r="Y1823" s="128">
        <v>0</v>
      </c>
      <c r="Z1823" s="128">
        <v>-21023.040000000001</v>
      </c>
      <c r="AA1823" s="128">
        <v>0</v>
      </c>
      <c r="AB1823" s="126">
        <f t="shared" si="192"/>
        <v>2.1023040000000002E-3</v>
      </c>
      <c r="AC1823" s="122" t="s">
        <v>1838</v>
      </c>
      <c r="AD1823" s="123">
        <f t="shared" si="194"/>
        <v>1983.9723217250009</v>
      </c>
    </row>
    <row r="1824" spans="1:30" ht="12.75" hidden="1" customHeight="1">
      <c r="A1824" s="125" t="str">
        <f t="shared" si="189"/>
        <v>LIC08Prov Unr P/L - CorpBond/Debent</v>
      </c>
      <c r="B1824" s="125">
        <f>+IFERROR(VLOOKUP(L1824,'TB mapping'!A:D,4,0),0)</f>
        <v>0</v>
      </c>
      <c r="C1824" s="125">
        <f>+IFERROR(VLOOKUP(L1824,'TB mapping'!A:C,3,0),0)</f>
        <v>0</v>
      </c>
      <c r="D1824" s="125" t="str">
        <f t="shared" si="190"/>
        <v>LIC080</v>
      </c>
      <c r="E1824" s="125" t="str">
        <f t="shared" si="191"/>
        <v>LIC080</v>
      </c>
      <c r="F1824" s="158" t="str">
        <f>+VLOOKUP(H1824,'code mapping'!A:C,3,0)</f>
        <v>LIC08</v>
      </c>
      <c r="G1824" s="127" t="s">
        <v>453</v>
      </c>
      <c r="H1824" s="127" t="s">
        <v>746</v>
      </c>
      <c r="I1824" s="127" t="s">
        <v>228</v>
      </c>
      <c r="J1824" s="128">
        <v>160000</v>
      </c>
      <c r="K1824" s="127" t="s">
        <v>483</v>
      </c>
      <c r="L1824" s="151">
        <v>162120</v>
      </c>
      <c r="M1824" s="128">
        <v>0</v>
      </c>
      <c r="N1824" s="127" t="s">
        <v>484</v>
      </c>
      <c r="O1824" s="127" t="s">
        <v>457</v>
      </c>
      <c r="P1824" s="128">
        <v>0</v>
      </c>
      <c r="Q1824" s="128">
        <v>759555.9</v>
      </c>
      <c r="R1824" s="128">
        <v>0</v>
      </c>
      <c r="S1824" s="128">
        <v>0</v>
      </c>
      <c r="T1824" s="128">
        <v>0</v>
      </c>
      <c r="U1824" s="128">
        <v>759555.9</v>
      </c>
      <c r="V1824" s="128">
        <v>0</v>
      </c>
      <c r="W1824" s="128">
        <v>759555.9</v>
      </c>
      <c r="X1824" s="128">
        <v>0</v>
      </c>
      <c r="Y1824" s="128">
        <v>0</v>
      </c>
      <c r="Z1824" s="128">
        <v>0</v>
      </c>
      <c r="AA1824" s="128">
        <v>759555.9</v>
      </c>
      <c r="AB1824" s="126">
        <f t="shared" si="192"/>
        <v>-7.5955590000000003E-2</v>
      </c>
      <c r="AC1824" s="122" t="s">
        <v>1838</v>
      </c>
      <c r="AD1824" s="123">
        <f t="shared" si="194"/>
        <v>1983.9723217250009</v>
      </c>
    </row>
    <row r="1825" spans="1:30" ht="12.75" hidden="1" customHeight="1">
      <c r="A1825" s="125" t="str">
        <f t="shared" si="189"/>
        <v>LIC08Prov Unr P/L - Government Bond</v>
      </c>
      <c r="B1825" s="125">
        <f>+IFERROR(VLOOKUP(L1825,'TB mapping'!A:D,4,0),0)</f>
        <v>0</v>
      </c>
      <c r="C1825" s="125">
        <f>+IFERROR(VLOOKUP(L1825,'TB mapping'!A:C,3,0),0)</f>
        <v>0</v>
      </c>
      <c r="D1825" s="125" t="str">
        <f t="shared" si="190"/>
        <v>LIC080</v>
      </c>
      <c r="E1825" s="125" t="str">
        <f t="shared" si="191"/>
        <v>LIC080</v>
      </c>
      <c r="F1825" s="158" t="str">
        <f>+VLOOKUP(H1825,'code mapping'!A:C,3,0)</f>
        <v>LIC08</v>
      </c>
      <c r="G1825" s="127" t="s">
        <v>453</v>
      </c>
      <c r="H1825" s="127" t="s">
        <v>746</v>
      </c>
      <c r="I1825" s="127" t="s">
        <v>228</v>
      </c>
      <c r="J1825" s="128">
        <v>160000</v>
      </c>
      <c r="K1825" s="127" t="s">
        <v>483</v>
      </c>
      <c r="L1825" s="151">
        <v>162130</v>
      </c>
      <c r="M1825" s="128">
        <v>0</v>
      </c>
      <c r="N1825" s="127" t="s">
        <v>485</v>
      </c>
      <c r="O1825" s="127" t="s">
        <v>457</v>
      </c>
      <c r="P1825" s="128">
        <v>0</v>
      </c>
      <c r="Q1825" s="128">
        <v>3179512.08</v>
      </c>
      <c r="R1825" s="128">
        <v>0</v>
      </c>
      <c r="S1825" s="128">
        <v>0</v>
      </c>
      <c r="T1825" s="128">
        <v>0</v>
      </c>
      <c r="U1825" s="128">
        <v>3179512.08</v>
      </c>
      <c r="V1825" s="128">
        <v>0</v>
      </c>
      <c r="W1825" s="128">
        <v>3179512.08</v>
      </c>
      <c r="X1825" s="128">
        <v>0</v>
      </c>
      <c r="Y1825" s="128">
        <v>0</v>
      </c>
      <c r="Z1825" s="128">
        <v>0</v>
      </c>
      <c r="AA1825" s="128">
        <v>3179512.08</v>
      </c>
      <c r="AB1825" s="126">
        <f t="shared" si="192"/>
        <v>-0.31795120799999999</v>
      </c>
      <c r="AC1825" s="122" t="s">
        <v>1838</v>
      </c>
      <c r="AD1825" s="123">
        <f t="shared" si="194"/>
        <v>1983.9723217250009</v>
      </c>
    </row>
    <row r="1826" spans="1:30" ht="12.75" hidden="1" customHeight="1">
      <c r="A1826" s="125" t="str">
        <f t="shared" si="189"/>
        <v>LIC08Payable - Withhold Brokerage</v>
      </c>
      <c r="B1826" s="125">
        <f>+IFERROR(VLOOKUP(L1826,'TB mapping'!A:D,4,0),0)</f>
        <v>0</v>
      </c>
      <c r="C1826" s="125">
        <f>+IFERROR(VLOOKUP(L1826,'TB mapping'!A:C,3,0),0)</f>
        <v>0</v>
      </c>
      <c r="D1826" s="125" t="str">
        <f t="shared" si="190"/>
        <v>LIC080</v>
      </c>
      <c r="E1826" s="125" t="str">
        <f t="shared" si="191"/>
        <v>LIC080</v>
      </c>
      <c r="F1826" s="158" t="str">
        <f>+VLOOKUP(H1826,'code mapping'!A:C,3,0)</f>
        <v>LIC08</v>
      </c>
      <c r="G1826" s="127" t="s">
        <v>453</v>
      </c>
      <c r="H1826" s="127" t="s">
        <v>746</v>
      </c>
      <c r="I1826" s="127" t="s">
        <v>228</v>
      </c>
      <c r="J1826" s="128">
        <v>212000</v>
      </c>
      <c r="K1826" s="127" t="s">
        <v>487</v>
      </c>
      <c r="L1826" s="151">
        <v>210164</v>
      </c>
      <c r="M1826" s="128">
        <v>0</v>
      </c>
      <c r="N1826" s="127" t="s">
        <v>488</v>
      </c>
      <c r="O1826" s="127" t="s">
        <v>457</v>
      </c>
      <c r="P1826" s="128">
        <v>0</v>
      </c>
      <c r="Q1826" s="128">
        <v>124922.93</v>
      </c>
      <c r="R1826" s="128">
        <v>0</v>
      </c>
      <c r="S1826" s="128">
        <v>0</v>
      </c>
      <c r="T1826" s="128">
        <v>0</v>
      </c>
      <c r="U1826" s="128">
        <v>124922.93</v>
      </c>
      <c r="V1826" s="128">
        <v>0</v>
      </c>
      <c r="W1826" s="128">
        <v>124922.93</v>
      </c>
      <c r="X1826" s="128">
        <v>0</v>
      </c>
      <c r="Y1826" s="128">
        <v>0</v>
      </c>
      <c r="Z1826" s="128">
        <v>0</v>
      </c>
      <c r="AA1826" s="128">
        <v>124922.93</v>
      </c>
      <c r="AB1826" s="126">
        <f t="shared" si="192"/>
        <v>-1.2492293E-2</v>
      </c>
      <c r="AC1826" s="122" t="s">
        <v>1838</v>
      </c>
      <c r="AD1826" s="123">
        <f t="shared" si="194"/>
        <v>1983.9723217250009</v>
      </c>
    </row>
    <row r="1827" spans="1:30" ht="12.75" hidden="1" customHeight="1">
      <c r="A1827" s="125" t="str">
        <f t="shared" si="189"/>
        <v>LIC08Dividend Payable</v>
      </c>
      <c r="B1827" s="125">
        <f>+IFERROR(VLOOKUP(L1827,'TB mapping'!A:D,4,0),0)</f>
        <v>0</v>
      </c>
      <c r="C1827" s="125">
        <f>+IFERROR(VLOOKUP(L1827,'TB mapping'!A:C,3,0),0)</f>
        <v>0</v>
      </c>
      <c r="D1827" s="125" t="str">
        <f t="shared" si="190"/>
        <v>LIC080</v>
      </c>
      <c r="E1827" s="125" t="str">
        <f t="shared" si="191"/>
        <v>LIC080</v>
      </c>
      <c r="F1827" s="158" t="str">
        <f>+VLOOKUP(H1827,'code mapping'!A:C,3,0)</f>
        <v>LIC08</v>
      </c>
      <c r="G1827" s="127" t="s">
        <v>453</v>
      </c>
      <c r="H1827" s="127" t="s">
        <v>746</v>
      </c>
      <c r="I1827" s="127" t="s">
        <v>228</v>
      </c>
      <c r="J1827" s="128">
        <v>212000</v>
      </c>
      <c r="K1827" s="127" t="s">
        <v>487</v>
      </c>
      <c r="L1827" s="151">
        <v>212100</v>
      </c>
      <c r="M1827" s="128">
        <v>0</v>
      </c>
      <c r="N1827" s="127" t="s">
        <v>489</v>
      </c>
      <c r="O1827" s="127" t="s">
        <v>457</v>
      </c>
      <c r="P1827" s="128">
        <v>0</v>
      </c>
      <c r="Q1827" s="128">
        <v>6208587.8300000001</v>
      </c>
      <c r="R1827" s="128">
        <v>0</v>
      </c>
      <c r="S1827" s="128">
        <v>0</v>
      </c>
      <c r="T1827" s="128">
        <v>0</v>
      </c>
      <c r="U1827" s="128">
        <v>6208587.8300000001</v>
      </c>
      <c r="V1827" s="128">
        <v>0</v>
      </c>
      <c r="W1827" s="128">
        <v>6208587.8300000001</v>
      </c>
      <c r="X1827" s="128">
        <v>0</v>
      </c>
      <c r="Y1827" s="128">
        <v>0</v>
      </c>
      <c r="Z1827" s="128">
        <v>0</v>
      </c>
      <c r="AA1827" s="128">
        <v>6208587.8300000001</v>
      </c>
      <c r="AB1827" s="126">
        <f t="shared" si="192"/>
        <v>-0.62085878299999997</v>
      </c>
      <c r="AC1827" s="122" t="s">
        <v>1838</v>
      </c>
      <c r="AD1827" s="123">
        <f t="shared" si="194"/>
        <v>1983.9723217250009</v>
      </c>
    </row>
    <row r="1828" spans="1:30" ht="12.75" hidden="1" customHeight="1">
      <c r="A1828" s="125" t="str">
        <f t="shared" si="189"/>
        <v>LIC08CGST Payable</v>
      </c>
      <c r="B1828" s="125">
        <f>+IFERROR(VLOOKUP(L1828,'TB mapping'!A:D,4,0),0)</f>
        <v>0</v>
      </c>
      <c r="C1828" s="125">
        <f>+IFERROR(VLOOKUP(L1828,'TB mapping'!A:C,3,0),0)</f>
        <v>0</v>
      </c>
      <c r="D1828" s="125" t="str">
        <f t="shared" si="190"/>
        <v>LIC080</v>
      </c>
      <c r="E1828" s="125" t="str">
        <f t="shared" si="191"/>
        <v>LIC080</v>
      </c>
      <c r="F1828" s="158" t="str">
        <f>+VLOOKUP(H1828,'code mapping'!A:C,3,0)</f>
        <v>LIC08</v>
      </c>
      <c r="G1828" s="127" t="s">
        <v>453</v>
      </c>
      <c r="H1828" s="127" t="s">
        <v>746</v>
      </c>
      <c r="I1828" s="127" t="s">
        <v>228</v>
      </c>
      <c r="J1828" s="128">
        <v>212000</v>
      </c>
      <c r="K1828" s="127" t="s">
        <v>487</v>
      </c>
      <c r="L1828" s="151">
        <v>212112</v>
      </c>
      <c r="M1828" s="128">
        <v>0</v>
      </c>
      <c r="N1828" s="127" t="s">
        <v>490</v>
      </c>
      <c r="O1828" s="127" t="s">
        <v>457</v>
      </c>
      <c r="P1828" s="128">
        <v>0</v>
      </c>
      <c r="Q1828" s="128">
        <v>1026.73</v>
      </c>
      <c r="R1828" s="128">
        <v>0</v>
      </c>
      <c r="S1828" s="128">
        <v>0</v>
      </c>
      <c r="T1828" s="128">
        <v>0</v>
      </c>
      <c r="U1828" s="128">
        <v>1026.73</v>
      </c>
      <c r="V1828" s="128">
        <v>0</v>
      </c>
      <c r="W1828" s="128">
        <v>1026.73</v>
      </c>
      <c r="X1828" s="128">
        <v>0</v>
      </c>
      <c r="Y1828" s="128">
        <v>0</v>
      </c>
      <c r="Z1828" s="128">
        <v>0</v>
      </c>
      <c r="AA1828" s="128">
        <v>1026.73</v>
      </c>
      <c r="AB1828" s="126">
        <f t="shared" si="192"/>
        <v>-1.02673E-4</v>
      </c>
      <c r="AC1828" s="122" t="s">
        <v>1838</v>
      </c>
      <c r="AD1828" s="123">
        <f t="shared" si="194"/>
        <v>1983.9723217250009</v>
      </c>
    </row>
    <row r="1829" spans="1:30" ht="12.75" hidden="1" customHeight="1">
      <c r="A1829" s="125" t="str">
        <f t="shared" si="189"/>
        <v>LIC08SGST Payable</v>
      </c>
      <c r="B1829" s="125">
        <f>+IFERROR(VLOOKUP(L1829,'TB mapping'!A:D,4,0),0)</f>
        <v>0</v>
      </c>
      <c r="C1829" s="125">
        <f>+IFERROR(VLOOKUP(L1829,'TB mapping'!A:C,3,0),0)</f>
        <v>0</v>
      </c>
      <c r="D1829" s="125" t="str">
        <f t="shared" si="190"/>
        <v>LIC080</v>
      </c>
      <c r="E1829" s="125" t="str">
        <f t="shared" si="191"/>
        <v>LIC080</v>
      </c>
      <c r="F1829" s="158" t="str">
        <f>+VLOOKUP(H1829,'code mapping'!A:C,3,0)</f>
        <v>LIC08</v>
      </c>
      <c r="G1829" s="127" t="s">
        <v>453</v>
      </c>
      <c r="H1829" s="127" t="s">
        <v>746</v>
      </c>
      <c r="I1829" s="127" t="s">
        <v>228</v>
      </c>
      <c r="J1829" s="128">
        <v>212000</v>
      </c>
      <c r="K1829" s="127" t="s">
        <v>487</v>
      </c>
      <c r="L1829" s="151">
        <v>212113</v>
      </c>
      <c r="M1829" s="128">
        <v>0</v>
      </c>
      <c r="N1829" s="127" t="s">
        <v>491</v>
      </c>
      <c r="O1829" s="127" t="s">
        <v>457</v>
      </c>
      <c r="P1829" s="128">
        <v>0</v>
      </c>
      <c r="Q1829" s="128">
        <v>1026.73</v>
      </c>
      <c r="R1829" s="128">
        <v>0</v>
      </c>
      <c r="S1829" s="128">
        <v>0</v>
      </c>
      <c r="T1829" s="128">
        <v>0</v>
      </c>
      <c r="U1829" s="128">
        <v>1026.73</v>
      </c>
      <c r="V1829" s="128">
        <v>0</v>
      </c>
      <c r="W1829" s="128">
        <v>1026.73</v>
      </c>
      <c r="X1829" s="128">
        <v>0</v>
      </c>
      <c r="Y1829" s="128">
        <v>0</v>
      </c>
      <c r="Z1829" s="128">
        <v>0</v>
      </c>
      <c r="AA1829" s="128">
        <v>1026.73</v>
      </c>
      <c r="AB1829" s="126">
        <f t="shared" si="192"/>
        <v>-1.02673E-4</v>
      </c>
      <c r="AC1829" s="122" t="s">
        <v>1838</v>
      </c>
      <c r="AD1829" s="123">
        <f t="shared" si="194"/>
        <v>1983.9723217250009</v>
      </c>
    </row>
    <row r="1830" spans="1:30" ht="12.75" hidden="1" customHeight="1">
      <c r="A1830" s="125" t="str">
        <f t="shared" si="189"/>
        <v>LIC08IGST Payable</v>
      </c>
      <c r="B1830" s="125">
        <f>+IFERROR(VLOOKUP(L1830,'TB mapping'!A:D,4,0),0)</f>
        <v>0</v>
      </c>
      <c r="C1830" s="125">
        <f>+IFERROR(VLOOKUP(L1830,'TB mapping'!A:C,3,0),0)</f>
        <v>0</v>
      </c>
      <c r="D1830" s="125" t="str">
        <f t="shared" si="190"/>
        <v>LIC080</v>
      </c>
      <c r="E1830" s="125" t="str">
        <f t="shared" si="191"/>
        <v>LIC080</v>
      </c>
      <c r="F1830" s="158" t="str">
        <f>+VLOOKUP(H1830,'code mapping'!A:C,3,0)</f>
        <v>LIC08</v>
      </c>
      <c r="G1830" s="127" t="s">
        <v>453</v>
      </c>
      <c r="H1830" s="127" t="s">
        <v>746</v>
      </c>
      <c r="I1830" s="127" t="s">
        <v>228</v>
      </c>
      <c r="J1830" s="128">
        <v>212000</v>
      </c>
      <c r="K1830" s="127" t="s">
        <v>487</v>
      </c>
      <c r="L1830" s="151">
        <v>212114</v>
      </c>
      <c r="M1830" s="128">
        <v>0</v>
      </c>
      <c r="N1830" s="127" t="s">
        <v>492</v>
      </c>
      <c r="O1830" s="127" t="s">
        <v>457</v>
      </c>
      <c r="P1830" s="128">
        <v>0</v>
      </c>
      <c r="Q1830" s="128">
        <v>40342.400000000001</v>
      </c>
      <c r="R1830" s="128">
        <v>0</v>
      </c>
      <c r="S1830" s="128">
        <v>0</v>
      </c>
      <c r="T1830" s="128">
        <v>0</v>
      </c>
      <c r="U1830" s="128">
        <v>40342.400000000001</v>
      </c>
      <c r="V1830" s="128">
        <v>0</v>
      </c>
      <c r="W1830" s="128">
        <v>40342.400000000001</v>
      </c>
      <c r="X1830" s="128">
        <v>0</v>
      </c>
      <c r="Y1830" s="128">
        <v>0</v>
      </c>
      <c r="Z1830" s="128">
        <v>0</v>
      </c>
      <c r="AA1830" s="128">
        <v>40342.400000000001</v>
      </c>
      <c r="AB1830" s="126">
        <f t="shared" si="192"/>
        <v>-4.0342400000000006E-3</v>
      </c>
      <c r="AC1830" s="122" t="s">
        <v>1838</v>
      </c>
      <c r="AD1830" s="123">
        <f t="shared" si="194"/>
        <v>1983.9723217250009</v>
      </c>
    </row>
    <row r="1831" spans="1:30" ht="12.75" hidden="1" customHeight="1">
      <c r="A1831" s="125" t="str">
        <f t="shared" si="189"/>
        <v>LIC08Redemption Payable Ct</v>
      </c>
      <c r="B1831" s="125">
        <f>+IFERROR(VLOOKUP(L1831,'TB mapping'!A:D,4,0),0)</f>
        <v>0</v>
      </c>
      <c r="C1831" s="125">
        <f>+IFERROR(VLOOKUP(L1831,'TB mapping'!A:C,3,0),0)</f>
        <v>0</v>
      </c>
      <c r="D1831" s="125" t="str">
        <f t="shared" si="190"/>
        <v>LIC080</v>
      </c>
      <c r="E1831" s="125" t="str">
        <f t="shared" si="191"/>
        <v>LIC080</v>
      </c>
      <c r="F1831" s="158" t="str">
        <f>+VLOOKUP(H1831,'code mapping'!A:C,3,0)</f>
        <v>LIC08</v>
      </c>
      <c r="G1831" s="127" t="s">
        <v>453</v>
      </c>
      <c r="H1831" s="127" t="s">
        <v>746</v>
      </c>
      <c r="I1831" s="127" t="s">
        <v>228</v>
      </c>
      <c r="J1831" s="128">
        <v>212000</v>
      </c>
      <c r="K1831" s="127" t="s">
        <v>487</v>
      </c>
      <c r="L1831" s="151">
        <v>212121</v>
      </c>
      <c r="M1831" s="128">
        <v>0</v>
      </c>
      <c r="N1831" s="127" t="s">
        <v>493</v>
      </c>
      <c r="O1831" s="127" t="s">
        <v>457</v>
      </c>
      <c r="P1831" s="128">
        <v>0</v>
      </c>
      <c r="Q1831" s="128">
        <v>10846446.99</v>
      </c>
      <c r="R1831" s="128">
        <v>0</v>
      </c>
      <c r="S1831" s="128">
        <v>0</v>
      </c>
      <c r="T1831" s="128">
        <v>0</v>
      </c>
      <c r="U1831" s="128">
        <v>10846446.99</v>
      </c>
      <c r="V1831" s="128">
        <v>0</v>
      </c>
      <c r="W1831" s="128">
        <v>10846446.99</v>
      </c>
      <c r="X1831" s="128">
        <v>0</v>
      </c>
      <c r="Y1831" s="128">
        <v>0</v>
      </c>
      <c r="Z1831" s="128">
        <v>0</v>
      </c>
      <c r="AA1831" s="128">
        <v>10846446.99</v>
      </c>
      <c r="AB1831" s="126">
        <f t="shared" si="192"/>
        <v>-1.084644699</v>
      </c>
      <c r="AC1831" s="122" t="s">
        <v>1838</v>
      </c>
      <c r="AD1831" s="123">
        <f t="shared" si="194"/>
        <v>1983.9723217250009</v>
      </c>
    </row>
    <row r="1832" spans="1:30" ht="12.75" hidden="1" customHeight="1">
      <c r="A1832" s="125" t="str">
        <f t="shared" si="189"/>
        <v>LIC08Switch Out Payable Ct</v>
      </c>
      <c r="B1832" s="125">
        <f>+IFERROR(VLOOKUP(L1832,'TB mapping'!A:D,4,0),0)</f>
        <v>0</v>
      </c>
      <c r="C1832" s="125">
        <f>+IFERROR(VLOOKUP(L1832,'TB mapping'!A:C,3,0),0)</f>
        <v>0</v>
      </c>
      <c r="D1832" s="125" t="str">
        <f t="shared" si="190"/>
        <v>LIC080</v>
      </c>
      <c r="E1832" s="125" t="str">
        <f t="shared" si="191"/>
        <v>LIC080</v>
      </c>
      <c r="F1832" s="158" t="str">
        <f>+VLOOKUP(H1832,'code mapping'!A:C,3,0)</f>
        <v>LIC08</v>
      </c>
      <c r="G1832" s="127" t="s">
        <v>453</v>
      </c>
      <c r="H1832" s="127" t="s">
        <v>746</v>
      </c>
      <c r="I1832" s="127" t="s">
        <v>228</v>
      </c>
      <c r="J1832" s="128">
        <v>212000</v>
      </c>
      <c r="K1832" s="127" t="s">
        <v>487</v>
      </c>
      <c r="L1832" s="151">
        <v>212124</v>
      </c>
      <c r="M1832" s="128">
        <v>0</v>
      </c>
      <c r="N1832" s="127" t="s">
        <v>494</v>
      </c>
      <c r="O1832" s="127" t="s">
        <v>457</v>
      </c>
      <c r="P1832" s="128">
        <v>0</v>
      </c>
      <c r="Q1832" s="128">
        <v>4906160.55</v>
      </c>
      <c r="R1832" s="128">
        <v>0</v>
      </c>
      <c r="S1832" s="128">
        <v>0</v>
      </c>
      <c r="T1832" s="128">
        <v>0</v>
      </c>
      <c r="U1832" s="128">
        <v>4906160.55</v>
      </c>
      <c r="V1832" s="128">
        <v>0</v>
      </c>
      <c r="W1832" s="128">
        <v>4906160.55</v>
      </c>
      <c r="X1832" s="128">
        <v>0</v>
      </c>
      <c r="Y1832" s="128">
        <v>0</v>
      </c>
      <c r="Z1832" s="128">
        <v>0</v>
      </c>
      <c r="AA1832" s="128">
        <v>4906160.55</v>
      </c>
      <c r="AB1832" s="126">
        <f t="shared" si="192"/>
        <v>-0.490616055</v>
      </c>
      <c r="AC1832" s="122" t="s">
        <v>1838</v>
      </c>
      <c r="AD1832" s="123">
        <f t="shared" si="194"/>
        <v>1983.9723217250009</v>
      </c>
    </row>
    <row r="1833" spans="1:30" ht="12.75" hidden="1" customHeight="1">
      <c r="A1833" s="125" t="str">
        <f t="shared" si="189"/>
        <v>LIC08Due to Broker - Equity</v>
      </c>
      <c r="B1833" s="125">
        <f>+IFERROR(VLOOKUP(L1833,'TB mapping'!A:D,4,0),0)</f>
        <v>0</v>
      </c>
      <c r="C1833" s="125">
        <f>+IFERROR(VLOOKUP(L1833,'TB mapping'!A:C,3,0),0)</f>
        <v>0</v>
      </c>
      <c r="D1833" s="125" t="str">
        <f t="shared" si="190"/>
        <v>LIC080</v>
      </c>
      <c r="E1833" s="125" t="str">
        <f t="shared" si="191"/>
        <v>LIC080</v>
      </c>
      <c r="F1833" s="158" t="str">
        <f>+VLOOKUP(H1833,'code mapping'!A:C,3,0)</f>
        <v>LIC08</v>
      </c>
      <c r="G1833" s="127" t="s">
        <v>453</v>
      </c>
      <c r="H1833" s="127" t="s">
        <v>746</v>
      </c>
      <c r="I1833" s="127" t="s">
        <v>228</v>
      </c>
      <c r="J1833" s="128">
        <v>212000</v>
      </c>
      <c r="K1833" s="127" t="s">
        <v>487</v>
      </c>
      <c r="L1833" s="151">
        <v>212150</v>
      </c>
      <c r="M1833" s="128">
        <v>0</v>
      </c>
      <c r="N1833" s="127" t="s">
        <v>747</v>
      </c>
      <c r="O1833" s="127" t="s">
        <v>457</v>
      </c>
      <c r="P1833" s="128">
        <v>-623944.61</v>
      </c>
      <c r="Q1833" s="128">
        <v>0</v>
      </c>
      <c r="R1833" s="128">
        <v>0</v>
      </c>
      <c r="S1833" s="128">
        <v>0</v>
      </c>
      <c r="T1833" s="128">
        <v>-623944.61</v>
      </c>
      <c r="U1833" s="128">
        <v>0</v>
      </c>
      <c r="V1833" s="128">
        <v>-623944.61</v>
      </c>
      <c r="W1833" s="128">
        <v>0</v>
      </c>
      <c r="X1833" s="128">
        <v>0</v>
      </c>
      <c r="Y1833" s="128">
        <v>0</v>
      </c>
      <c r="Z1833" s="128">
        <v>-623944.61</v>
      </c>
      <c r="AA1833" s="128">
        <v>0</v>
      </c>
      <c r="AB1833" s="126">
        <f t="shared" si="192"/>
        <v>6.2394460999999998E-2</v>
      </c>
      <c r="AC1833" s="122" t="s">
        <v>1838</v>
      </c>
      <c r="AD1833" s="123">
        <f t="shared" si="194"/>
        <v>1983.9723217250009</v>
      </c>
    </row>
    <row r="1834" spans="1:30" ht="12.75" hidden="1" customHeight="1">
      <c r="A1834" s="125" t="str">
        <f t="shared" si="189"/>
        <v>LIC08Due to Broker</v>
      </c>
      <c r="B1834" s="125">
        <f>+IFERROR(VLOOKUP(L1834,'TB mapping'!A:D,4,0),0)</f>
        <v>0</v>
      </c>
      <c r="C1834" s="125">
        <f>+IFERROR(VLOOKUP(L1834,'TB mapping'!A:C,3,0),0)</f>
        <v>0</v>
      </c>
      <c r="D1834" s="125" t="str">
        <f t="shared" si="190"/>
        <v>LIC080</v>
      </c>
      <c r="E1834" s="125" t="str">
        <f t="shared" si="191"/>
        <v>LIC080</v>
      </c>
      <c r="F1834" s="158" t="str">
        <f>+VLOOKUP(H1834,'code mapping'!A:C,3,0)</f>
        <v>LIC08</v>
      </c>
      <c r="G1834" s="127" t="s">
        <v>453</v>
      </c>
      <c r="H1834" s="127" t="s">
        <v>746</v>
      </c>
      <c r="I1834" s="127" t="s">
        <v>228</v>
      </c>
      <c r="J1834" s="128">
        <v>212000</v>
      </c>
      <c r="K1834" s="127" t="s">
        <v>487</v>
      </c>
      <c r="L1834" s="151">
        <v>212153</v>
      </c>
      <c r="M1834" s="128">
        <v>0</v>
      </c>
      <c r="N1834" s="127" t="s">
        <v>626</v>
      </c>
      <c r="O1834" s="127" t="s">
        <v>457</v>
      </c>
      <c r="P1834" s="128">
        <v>0</v>
      </c>
      <c r="Q1834" s="128">
        <v>112224788.95</v>
      </c>
      <c r="R1834" s="128">
        <v>0</v>
      </c>
      <c r="S1834" s="128">
        <v>0</v>
      </c>
      <c r="T1834" s="128">
        <v>0</v>
      </c>
      <c r="U1834" s="128">
        <v>112224788.95</v>
      </c>
      <c r="V1834" s="128">
        <v>0</v>
      </c>
      <c r="W1834" s="128">
        <v>112224788.95</v>
      </c>
      <c r="X1834" s="128">
        <v>0</v>
      </c>
      <c r="Y1834" s="128">
        <v>0</v>
      </c>
      <c r="Z1834" s="128">
        <v>0</v>
      </c>
      <c r="AA1834" s="128">
        <v>112224788.95</v>
      </c>
      <c r="AB1834" s="126">
        <f t="shared" si="192"/>
        <v>-11.222478895</v>
      </c>
      <c r="AC1834" s="122" t="s">
        <v>1838</v>
      </c>
      <c r="AD1834" s="123">
        <f t="shared" si="194"/>
        <v>1983.9723217250009</v>
      </c>
    </row>
    <row r="1835" spans="1:30" ht="12.75" hidden="1" customHeight="1">
      <c r="A1835" s="125" t="str">
        <f t="shared" si="189"/>
        <v>LIC08Due to Broker - Bonds</v>
      </c>
      <c r="B1835" s="125">
        <f>+IFERROR(VLOOKUP(L1835,'TB mapping'!A:D,4,0),0)</f>
        <v>0</v>
      </c>
      <c r="C1835" s="125">
        <f>+IFERROR(VLOOKUP(L1835,'TB mapping'!A:C,3,0),0)</f>
        <v>0</v>
      </c>
      <c r="D1835" s="125" t="str">
        <f t="shared" si="190"/>
        <v>LIC080</v>
      </c>
      <c r="E1835" s="125" t="str">
        <f t="shared" si="191"/>
        <v>LIC080</v>
      </c>
      <c r="F1835" s="158" t="str">
        <f>+VLOOKUP(H1835,'code mapping'!A:C,3,0)</f>
        <v>LIC08</v>
      </c>
      <c r="G1835" s="127" t="s">
        <v>453</v>
      </c>
      <c r="H1835" s="127" t="s">
        <v>746</v>
      </c>
      <c r="I1835" s="127" t="s">
        <v>228</v>
      </c>
      <c r="J1835" s="128">
        <v>212000</v>
      </c>
      <c r="K1835" s="127" t="s">
        <v>487</v>
      </c>
      <c r="L1835" s="151">
        <v>212160</v>
      </c>
      <c r="M1835" s="128">
        <v>0</v>
      </c>
      <c r="N1835" s="127" t="s">
        <v>495</v>
      </c>
      <c r="O1835" s="127" t="s">
        <v>457</v>
      </c>
      <c r="P1835" s="128">
        <v>0</v>
      </c>
      <c r="Q1835" s="128">
        <v>154558958.31999999</v>
      </c>
      <c r="R1835" s="128">
        <v>0</v>
      </c>
      <c r="S1835" s="128">
        <v>0</v>
      </c>
      <c r="T1835" s="128">
        <v>0</v>
      </c>
      <c r="U1835" s="128">
        <v>154558958.31999999</v>
      </c>
      <c r="V1835" s="128">
        <v>0</v>
      </c>
      <c r="W1835" s="128">
        <v>154558958.31999999</v>
      </c>
      <c r="X1835" s="128">
        <v>0</v>
      </c>
      <c r="Y1835" s="128">
        <v>0</v>
      </c>
      <c r="Z1835" s="128">
        <v>0</v>
      </c>
      <c r="AA1835" s="128">
        <v>154558958.31999999</v>
      </c>
      <c r="AB1835" s="126">
        <f t="shared" si="192"/>
        <v>-15.455895832</v>
      </c>
      <c r="AC1835" s="122" t="s">
        <v>1838</v>
      </c>
      <c r="AD1835" s="123">
        <f t="shared" si="194"/>
        <v>1983.9723217250009</v>
      </c>
    </row>
    <row r="1836" spans="1:30" ht="12.75" hidden="1" customHeight="1">
      <c r="A1836" s="125" t="str">
        <f t="shared" si="189"/>
        <v>LIC08Audit Fee-Payable</v>
      </c>
      <c r="B1836" s="125">
        <f>+IFERROR(VLOOKUP(L1836,'TB mapping'!A:D,4,0),0)</f>
        <v>0</v>
      </c>
      <c r="C1836" s="125">
        <f>+IFERROR(VLOOKUP(L1836,'TB mapping'!A:C,3,0),0)</f>
        <v>0</v>
      </c>
      <c r="D1836" s="125" t="str">
        <f t="shared" si="190"/>
        <v>LIC080</v>
      </c>
      <c r="E1836" s="125" t="str">
        <f t="shared" si="191"/>
        <v>LIC080</v>
      </c>
      <c r="F1836" s="158" t="str">
        <f>+VLOOKUP(H1836,'code mapping'!A:C,3,0)</f>
        <v>LIC08</v>
      </c>
      <c r="G1836" s="127" t="s">
        <v>453</v>
      </c>
      <c r="H1836" s="127" t="s">
        <v>746</v>
      </c>
      <c r="I1836" s="127" t="s">
        <v>228</v>
      </c>
      <c r="J1836" s="128">
        <v>212000</v>
      </c>
      <c r="K1836" s="127" t="s">
        <v>487</v>
      </c>
      <c r="L1836" s="151">
        <v>212194</v>
      </c>
      <c r="M1836" s="128">
        <v>0</v>
      </c>
      <c r="N1836" s="127" t="s">
        <v>496</v>
      </c>
      <c r="O1836" s="127" t="s">
        <v>457</v>
      </c>
      <c r="P1836" s="128">
        <v>-573.06000000000006</v>
      </c>
      <c r="Q1836" s="128">
        <v>0</v>
      </c>
      <c r="R1836" s="128">
        <v>0</v>
      </c>
      <c r="S1836" s="128">
        <v>0</v>
      </c>
      <c r="T1836" s="128">
        <v>-573.06000000000006</v>
      </c>
      <c r="U1836" s="128">
        <v>0</v>
      </c>
      <c r="V1836" s="128">
        <v>-573.06000000000006</v>
      </c>
      <c r="W1836" s="128">
        <v>0</v>
      </c>
      <c r="X1836" s="128">
        <v>0</v>
      </c>
      <c r="Y1836" s="128">
        <v>0</v>
      </c>
      <c r="Z1836" s="128">
        <v>-573.06000000000006</v>
      </c>
      <c r="AA1836" s="128">
        <v>0</v>
      </c>
      <c r="AB1836" s="126">
        <f t="shared" si="192"/>
        <v>5.7306000000000003E-5</v>
      </c>
      <c r="AC1836" s="122" t="s">
        <v>1838</v>
      </c>
      <c r="AD1836" s="123">
        <f t="shared" si="194"/>
        <v>1983.9723217250009</v>
      </c>
    </row>
    <row r="1837" spans="1:30" ht="12.75" hidden="1" customHeight="1">
      <c r="A1837" s="125" t="str">
        <f t="shared" si="189"/>
        <v>LIC08Other Exp- Payable</v>
      </c>
      <c r="B1837" s="125">
        <f>+IFERROR(VLOOKUP(L1837,'TB mapping'!A:D,4,0),0)</f>
        <v>0</v>
      </c>
      <c r="C1837" s="125">
        <f>+IFERROR(VLOOKUP(L1837,'TB mapping'!A:C,3,0),0)</f>
        <v>0</v>
      </c>
      <c r="D1837" s="125" t="str">
        <f t="shared" si="190"/>
        <v>LIC080</v>
      </c>
      <c r="E1837" s="125" t="str">
        <f t="shared" si="191"/>
        <v>LIC080</v>
      </c>
      <c r="F1837" s="158" t="str">
        <f>+VLOOKUP(H1837,'code mapping'!A:C,3,0)</f>
        <v>LIC08</v>
      </c>
      <c r="G1837" s="127" t="s">
        <v>453</v>
      </c>
      <c r="H1837" s="127" t="s">
        <v>746</v>
      </c>
      <c r="I1837" s="127" t="s">
        <v>228</v>
      </c>
      <c r="J1837" s="128">
        <v>212000</v>
      </c>
      <c r="K1837" s="127" t="s">
        <v>487</v>
      </c>
      <c r="L1837" s="151">
        <v>212220</v>
      </c>
      <c r="M1837" s="128">
        <v>0</v>
      </c>
      <c r="N1837" s="127" t="s">
        <v>497</v>
      </c>
      <c r="O1837" s="127" t="s">
        <v>457</v>
      </c>
      <c r="P1837" s="128">
        <v>0</v>
      </c>
      <c r="Q1837" s="128">
        <v>2943781.21</v>
      </c>
      <c r="R1837" s="128">
        <v>0</v>
      </c>
      <c r="S1837" s="128">
        <v>0</v>
      </c>
      <c r="T1837" s="128">
        <v>0</v>
      </c>
      <c r="U1837" s="128">
        <v>2943781.21</v>
      </c>
      <c r="V1837" s="128">
        <v>0</v>
      </c>
      <c r="W1837" s="128">
        <v>2943781.21</v>
      </c>
      <c r="X1837" s="128">
        <v>0</v>
      </c>
      <c r="Y1837" s="128">
        <v>0</v>
      </c>
      <c r="Z1837" s="128">
        <v>0</v>
      </c>
      <c r="AA1837" s="128">
        <v>2943781.21</v>
      </c>
      <c r="AB1837" s="126">
        <f t="shared" si="192"/>
        <v>-0.29437812099999999</v>
      </c>
      <c r="AC1837" s="122" t="s">
        <v>1838</v>
      </c>
      <c r="AD1837" s="123">
        <f t="shared" si="194"/>
        <v>1983.9723217250009</v>
      </c>
    </row>
    <row r="1838" spans="1:30" ht="12.75" hidden="1" customHeight="1">
      <c r="A1838" s="125" t="str">
        <f t="shared" si="189"/>
        <v>LIC08Expense Allocation-Liab'ity Ac</v>
      </c>
      <c r="B1838" s="125">
        <f>+IFERROR(VLOOKUP(L1838,'TB mapping'!A:D,4,0),0)</f>
        <v>0</v>
      </c>
      <c r="C1838" s="125">
        <f>+IFERROR(VLOOKUP(L1838,'TB mapping'!A:C,3,0),0)</f>
        <v>0</v>
      </c>
      <c r="D1838" s="125" t="str">
        <f t="shared" si="190"/>
        <v>LIC080</v>
      </c>
      <c r="E1838" s="125" t="str">
        <f t="shared" si="191"/>
        <v>LIC080</v>
      </c>
      <c r="F1838" s="158" t="str">
        <f>+VLOOKUP(H1838,'code mapping'!A:C,3,0)</f>
        <v>LIC08</v>
      </c>
      <c r="G1838" s="127" t="s">
        <v>453</v>
      </c>
      <c r="H1838" s="127" t="s">
        <v>746</v>
      </c>
      <c r="I1838" s="127" t="s">
        <v>228</v>
      </c>
      <c r="J1838" s="128">
        <v>212000</v>
      </c>
      <c r="K1838" s="127" t="s">
        <v>487</v>
      </c>
      <c r="L1838" s="151">
        <v>212223</v>
      </c>
      <c r="M1838" s="128">
        <v>0</v>
      </c>
      <c r="N1838" s="127" t="s">
        <v>498</v>
      </c>
      <c r="O1838" s="127" t="s">
        <v>457</v>
      </c>
      <c r="P1838" s="128">
        <v>-1721921</v>
      </c>
      <c r="Q1838" s="128">
        <v>0</v>
      </c>
      <c r="R1838" s="128">
        <v>0</v>
      </c>
      <c r="S1838" s="128">
        <v>0</v>
      </c>
      <c r="T1838" s="128">
        <v>-1721921</v>
      </c>
      <c r="U1838" s="128">
        <v>0</v>
      </c>
      <c r="V1838" s="128">
        <v>-1721921</v>
      </c>
      <c r="W1838" s="128">
        <v>0</v>
      </c>
      <c r="X1838" s="128">
        <v>0</v>
      </c>
      <c r="Y1838" s="128">
        <v>0</v>
      </c>
      <c r="Z1838" s="128">
        <v>-1721921</v>
      </c>
      <c r="AA1838" s="128">
        <v>0</v>
      </c>
      <c r="AB1838" s="126">
        <f t="shared" si="192"/>
        <v>0.17219209999999999</v>
      </c>
      <c r="AC1838" s="122" t="s">
        <v>1838</v>
      </c>
      <c r="AD1838" s="123">
        <f t="shared" si="194"/>
        <v>1983.9723217250009</v>
      </c>
    </row>
    <row r="1839" spans="1:30" ht="12.75" hidden="1" customHeight="1">
      <c r="A1839" s="125" t="str">
        <f t="shared" si="189"/>
        <v>LIC08Exp- Additional TER Payable</v>
      </c>
      <c r="B1839" s="125">
        <f>+IFERROR(VLOOKUP(L1839,'TB mapping'!A:D,4,0),0)</f>
        <v>0</v>
      </c>
      <c r="C1839" s="125">
        <f>+IFERROR(VLOOKUP(L1839,'TB mapping'!A:C,3,0),0)</f>
        <v>0</v>
      </c>
      <c r="D1839" s="125" t="str">
        <f t="shared" si="190"/>
        <v>LIC080</v>
      </c>
      <c r="E1839" s="125" t="str">
        <f t="shared" si="191"/>
        <v>LIC080</v>
      </c>
      <c r="F1839" s="158" t="str">
        <f>+VLOOKUP(H1839,'code mapping'!A:C,3,0)</f>
        <v>LIC08</v>
      </c>
      <c r="G1839" s="127" t="s">
        <v>453</v>
      </c>
      <c r="H1839" s="127" t="s">
        <v>746</v>
      </c>
      <c r="I1839" s="127" t="s">
        <v>228</v>
      </c>
      <c r="J1839" s="128">
        <v>212000</v>
      </c>
      <c r="K1839" s="127" t="s">
        <v>487</v>
      </c>
      <c r="L1839" s="151">
        <v>212227</v>
      </c>
      <c r="M1839" s="128">
        <v>0</v>
      </c>
      <c r="N1839" s="127" t="s">
        <v>627</v>
      </c>
      <c r="O1839" s="127" t="s">
        <v>457</v>
      </c>
      <c r="P1839" s="128">
        <v>-9040499.3300000001</v>
      </c>
      <c r="Q1839" s="128">
        <v>0</v>
      </c>
      <c r="R1839" s="128">
        <v>0</v>
      </c>
      <c r="S1839" s="128">
        <v>0</v>
      </c>
      <c r="T1839" s="128">
        <v>-9040499.3300000001</v>
      </c>
      <c r="U1839" s="128">
        <v>0</v>
      </c>
      <c r="V1839" s="128">
        <v>-9040499.3300000001</v>
      </c>
      <c r="W1839" s="128">
        <v>0</v>
      </c>
      <c r="X1839" s="128">
        <v>0</v>
      </c>
      <c r="Y1839" s="128">
        <v>0</v>
      </c>
      <c r="Z1839" s="128">
        <v>-9040499.3300000001</v>
      </c>
      <c r="AA1839" s="128">
        <v>0</v>
      </c>
      <c r="AB1839" s="126">
        <f t="shared" si="192"/>
        <v>0.90404993300000003</v>
      </c>
      <c r="AC1839" s="122" t="s">
        <v>1838</v>
      </c>
      <c r="AD1839" s="123">
        <f t="shared" si="194"/>
        <v>1983.9723217250009</v>
      </c>
    </row>
    <row r="1840" spans="1:30" ht="12.75" hidden="1" customHeight="1">
      <c r="A1840" s="125" t="str">
        <f t="shared" si="189"/>
        <v>LIC08STT Payable</v>
      </c>
      <c r="B1840" s="125">
        <f>+IFERROR(VLOOKUP(L1840,'TB mapping'!A:D,4,0),0)</f>
        <v>0</v>
      </c>
      <c r="C1840" s="125">
        <f>+IFERROR(VLOOKUP(L1840,'TB mapping'!A:C,3,0),0)</f>
        <v>0</v>
      </c>
      <c r="D1840" s="125" t="str">
        <f t="shared" si="190"/>
        <v>LIC080</v>
      </c>
      <c r="E1840" s="125" t="str">
        <f t="shared" si="191"/>
        <v>LIC080</v>
      </c>
      <c r="F1840" s="158" t="str">
        <f>+VLOOKUP(H1840,'code mapping'!A:C,3,0)</f>
        <v>LIC08</v>
      </c>
      <c r="G1840" s="127" t="s">
        <v>453</v>
      </c>
      <c r="H1840" s="127" t="s">
        <v>746</v>
      </c>
      <c r="I1840" s="127" t="s">
        <v>228</v>
      </c>
      <c r="J1840" s="128">
        <v>212000</v>
      </c>
      <c r="K1840" s="127" t="s">
        <v>487</v>
      </c>
      <c r="L1840" s="151">
        <v>212231</v>
      </c>
      <c r="M1840" s="128">
        <v>0</v>
      </c>
      <c r="N1840" s="127" t="s">
        <v>748</v>
      </c>
      <c r="O1840" s="127" t="s">
        <v>457</v>
      </c>
      <c r="P1840" s="128">
        <v>0</v>
      </c>
      <c r="Q1840" s="128">
        <v>559.78</v>
      </c>
      <c r="R1840" s="128">
        <v>0</v>
      </c>
      <c r="S1840" s="128">
        <v>0</v>
      </c>
      <c r="T1840" s="128">
        <v>0</v>
      </c>
      <c r="U1840" s="128">
        <v>559.78</v>
      </c>
      <c r="V1840" s="128">
        <v>0</v>
      </c>
      <c r="W1840" s="128">
        <v>559.78</v>
      </c>
      <c r="X1840" s="128">
        <v>0</v>
      </c>
      <c r="Y1840" s="128">
        <v>0</v>
      </c>
      <c r="Z1840" s="128">
        <v>0</v>
      </c>
      <c r="AA1840" s="128">
        <v>559.78</v>
      </c>
      <c r="AB1840" s="126">
        <f t="shared" si="192"/>
        <v>-5.5977999999999998E-5</v>
      </c>
      <c r="AC1840" s="122" t="s">
        <v>1838</v>
      </c>
      <c r="AD1840" s="123">
        <f t="shared" si="194"/>
        <v>1983.9723217250009</v>
      </c>
    </row>
    <row r="1841" spans="1:30" ht="12.75" hidden="1" customHeight="1">
      <c r="A1841" s="125" t="str">
        <f t="shared" si="189"/>
        <v>LIC08Load Payable</v>
      </c>
      <c r="B1841" s="125">
        <f>+IFERROR(VLOOKUP(L1841,'TB mapping'!A:D,4,0),0)</f>
        <v>0</v>
      </c>
      <c r="C1841" s="125">
        <f>+IFERROR(VLOOKUP(L1841,'TB mapping'!A:C,3,0),0)</f>
        <v>0</v>
      </c>
      <c r="D1841" s="125" t="str">
        <f t="shared" si="190"/>
        <v>LIC080</v>
      </c>
      <c r="E1841" s="125" t="str">
        <f t="shared" si="191"/>
        <v>LIC080</v>
      </c>
      <c r="F1841" s="158" t="str">
        <f>+VLOOKUP(H1841,'code mapping'!A:C,3,0)</f>
        <v>LIC08</v>
      </c>
      <c r="G1841" s="127" t="s">
        <v>453</v>
      </c>
      <c r="H1841" s="127" t="s">
        <v>746</v>
      </c>
      <c r="I1841" s="127" t="s">
        <v>228</v>
      </c>
      <c r="J1841" s="128">
        <v>212000</v>
      </c>
      <c r="K1841" s="127" t="s">
        <v>487</v>
      </c>
      <c r="L1841" s="151">
        <v>212232</v>
      </c>
      <c r="M1841" s="128">
        <v>0</v>
      </c>
      <c r="N1841" s="127" t="s">
        <v>749</v>
      </c>
      <c r="O1841" s="127" t="s">
        <v>457</v>
      </c>
      <c r="P1841" s="128">
        <v>0</v>
      </c>
      <c r="Q1841" s="128">
        <v>247.84</v>
      </c>
      <c r="R1841" s="128">
        <v>0</v>
      </c>
      <c r="S1841" s="128">
        <v>0</v>
      </c>
      <c r="T1841" s="128">
        <v>0</v>
      </c>
      <c r="U1841" s="128">
        <v>247.84</v>
      </c>
      <c r="V1841" s="128">
        <v>0</v>
      </c>
      <c r="W1841" s="128">
        <v>247.84</v>
      </c>
      <c r="X1841" s="128">
        <v>0</v>
      </c>
      <c r="Y1841" s="128">
        <v>0</v>
      </c>
      <c r="Z1841" s="128">
        <v>0</v>
      </c>
      <c r="AA1841" s="128">
        <v>247.84</v>
      </c>
      <c r="AB1841" s="126">
        <f t="shared" si="192"/>
        <v>-2.4784000000000002E-5</v>
      </c>
      <c r="AC1841" s="122" t="s">
        <v>1838</v>
      </c>
      <c r="AD1841" s="123">
        <f t="shared" si="194"/>
        <v>1983.9723217250009</v>
      </c>
    </row>
    <row r="1842" spans="1:30" ht="12.75" hidden="1" customHeight="1">
      <c r="A1842" s="125" t="str">
        <f t="shared" si="189"/>
        <v>LIC08Investor Education Payable</v>
      </c>
      <c r="B1842" s="125">
        <f>+IFERROR(VLOOKUP(L1842,'TB mapping'!A:D,4,0),0)</f>
        <v>0</v>
      </c>
      <c r="C1842" s="125">
        <f>+IFERROR(VLOOKUP(L1842,'TB mapping'!A:C,3,0),0)</f>
        <v>0</v>
      </c>
      <c r="D1842" s="125" t="str">
        <f t="shared" si="190"/>
        <v>LIC080</v>
      </c>
      <c r="E1842" s="125" t="str">
        <f t="shared" si="191"/>
        <v>LIC080</v>
      </c>
      <c r="F1842" s="158" t="str">
        <f>+VLOOKUP(H1842,'code mapping'!A:C,3,0)</f>
        <v>LIC08</v>
      </c>
      <c r="G1842" s="127" t="s">
        <v>453</v>
      </c>
      <c r="H1842" s="127" t="s">
        <v>746</v>
      </c>
      <c r="I1842" s="127" t="s">
        <v>228</v>
      </c>
      <c r="J1842" s="128">
        <v>212000</v>
      </c>
      <c r="K1842" s="127" t="s">
        <v>487</v>
      </c>
      <c r="L1842" s="151">
        <v>212240</v>
      </c>
      <c r="M1842" s="128">
        <v>0</v>
      </c>
      <c r="N1842" s="127" t="s">
        <v>500</v>
      </c>
      <c r="O1842" s="127" t="s">
        <v>457</v>
      </c>
      <c r="P1842" s="128">
        <v>0</v>
      </c>
      <c r="Q1842" s="128">
        <v>28161.72</v>
      </c>
      <c r="R1842" s="128">
        <v>0</v>
      </c>
      <c r="S1842" s="128">
        <v>0</v>
      </c>
      <c r="T1842" s="128">
        <v>0</v>
      </c>
      <c r="U1842" s="128">
        <v>28161.72</v>
      </c>
      <c r="V1842" s="128">
        <v>0</v>
      </c>
      <c r="W1842" s="128">
        <v>28161.72</v>
      </c>
      <c r="X1842" s="128">
        <v>0</v>
      </c>
      <c r="Y1842" s="128">
        <v>0</v>
      </c>
      <c r="Z1842" s="128">
        <v>0</v>
      </c>
      <c r="AA1842" s="128">
        <v>28161.72</v>
      </c>
      <c r="AB1842" s="126">
        <f t="shared" si="192"/>
        <v>-2.816172E-3</v>
      </c>
      <c r="AC1842" s="122" t="s">
        <v>1838</v>
      </c>
      <c r="AD1842" s="123">
        <f t="shared" si="194"/>
        <v>1983.9723217250009</v>
      </c>
    </row>
    <row r="1843" spans="1:30" ht="12.75" hidden="1" customHeight="1">
      <c r="A1843" s="125" t="str">
        <f t="shared" si="189"/>
        <v>LIC08Transaction Charges Payable</v>
      </c>
      <c r="B1843" s="125">
        <f>+IFERROR(VLOOKUP(L1843,'TB mapping'!A:D,4,0),0)</f>
        <v>0</v>
      </c>
      <c r="C1843" s="125">
        <f>+IFERROR(VLOOKUP(L1843,'TB mapping'!A:C,3,0),0)</f>
        <v>0</v>
      </c>
      <c r="D1843" s="125" t="str">
        <f t="shared" si="190"/>
        <v>LIC080</v>
      </c>
      <c r="E1843" s="125" t="str">
        <f t="shared" si="191"/>
        <v>LIC080</v>
      </c>
      <c r="F1843" s="158" t="str">
        <f>+VLOOKUP(H1843,'code mapping'!A:C,3,0)</f>
        <v>LIC08</v>
      </c>
      <c r="G1843" s="127" t="s">
        <v>453</v>
      </c>
      <c r="H1843" s="127" t="s">
        <v>746</v>
      </c>
      <c r="I1843" s="127" t="s">
        <v>228</v>
      </c>
      <c r="J1843" s="128">
        <v>212000</v>
      </c>
      <c r="K1843" s="127" t="s">
        <v>487</v>
      </c>
      <c r="L1843" s="151">
        <v>212247</v>
      </c>
      <c r="M1843" s="128">
        <v>0</v>
      </c>
      <c r="N1843" s="127" t="s">
        <v>501</v>
      </c>
      <c r="O1843" s="127" t="s">
        <v>457</v>
      </c>
      <c r="P1843" s="128">
        <v>0</v>
      </c>
      <c r="Q1843" s="128">
        <v>5375</v>
      </c>
      <c r="R1843" s="128">
        <v>0</v>
      </c>
      <c r="S1843" s="128">
        <v>0</v>
      </c>
      <c r="T1843" s="128">
        <v>0</v>
      </c>
      <c r="U1843" s="128">
        <v>5375</v>
      </c>
      <c r="V1843" s="128">
        <v>0</v>
      </c>
      <c r="W1843" s="128">
        <v>5375</v>
      </c>
      <c r="X1843" s="128">
        <v>0</v>
      </c>
      <c r="Y1843" s="128">
        <v>0</v>
      </c>
      <c r="Z1843" s="128">
        <v>0</v>
      </c>
      <c r="AA1843" s="128">
        <v>5375</v>
      </c>
      <c r="AB1843" s="126">
        <f t="shared" si="192"/>
        <v>-5.375E-4</v>
      </c>
      <c r="AC1843" s="122" t="s">
        <v>1838</v>
      </c>
      <c r="AD1843" s="123">
        <f t="shared" si="194"/>
        <v>1983.9723217250009</v>
      </c>
    </row>
    <row r="1844" spans="1:30" ht="12.75" hidden="1" customHeight="1">
      <c r="A1844" s="125" t="str">
        <f t="shared" si="189"/>
        <v>LIC08CCIL Charges Payable</v>
      </c>
      <c r="B1844" s="125">
        <f>+IFERROR(VLOOKUP(L1844,'TB mapping'!A:D,4,0),0)</f>
        <v>0</v>
      </c>
      <c r="C1844" s="125">
        <f>+IFERROR(VLOOKUP(L1844,'TB mapping'!A:C,3,0),0)</f>
        <v>0</v>
      </c>
      <c r="D1844" s="125" t="str">
        <f t="shared" si="190"/>
        <v>LIC080</v>
      </c>
      <c r="E1844" s="125" t="str">
        <f t="shared" si="191"/>
        <v>LIC080</v>
      </c>
      <c r="F1844" s="158" t="str">
        <f>+VLOOKUP(H1844,'code mapping'!A:C,3,0)</f>
        <v>LIC08</v>
      </c>
      <c r="G1844" s="127" t="s">
        <v>453</v>
      </c>
      <c r="H1844" s="127" t="s">
        <v>746</v>
      </c>
      <c r="I1844" s="127" t="s">
        <v>228</v>
      </c>
      <c r="J1844" s="128">
        <v>212000</v>
      </c>
      <c r="K1844" s="127" t="s">
        <v>487</v>
      </c>
      <c r="L1844" s="151">
        <v>212252</v>
      </c>
      <c r="M1844" s="128">
        <v>0</v>
      </c>
      <c r="N1844" s="127" t="s">
        <v>502</v>
      </c>
      <c r="O1844" s="127" t="s">
        <v>457</v>
      </c>
      <c r="P1844" s="128">
        <v>0</v>
      </c>
      <c r="Q1844" s="128">
        <v>2000</v>
      </c>
      <c r="R1844" s="128">
        <v>0</v>
      </c>
      <c r="S1844" s="128">
        <v>0</v>
      </c>
      <c r="T1844" s="128">
        <v>0</v>
      </c>
      <c r="U1844" s="128">
        <v>2000</v>
      </c>
      <c r="V1844" s="128">
        <v>0</v>
      </c>
      <c r="W1844" s="128">
        <v>2000</v>
      </c>
      <c r="X1844" s="128">
        <v>0</v>
      </c>
      <c r="Y1844" s="128">
        <v>0</v>
      </c>
      <c r="Z1844" s="128">
        <v>0</v>
      </c>
      <c r="AA1844" s="128">
        <v>2000</v>
      </c>
      <c r="AB1844" s="126">
        <f t="shared" si="192"/>
        <v>-2.0000000000000001E-4</v>
      </c>
      <c r="AC1844" s="122" t="s">
        <v>1838</v>
      </c>
      <c r="AD1844" s="123">
        <f t="shared" si="194"/>
        <v>1983.9723217250009</v>
      </c>
    </row>
    <row r="1845" spans="1:30" ht="12.75" hidden="1" customHeight="1">
      <c r="A1845" s="125" t="str">
        <f t="shared" si="189"/>
        <v>LIC08Brokerage &amp; Dist Exp Payable</v>
      </c>
      <c r="B1845" s="125">
        <f>+IFERROR(VLOOKUP(L1845,'TB mapping'!A:D,4,0),0)</f>
        <v>0</v>
      </c>
      <c r="C1845" s="125">
        <f>+IFERROR(VLOOKUP(L1845,'TB mapping'!A:C,3,0),0)</f>
        <v>0</v>
      </c>
      <c r="D1845" s="125" t="str">
        <f t="shared" si="190"/>
        <v>LIC080</v>
      </c>
      <c r="E1845" s="125" t="str">
        <f t="shared" si="191"/>
        <v>LIC080</v>
      </c>
      <c r="F1845" s="158" t="str">
        <f>+VLOOKUP(H1845,'code mapping'!A:C,3,0)</f>
        <v>LIC08</v>
      </c>
      <c r="G1845" s="127" t="s">
        <v>453</v>
      </c>
      <c r="H1845" s="127" t="s">
        <v>746</v>
      </c>
      <c r="I1845" s="127" t="s">
        <v>228</v>
      </c>
      <c r="J1845" s="128">
        <v>212000</v>
      </c>
      <c r="K1845" s="127" t="s">
        <v>487</v>
      </c>
      <c r="L1845" s="151">
        <v>212255</v>
      </c>
      <c r="M1845" s="128">
        <v>0</v>
      </c>
      <c r="N1845" s="127" t="s">
        <v>503</v>
      </c>
      <c r="O1845" s="127" t="s">
        <v>457</v>
      </c>
      <c r="P1845" s="128">
        <v>0</v>
      </c>
      <c r="Q1845" s="128">
        <v>11127920.49</v>
      </c>
      <c r="R1845" s="128">
        <v>0</v>
      </c>
      <c r="S1845" s="128">
        <v>0</v>
      </c>
      <c r="T1845" s="128">
        <v>0</v>
      </c>
      <c r="U1845" s="128">
        <v>11127920.49</v>
      </c>
      <c r="V1845" s="128">
        <v>0</v>
      </c>
      <c r="W1845" s="128">
        <v>11127920.49</v>
      </c>
      <c r="X1845" s="128">
        <v>0</v>
      </c>
      <c r="Y1845" s="128">
        <v>0</v>
      </c>
      <c r="Z1845" s="128">
        <v>0</v>
      </c>
      <c r="AA1845" s="128">
        <v>11127920.49</v>
      </c>
      <c r="AB1845" s="126">
        <f t="shared" si="192"/>
        <v>-1.1127920490000001</v>
      </c>
      <c r="AC1845" s="122" t="s">
        <v>1838</v>
      </c>
      <c r="AD1845" s="123">
        <f t="shared" si="194"/>
        <v>1983.9723217250009</v>
      </c>
    </row>
    <row r="1846" spans="1:30" ht="12.75" hidden="1" customHeight="1">
      <c r="A1846" s="125" t="str">
        <f t="shared" si="189"/>
        <v>LIC08Upfront Brk &amp; Trail Paid-Liab</v>
      </c>
      <c r="B1846" s="125">
        <f>+IFERROR(VLOOKUP(L1846,'TB mapping'!A:D,4,0),0)</f>
        <v>0</v>
      </c>
      <c r="C1846" s="125">
        <f>+IFERROR(VLOOKUP(L1846,'TB mapping'!A:C,3,0),0)</f>
        <v>0</v>
      </c>
      <c r="D1846" s="125" t="str">
        <f t="shared" si="190"/>
        <v>LIC080</v>
      </c>
      <c r="E1846" s="125" t="str">
        <f t="shared" si="191"/>
        <v>LIC080</v>
      </c>
      <c r="F1846" s="158" t="str">
        <f>+VLOOKUP(H1846,'code mapping'!A:C,3,0)</f>
        <v>LIC08</v>
      </c>
      <c r="G1846" s="127" t="s">
        <v>453</v>
      </c>
      <c r="H1846" s="127" t="s">
        <v>746</v>
      </c>
      <c r="I1846" s="127" t="s">
        <v>228</v>
      </c>
      <c r="J1846" s="128">
        <v>212000</v>
      </c>
      <c r="K1846" s="127" t="s">
        <v>487</v>
      </c>
      <c r="L1846" s="151">
        <v>212257</v>
      </c>
      <c r="M1846" s="128">
        <v>0</v>
      </c>
      <c r="N1846" s="127" t="s">
        <v>504</v>
      </c>
      <c r="O1846" s="127" t="s">
        <v>457</v>
      </c>
      <c r="P1846" s="128">
        <v>-1804.23</v>
      </c>
      <c r="Q1846" s="128">
        <v>0</v>
      </c>
      <c r="R1846" s="128">
        <v>0</v>
      </c>
      <c r="S1846" s="128">
        <v>0</v>
      </c>
      <c r="T1846" s="128">
        <v>-1804.23</v>
      </c>
      <c r="U1846" s="128">
        <v>0</v>
      </c>
      <c r="V1846" s="128">
        <v>-1804.23</v>
      </c>
      <c r="W1846" s="128">
        <v>0</v>
      </c>
      <c r="X1846" s="128">
        <v>0</v>
      </c>
      <c r="Y1846" s="128">
        <v>0</v>
      </c>
      <c r="Z1846" s="128">
        <v>-1804.23</v>
      </c>
      <c r="AA1846" s="128">
        <v>0</v>
      </c>
      <c r="AB1846" s="126">
        <f t="shared" si="192"/>
        <v>1.80423E-4</v>
      </c>
      <c r="AC1846" s="122" t="s">
        <v>1838</v>
      </c>
      <c r="AD1846" s="123">
        <f t="shared" si="194"/>
        <v>1983.9723217250009</v>
      </c>
    </row>
    <row r="1847" spans="1:30" ht="12.75" hidden="1" customHeight="1">
      <c r="A1847" s="125" t="str">
        <f t="shared" si="189"/>
        <v>LIC08Payable CGST on Mfees</v>
      </c>
      <c r="B1847" s="125">
        <f>+IFERROR(VLOOKUP(L1847,'TB mapping'!A:D,4,0),0)</f>
        <v>0</v>
      </c>
      <c r="C1847" s="125">
        <f>+IFERROR(VLOOKUP(L1847,'TB mapping'!A:C,3,0),0)</f>
        <v>0</v>
      </c>
      <c r="D1847" s="125" t="str">
        <f t="shared" si="190"/>
        <v>LIC080</v>
      </c>
      <c r="E1847" s="125" t="str">
        <f t="shared" si="191"/>
        <v>LIC080</v>
      </c>
      <c r="F1847" s="158" t="str">
        <f>+VLOOKUP(H1847,'code mapping'!A:C,3,0)</f>
        <v>LIC08</v>
      </c>
      <c r="G1847" s="127" t="s">
        <v>453</v>
      </c>
      <c r="H1847" s="127" t="s">
        <v>746</v>
      </c>
      <c r="I1847" s="127" t="s">
        <v>228</v>
      </c>
      <c r="J1847" s="128">
        <v>212000</v>
      </c>
      <c r="K1847" s="127" t="s">
        <v>487</v>
      </c>
      <c r="L1847" s="151">
        <v>212271</v>
      </c>
      <c r="M1847" s="128">
        <v>0</v>
      </c>
      <c r="N1847" s="127" t="s">
        <v>505</v>
      </c>
      <c r="O1847" s="127" t="s">
        <v>457</v>
      </c>
      <c r="P1847" s="128">
        <v>0</v>
      </c>
      <c r="Q1847" s="128">
        <v>12765.65</v>
      </c>
      <c r="R1847" s="128">
        <v>0</v>
      </c>
      <c r="S1847" s="128">
        <v>0</v>
      </c>
      <c r="T1847" s="128">
        <v>0</v>
      </c>
      <c r="U1847" s="128">
        <v>12765.65</v>
      </c>
      <c r="V1847" s="128">
        <v>0</v>
      </c>
      <c r="W1847" s="128">
        <v>12765.65</v>
      </c>
      <c r="X1847" s="128">
        <v>0</v>
      </c>
      <c r="Y1847" s="128">
        <v>0</v>
      </c>
      <c r="Z1847" s="128">
        <v>0</v>
      </c>
      <c r="AA1847" s="128">
        <v>12765.65</v>
      </c>
      <c r="AB1847" s="126">
        <f t="shared" si="192"/>
        <v>-1.2765649999999999E-3</v>
      </c>
      <c r="AC1847" s="122" t="s">
        <v>1838</v>
      </c>
      <c r="AD1847" s="123">
        <f t="shared" si="194"/>
        <v>1983.9723217250009</v>
      </c>
    </row>
    <row r="1848" spans="1:30" ht="12.75" hidden="1" customHeight="1">
      <c r="A1848" s="125" t="str">
        <f t="shared" si="189"/>
        <v>LIC08Payable SGST on Mfees</v>
      </c>
      <c r="B1848" s="125">
        <f>+IFERROR(VLOOKUP(L1848,'TB mapping'!A:D,4,0),0)</f>
        <v>0</v>
      </c>
      <c r="C1848" s="125">
        <f>+IFERROR(VLOOKUP(L1848,'TB mapping'!A:C,3,0),0)</f>
        <v>0</v>
      </c>
      <c r="D1848" s="125" t="str">
        <f t="shared" si="190"/>
        <v>LIC080</v>
      </c>
      <c r="E1848" s="125" t="str">
        <f t="shared" si="191"/>
        <v>LIC080</v>
      </c>
      <c r="F1848" s="158" t="str">
        <f>+VLOOKUP(H1848,'code mapping'!A:C,3,0)</f>
        <v>LIC08</v>
      </c>
      <c r="G1848" s="127" t="s">
        <v>453</v>
      </c>
      <c r="H1848" s="127" t="s">
        <v>746</v>
      </c>
      <c r="I1848" s="127" t="s">
        <v>228</v>
      </c>
      <c r="J1848" s="128">
        <v>212000</v>
      </c>
      <c r="K1848" s="127" t="s">
        <v>487</v>
      </c>
      <c r="L1848" s="151">
        <v>212272</v>
      </c>
      <c r="M1848" s="128">
        <v>0</v>
      </c>
      <c r="N1848" s="127" t="s">
        <v>506</v>
      </c>
      <c r="O1848" s="127" t="s">
        <v>457</v>
      </c>
      <c r="P1848" s="128">
        <v>0</v>
      </c>
      <c r="Q1848" s="128">
        <v>12765.65</v>
      </c>
      <c r="R1848" s="128">
        <v>0</v>
      </c>
      <c r="S1848" s="128">
        <v>0</v>
      </c>
      <c r="T1848" s="128">
        <v>0</v>
      </c>
      <c r="U1848" s="128">
        <v>12765.65</v>
      </c>
      <c r="V1848" s="128">
        <v>0</v>
      </c>
      <c r="W1848" s="128">
        <v>12765.65</v>
      </c>
      <c r="X1848" s="128">
        <v>0</v>
      </c>
      <c r="Y1848" s="128">
        <v>0</v>
      </c>
      <c r="Z1848" s="128">
        <v>0</v>
      </c>
      <c r="AA1848" s="128">
        <v>12765.65</v>
      </c>
      <c r="AB1848" s="126">
        <f t="shared" si="192"/>
        <v>-1.2765649999999999E-3</v>
      </c>
      <c r="AC1848" s="122" t="s">
        <v>1838</v>
      </c>
      <c r="AD1848" s="123">
        <f t="shared" si="194"/>
        <v>1983.9723217250009</v>
      </c>
    </row>
    <row r="1849" spans="1:30" ht="12.75" hidden="1" customHeight="1">
      <c r="A1849" s="125" t="str">
        <f t="shared" ref="A1849:A1912" si="195">+F1849&amp;N1849</f>
        <v>LIC08Payable -Inv Educ Fund-AMFI</v>
      </c>
      <c r="B1849" s="125">
        <f>+IFERROR(VLOOKUP(L1849,'TB mapping'!A:D,4,0),0)</f>
        <v>0</v>
      </c>
      <c r="C1849" s="125">
        <f>+IFERROR(VLOOKUP(L1849,'TB mapping'!A:C,3,0),0)</f>
        <v>0</v>
      </c>
      <c r="D1849" s="125" t="str">
        <f t="shared" ref="D1849:D1912" si="196">+F1849&amp;B1849</f>
        <v>LIC080</v>
      </c>
      <c r="E1849" s="125" t="str">
        <f t="shared" ref="E1849:E1912" si="197">+F1849&amp;C1849</f>
        <v>LIC080</v>
      </c>
      <c r="F1849" s="158" t="str">
        <f>+VLOOKUP(H1849,'code mapping'!A:C,3,0)</f>
        <v>LIC08</v>
      </c>
      <c r="G1849" s="127" t="s">
        <v>453</v>
      </c>
      <c r="H1849" s="127" t="s">
        <v>746</v>
      </c>
      <c r="I1849" s="127" t="s">
        <v>228</v>
      </c>
      <c r="J1849" s="128">
        <v>212000</v>
      </c>
      <c r="K1849" s="127" t="s">
        <v>487</v>
      </c>
      <c r="L1849" s="151">
        <v>213166</v>
      </c>
      <c r="M1849" s="128">
        <v>0</v>
      </c>
      <c r="N1849" s="127" t="s">
        <v>507</v>
      </c>
      <c r="O1849" s="127" t="s">
        <v>457</v>
      </c>
      <c r="P1849" s="128">
        <v>0</v>
      </c>
      <c r="Q1849" s="128">
        <v>28161.72</v>
      </c>
      <c r="R1849" s="128">
        <v>0</v>
      </c>
      <c r="S1849" s="128">
        <v>0</v>
      </c>
      <c r="T1849" s="128">
        <v>0</v>
      </c>
      <c r="U1849" s="128">
        <v>28161.72</v>
      </c>
      <c r="V1849" s="128">
        <v>0</v>
      </c>
      <c r="W1849" s="128">
        <v>28161.72</v>
      </c>
      <c r="X1849" s="128">
        <v>0</v>
      </c>
      <c r="Y1849" s="128">
        <v>0</v>
      </c>
      <c r="Z1849" s="128">
        <v>0</v>
      </c>
      <c r="AA1849" s="128">
        <v>28161.72</v>
      </c>
      <c r="AB1849" s="126">
        <f t="shared" ref="AB1849:AB1912" si="198">SUM(-Z1849-AA1849)/10^7</f>
        <v>-2.816172E-3</v>
      </c>
      <c r="AC1849" s="122" t="s">
        <v>1838</v>
      </c>
      <c r="AD1849" s="123">
        <f t="shared" si="194"/>
        <v>1983.9723217250009</v>
      </c>
    </row>
    <row r="1850" spans="1:30" ht="12.75" hidden="1" customHeight="1">
      <c r="A1850" s="125" t="str">
        <f t="shared" si="195"/>
        <v>LIC08Management Fee Payable</v>
      </c>
      <c r="B1850" s="125">
        <f>+IFERROR(VLOOKUP(L1850,'TB mapping'!A:D,4,0),0)</f>
        <v>0</v>
      </c>
      <c r="C1850" s="125">
        <f>+IFERROR(VLOOKUP(L1850,'TB mapping'!A:C,3,0),0)</f>
        <v>0</v>
      </c>
      <c r="D1850" s="125" t="str">
        <f t="shared" si="196"/>
        <v>LIC080</v>
      </c>
      <c r="E1850" s="125" t="str">
        <f t="shared" si="197"/>
        <v>LIC080</v>
      </c>
      <c r="F1850" s="158" t="str">
        <f>+VLOOKUP(H1850,'code mapping'!A:C,3,0)</f>
        <v>LIC08</v>
      </c>
      <c r="G1850" s="127" t="s">
        <v>453</v>
      </c>
      <c r="H1850" s="127" t="s">
        <v>746</v>
      </c>
      <c r="I1850" s="127" t="s">
        <v>228</v>
      </c>
      <c r="J1850" s="128">
        <v>213000</v>
      </c>
      <c r="K1850" s="127" t="s">
        <v>508</v>
      </c>
      <c r="L1850" s="151">
        <v>213500</v>
      </c>
      <c r="M1850" s="128">
        <v>0</v>
      </c>
      <c r="N1850" s="127" t="s">
        <v>509</v>
      </c>
      <c r="O1850" s="127" t="s">
        <v>457</v>
      </c>
      <c r="P1850" s="128">
        <v>0</v>
      </c>
      <c r="Q1850" s="128">
        <v>141836.95000000001</v>
      </c>
      <c r="R1850" s="128">
        <v>0</v>
      </c>
      <c r="S1850" s="128">
        <v>0</v>
      </c>
      <c r="T1850" s="128">
        <v>0</v>
      </c>
      <c r="U1850" s="128">
        <v>141836.95000000001</v>
      </c>
      <c r="V1850" s="128">
        <v>0</v>
      </c>
      <c r="W1850" s="128">
        <v>141836.95000000001</v>
      </c>
      <c r="X1850" s="128">
        <v>0</v>
      </c>
      <c r="Y1850" s="128">
        <v>0</v>
      </c>
      <c r="Z1850" s="128">
        <v>0</v>
      </c>
      <c r="AA1850" s="128">
        <v>141836.95000000001</v>
      </c>
      <c r="AB1850" s="126">
        <f t="shared" si="198"/>
        <v>-1.4183695000000001E-2</v>
      </c>
      <c r="AC1850" s="122" t="s">
        <v>1838</v>
      </c>
      <c r="AD1850" s="123">
        <f t="shared" si="194"/>
        <v>1983.9723217250009</v>
      </c>
    </row>
    <row r="1851" spans="1:30" ht="12.75" hidden="1" customHeight="1">
      <c r="A1851" s="125" t="str">
        <f t="shared" si="195"/>
        <v>LIC08Other Adjustment A/c.</v>
      </c>
      <c r="B1851" s="125">
        <f>+IFERROR(VLOOKUP(L1851,'TB mapping'!A:D,4,0),0)</f>
        <v>0</v>
      </c>
      <c r="C1851" s="125">
        <f>+IFERROR(VLOOKUP(L1851,'TB mapping'!A:C,3,0),0)</f>
        <v>0</v>
      </c>
      <c r="D1851" s="125" t="str">
        <f t="shared" si="196"/>
        <v>LIC080</v>
      </c>
      <c r="E1851" s="125" t="str">
        <f t="shared" si="197"/>
        <v>LIC080</v>
      </c>
      <c r="F1851" s="158" t="str">
        <f>+VLOOKUP(H1851,'code mapping'!A:C,3,0)</f>
        <v>LIC08</v>
      </c>
      <c r="G1851" s="127" t="s">
        <v>453</v>
      </c>
      <c r="H1851" s="127" t="s">
        <v>746</v>
      </c>
      <c r="I1851" s="127" t="s">
        <v>228</v>
      </c>
      <c r="J1851" s="128">
        <v>220000</v>
      </c>
      <c r="K1851" s="127" t="s">
        <v>510</v>
      </c>
      <c r="L1851" s="151">
        <v>190000</v>
      </c>
      <c r="M1851" s="128">
        <v>0</v>
      </c>
      <c r="N1851" s="127" t="s">
        <v>511</v>
      </c>
      <c r="O1851" s="127" t="s">
        <v>457</v>
      </c>
      <c r="P1851" s="128">
        <v>0</v>
      </c>
      <c r="Q1851" s="128">
        <v>1.32</v>
      </c>
      <c r="R1851" s="128">
        <v>0</v>
      </c>
      <c r="S1851" s="128">
        <v>0</v>
      </c>
      <c r="T1851" s="128">
        <v>0</v>
      </c>
      <c r="U1851" s="128">
        <v>1.32</v>
      </c>
      <c r="V1851" s="128">
        <v>0</v>
      </c>
      <c r="W1851" s="128">
        <v>1.32</v>
      </c>
      <c r="X1851" s="128">
        <v>0</v>
      </c>
      <c r="Y1851" s="128">
        <v>0</v>
      </c>
      <c r="Z1851" s="128">
        <v>0</v>
      </c>
      <c r="AA1851" s="128">
        <v>1.32</v>
      </c>
      <c r="AB1851" s="126">
        <f t="shared" si="198"/>
        <v>-1.3200000000000002E-7</v>
      </c>
      <c r="AC1851" s="122" t="s">
        <v>1838</v>
      </c>
      <c r="AD1851" s="123">
        <f t="shared" si="194"/>
        <v>1983.9723217250009</v>
      </c>
    </row>
    <row r="1852" spans="1:30" ht="12.75" hidden="1" customHeight="1">
      <c r="A1852" s="125" t="str">
        <f t="shared" si="195"/>
        <v>LIC08Prov For Withholding Brokerage</v>
      </c>
      <c r="B1852" s="125">
        <f>+IFERROR(VLOOKUP(L1852,'TB mapping'!A:D,4,0),0)</f>
        <v>0</v>
      </c>
      <c r="C1852" s="125">
        <f>+IFERROR(VLOOKUP(L1852,'TB mapping'!A:C,3,0),0)</f>
        <v>0</v>
      </c>
      <c r="D1852" s="125" t="str">
        <f t="shared" si="196"/>
        <v>LIC080</v>
      </c>
      <c r="E1852" s="125" t="str">
        <f t="shared" si="197"/>
        <v>LIC080</v>
      </c>
      <c r="F1852" s="158" t="str">
        <f>+VLOOKUP(H1852,'code mapping'!A:C,3,0)</f>
        <v>LIC08</v>
      </c>
      <c r="G1852" s="127" t="s">
        <v>453</v>
      </c>
      <c r="H1852" s="127" t="s">
        <v>746</v>
      </c>
      <c r="I1852" s="127" t="s">
        <v>228</v>
      </c>
      <c r="J1852" s="128">
        <v>220000</v>
      </c>
      <c r="K1852" s="127" t="s">
        <v>510</v>
      </c>
      <c r="L1852" s="151">
        <v>210162</v>
      </c>
      <c r="M1852" s="128">
        <v>0</v>
      </c>
      <c r="N1852" s="127" t="s">
        <v>512</v>
      </c>
      <c r="O1852" s="127" t="s">
        <v>457</v>
      </c>
      <c r="P1852" s="128">
        <v>0</v>
      </c>
      <c r="Q1852" s="128">
        <v>108693.86</v>
      </c>
      <c r="R1852" s="128">
        <v>0</v>
      </c>
      <c r="S1852" s="128">
        <v>0</v>
      </c>
      <c r="T1852" s="128">
        <v>0</v>
      </c>
      <c r="U1852" s="128">
        <v>108693.86</v>
      </c>
      <c r="V1852" s="128">
        <v>0</v>
      </c>
      <c r="W1852" s="128">
        <v>108693.86</v>
      </c>
      <c r="X1852" s="128">
        <v>0</v>
      </c>
      <c r="Y1852" s="128">
        <v>0</v>
      </c>
      <c r="Z1852" s="128">
        <v>0</v>
      </c>
      <c r="AA1852" s="128">
        <v>108693.86</v>
      </c>
      <c r="AB1852" s="126">
        <f t="shared" si="198"/>
        <v>-1.0869386E-2</v>
      </c>
      <c r="AC1852" s="122" t="s">
        <v>1838</v>
      </c>
      <c r="AD1852" s="123">
        <f t="shared" si="194"/>
        <v>1983.9723217250009</v>
      </c>
    </row>
    <row r="1853" spans="1:30" ht="12.75" hidden="1" customHeight="1">
      <c r="A1853" s="125" t="str">
        <f t="shared" si="195"/>
        <v>LIC08Prov  Withholding Brok 2016-17</v>
      </c>
      <c r="B1853" s="125">
        <f>+IFERROR(VLOOKUP(L1853,'TB mapping'!A:D,4,0),0)</f>
        <v>0</v>
      </c>
      <c r="C1853" s="125">
        <f>+IFERROR(VLOOKUP(L1853,'TB mapping'!A:C,3,0),0)</f>
        <v>0</v>
      </c>
      <c r="D1853" s="125" t="str">
        <f t="shared" si="196"/>
        <v>LIC080</v>
      </c>
      <c r="E1853" s="125" t="str">
        <f t="shared" si="197"/>
        <v>LIC080</v>
      </c>
      <c r="F1853" s="158" t="str">
        <f>+VLOOKUP(H1853,'code mapping'!A:C,3,0)</f>
        <v>LIC08</v>
      </c>
      <c r="G1853" s="127" t="s">
        <v>453</v>
      </c>
      <c r="H1853" s="127" t="s">
        <v>746</v>
      </c>
      <c r="I1853" s="127" t="s">
        <v>228</v>
      </c>
      <c r="J1853" s="128">
        <v>220000</v>
      </c>
      <c r="K1853" s="127" t="s">
        <v>510</v>
      </c>
      <c r="L1853" s="151">
        <v>210163</v>
      </c>
      <c r="M1853" s="128">
        <v>0</v>
      </c>
      <c r="N1853" s="127" t="s">
        <v>513</v>
      </c>
      <c r="O1853" s="127" t="s">
        <v>457</v>
      </c>
      <c r="P1853" s="128">
        <v>0</v>
      </c>
      <c r="Q1853" s="128">
        <v>168730.19</v>
      </c>
      <c r="R1853" s="128">
        <v>0</v>
      </c>
      <c r="S1853" s="128">
        <v>0</v>
      </c>
      <c r="T1853" s="128">
        <v>0</v>
      </c>
      <c r="U1853" s="128">
        <v>168730.19</v>
      </c>
      <c r="V1853" s="128">
        <v>0</v>
      </c>
      <c r="W1853" s="128">
        <v>168730.19</v>
      </c>
      <c r="X1853" s="128">
        <v>0</v>
      </c>
      <c r="Y1853" s="128">
        <v>0</v>
      </c>
      <c r="Z1853" s="128">
        <v>0</v>
      </c>
      <c r="AA1853" s="128">
        <v>168730.19</v>
      </c>
      <c r="AB1853" s="126">
        <f t="shared" si="198"/>
        <v>-1.6873019E-2</v>
      </c>
      <c r="AC1853" s="122" t="s">
        <v>1838</v>
      </c>
      <c r="AD1853" s="123">
        <f t="shared" si="194"/>
        <v>1983.9723217250009</v>
      </c>
    </row>
    <row r="1854" spans="1:30" ht="12.75" hidden="1" customHeight="1">
      <c r="A1854" s="125" t="str">
        <f t="shared" si="195"/>
        <v>LIC08Unit Capital</v>
      </c>
      <c r="B1854" s="125">
        <f>+IFERROR(VLOOKUP(L1854,'TB mapping'!A:D,4,0),0)</f>
        <v>0</v>
      </c>
      <c r="C1854" s="125">
        <f>+IFERROR(VLOOKUP(L1854,'TB mapping'!A:C,3,0),0)</f>
        <v>0</v>
      </c>
      <c r="D1854" s="125" t="str">
        <f t="shared" si="196"/>
        <v>LIC080</v>
      </c>
      <c r="E1854" s="125" t="str">
        <f t="shared" si="197"/>
        <v>LIC080</v>
      </c>
      <c r="F1854" s="158" t="str">
        <f>+VLOOKUP(H1854,'code mapping'!A:C,3,0)</f>
        <v>LIC08</v>
      </c>
      <c r="G1854" s="127" t="s">
        <v>453</v>
      </c>
      <c r="H1854" s="127" t="s">
        <v>746</v>
      </c>
      <c r="I1854" s="127" t="s">
        <v>228</v>
      </c>
      <c r="J1854" s="128">
        <v>301000</v>
      </c>
      <c r="K1854" s="127" t="s">
        <v>514</v>
      </c>
      <c r="L1854" s="151">
        <v>310000</v>
      </c>
      <c r="M1854" s="128">
        <v>0</v>
      </c>
      <c r="N1854" s="127" t="s">
        <v>515</v>
      </c>
      <c r="O1854" s="127" t="s">
        <v>457</v>
      </c>
      <c r="P1854" s="128">
        <v>0</v>
      </c>
      <c r="Q1854" s="128">
        <v>1315956798.1400001</v>
      </c>
      <c r="R1854" s="128">
        <v>0</v>
      </c>
      <c r="S1854" s="128">
        <v>0</v>
      </c>
      <c r="T1854" s="128">
        <v>0</v>
      </c>
      <c r="U1854" s="128">
        <v>1315956798.1400001</v>
      </c>
      <c r="V1854" s="128">
        <v>0</v>
      </c>
      <c r="W1854" s="128">
        <v>1315956798.1400001</v>
      </c>
      <c r="X1854" s="128">
        <v>0</v>
      </c>
      <c r="Y1854" s="128">
        <v>0</v>
      </c>
      <c r="Z1854" s="128">
        <v>0</v>
      </c>
      <c r="AA1854" s="128">
        <v>1315956798.1400001</v>
      </c>
      <c r="AB1854" s="126">
        <f t="shared" si="198"/>
        <v>-131.59567981400002</v>
      </c>
      <c r="AC1854" s="122" t="s">
        <v>1838</v>
      </c>
      <c r="AD1854" s="123">
        <f t="shared" ref="AD1854:AD1859" si="199">SUMIF(C:C,C1854,AB:AB)</f>
        <v>1983.9723217250009</v>
      </c>
    </row>
    <row r="1855" spans="1:30" ht="12.75" hidden="1" customHeight="1">
      <c r="A1855" s="125" t="str">
        <f t="shared" si="195"/>
        <v>LIC08Unit Premium Reserve- RG</v>
      </c>
      <c r="B1855" s="125">
        <f>+IFERROR(VLOOKUP(L1855,'TB mapping'!A:D,4,0),0)</f>
        <v>0</v>
      </c>
      <c r="C1855" s="125">
        <f>+IFERROR(VLOOKUP(L1855,'TB mapping'!A:C,3,0),0)</f>
        <v>0</v>
      </c>
      <c r="D1855" s="125" t="str">
        <f t="shared" si="196"/>
        <v>LIC080</v>
      </c>
      <c r="E1855" s="125" t="str">
        <f t="shared" si="197"/>
        <v>LIC080</v>
      </c>
      <c r="F1855" s="158" t="str">
        <f>+VLOOKUP(H1855,'code mapping'!A:C,3,0)</f>
        <v>LIC08</v>
      </c>
      <c r="G1855" s="127" t="s">
        <v>453</v>
      </c>
      <c r="H1855" s="127" t="s">
        <v>746</v>
      </c>
      <c r="I1855" s="127" t="s">
        <v>228</v>
      </c>
      <c r="J1855" s="128">
        <v>303000</v>
      </c>
      <c r="K1855" s="127" t="s">
        <v>516</v>
      </c>
      <c r="L1855" s="151">
        <v>303201</v>
      </c>
      <c r="M1855" s="128">
        <v>0</v>
      </c>
      <c r="N1855" s="127" t="s">
        <v>517</v>
      </c>
      <c r="O1855" s="127" t="s">
        <v>457</v>
      </c>
      <c r="P1855" s="128">
        <v>0</v>
      </c>
      <c r="Q1855" s="128">
        <v>839321000.84000003</v>
      </c>
      <c r="R1855" s="128">
        <v>0</v>
      </c>
      <c r="S1855" s="128">
        <v>0</v>
      </c>
      <c r="T1855" s="128">
        <v>0</v>
      </c>
      <c r="U1855" s="128">
        <v>839321000.84000003</v>
      </c>
      <c r="V1855" s="128">
        <v>0</v>
      </c>
      <c r="W1855" s="128">
        <v>839321000.84000003</v>
      </c>
      <c r="X1855" s="128">
        <v>0</v>
      </c>
      <c r="Y1855" s="128">
        <v>0</v>
      </c>
      <c r="Z1855" s="128">
        <v>0</v>
      </c>
      <c r="AA1855" s="128">
        <v>839321000.84000003</v>
      </c>
      <c r="AB1855" s="126">
        <f t="shared" si="198"/>
        <v>-83.932100083999998</v>
      </c>
      <c r="AC1855" s="122" t="s">
        <v>1838</v>
      </c>
      <c r="AD1855" s="123">
        <f t="shared" si="199"/>
        <v>1983.9723217250009</v>
      </c>
    </row>
    <row r="1856" spans="1:30" ht="12.75" hidden="1" customHeight="1">
      <c r="A1856" s="125" t="str">
        <f t="shared" si="195"/>
        <v>LIC08Unit Premium Reserve- RD</v>
      </c>
      <c r="B1856" s="125">
        <f>+IFERROR(VLOOKUP(L1856,'TB mapping'!A:D,4,0),0)</f>
        <v>0</v>
      </c>
      <c r="C1856" s="125">
        <f>+IFERROR(VLOOKUP(L1856,'TB mapping'!A:C,3,0),0)</f>
        <v>0</v>
      </c>
      <c r="D1856" s="125" t="str">
        <f t="shared" si="196"/>
        <v>LIC080</v>
      </c>
      <c r="E1856" s="125" t="str">
        <f t="shared" si="197"/>
        <v>LIC080</v>
      </c>
      <c r="F1856" s="158" t="str">
        <f>+VLOOKUP(H1856,'code mapping'!A:C,3,0)</f>
        <v>LIC08</v>
      </c>
      <c r="G1856" s="127" t="s">
        <v>453</v>
      </c>
      <c r="H1856" s="127" t="s">
        <v>746</v>
      </c>
      <c r="I1856" s="127" t="s">
        <v>228</v>
      </c>
      <c r="J1856" s="128">
        <v>303000</v>
      </c>
      <c r="K1856" s="127" t="s">
        <v>516</v>
      </c>
      <c r="L1856" s="151">
        <v>303202</v>
      </c>
      <c r="M1856" s="128">
        <v>0</v>
      </c>
      <c r="N1856" s="127" t="s">
        <v>518</v>
      </c>
      <c r="O1856" s="127" t="s">
        <v>457</v>
      </c>
      <c r="P1856" s="128">
        <v>0</v>
      </c>
      <c r="Q1856" s="128">
        <v>354446869.69999999</v>
      </c>
      <c r="R1856" s="128">
        <v>0</v>
      </c>
      <c r="S1856" s="128">
        <v>0</v>
      </c>
      <c r="T1856" s="128">
        <v>0</v>
      </c>
      <c r="U1856" s="128">
        <v>354446869.69999999</v>
      </c>
      <c r="V1856" s="128">
        <v>0</v>
      </c>
      <c r="W1856" s="128">
        <v>354446869.69999999</v>
      </c>
      <c r="X1856" s="128">
        <v>0</v>
      </c>
      <c r="Y1856" s="128">
        <v>0</v>
      </c>
      <c r="Z1856" s="128">
        <v>0</v>
      </c>
      <c r="AA1856" s="128">
        <v>354446869.69999999</v>
      </c>
      <c r="AB1856" s="126">
        <f t="shared" si="198"/>
        <v>-35.444686969999999</v>
      </c>
      <c r="AC1856" s="122" t="s">
        <v>1838</v>
      </c>
      <c r="AD1856" s="123">
        <f t="shared" si="199"/>
        <v>1983.9723217250009</v>
      </c>
    </row>
    <row r="1857" spans="1:30" ht="12.75" hidden="1" customHeight="1">
      <c r="A1857" s="125" t="str">
        <f t="shared" si="195"/>
        <v>LIC08Unit Premium Reserve-GDP</v>
      </c>
      <c r="B1857" s="125">
        <f>+IFERROR(VLOOKUP(L1857,'TB mapping'!A:D,4,0),0)</f>
        <v>0</v>
      </c>
      <c r="C1857" s="125">
        <f>+IFERROR(VLOOKUP(L1857,'TB mapping'!A:C,3,0),0)</f>
        <v>0</v>
      </c>
      <c r="D1857" s="125" t="str">
        <f t="shared" si="196"/>
        <v>LIC080</v>
      </c>
      <c r="E1857" s="125" t="str">
        <f t="shared" si="197"/>
        <v>LIC080</v>
      </c>
      <c r="F1857" s="158" t="str">
        <f>+VLOOKUP(H1857,'code mapping'!A:C,3,0)</f>
        <v>LIC08</v>
      </c>
      <c r="G1857" s="127" t="s">
        <v>453</v>
      </c>
      <c r="H1857" s="127" t="s">
        <v>746</v>
      </c>
      <c r="I1857" s="127" t="s">
        <v>228</v>
      </c>
      <c r="J1857" s="128">
        <v>303000</v>
      </c>
      <c r="K1857" s="127" t="s">
        <v>516</v>
      </c>
      <c r="L1857" s="151">
        <v>303245</v>
      </c>
      <c r="M1857" s="128">
        <v>0</v>
      </c>
      <c r="N1857" s="127" t="s">
        <v>519</v>
      </c>
      <c r="O1857" s="127" t="s">
        <v>457</v>
      </c>
      <c r="P1857" s="128">
        <v>0</v>
      </c>
      <c r="Q1857" s="128">
        <v>107772413.78</v>
      </c>
      <c r="R1857" s="128">
        <v>0</v>
      </c>
      <c r="S1857" s="128">
        <v>0</v>
      </c>
      <c r="T1857" s="128">
        <v>0</v>
      </c>
      <c r="U1857" s="128">
        <v>107772413.78</v>
      </c>
      <c r="V1857" s="128">
        <v>0</v>
      </c>
      <c r="W1857" s="128">
        <v>107772413.78</v>
      </c>
      <c r="X1857" s="128">
        <v>0</v>
      </c>
      <c r="Y1857" s="128">
        <v>0</v>
      </c>
      <c r="Z1857" s="128">
        <v>0</v>
      </c>
      <c r="AA1857" s="128">
        <v>107772413.78</v>
      </c>
      <c r="AB1857" s="126">
        <f t="shared" si="198"/>
        <v>-10.777241377999999</v>
      </c>
      <c r="AC1857" s="122" t="s">
        <v>1838</v>
      </c>
      <c r="AD1857" s="123">
        <f t="shared" si="199"/>
        <v>1983.9723217250009</v>
      </c>
    </row>
    <row r="1858" spans="1:30" ht="12.75" hidden="1" customHeight="1">
      <c r="A1858" s="125" t="str">
        <f t="shared" si="195"/>
        <v>LIC08Unit Premium Reserve-DDP</v>
      </c>
      <c r="B1858" s="125">
        <f>+IFERROR(VLOOKUP(L1858,'TB mapping'!A:D,4,0),0)</f>
        <v>0</v>
      </c>
      <c r="C1858" s="125">
        <f>+IFERROR(VLOOKUP(L1858,'TB mapping'!A:C,3,0),0)</f>
        <v>0</v>
      </c>
      <c r="D1858" s="125" t="str">
        <f t="shared" si="196"/>
        <v>LIC080</v>
      </c>
      <c r="E1858" s="125" t="str">
        <f t="shared" si="197"/>
        <v>LIC080</v>
      </c>
      <c r="F1858" s="158" t="str">
        <f>+VLOOKUP(H1858,'code mapping'!A:C,3,0)</f>
        <v>LIC08</v>
      </c>
      <c r="G1858" s="127" t="s">
        <v>453</v>
      </c>
      <c r="H1858" s="127" t="s">
        <v>746</v>
      </c>
      <c r="I1858" s="127" t="s">
        <v>228</v>
      </c>
      <c r="J1858" s="128">
        <v>303000</v>
      </c>
      <c r="K1858" s="127" t="s">
        <v>516</v>
      </c>
      <c r="L1858" s="151">
        <v>303246</v>
      </c>
      <c r="M1858" s="128">
        <v>0</v>
      </c>
      <c r="N1858" s="127" t="s">
        <v>520</v>
      </c>
      <c r="O1858" s="127" t="s">
        <v>457</v>
      </c>
      <c r="P1858" s="128">
        <v>0</v>
      </c>
      <c r="Q1858" s="128">
        <v>144684595.97</v>
      </c>
      <c r="R1858" s="128">
        <v>0</v>
      </c>
      <c r="S1858" s="128">
        <v>0</v>
      </c>
      <c r="T1858" s="128">
        <v>0</v>
      </c>
      <c r="U1858" s="128">
        <v>144684595.97</v>
      </c>
      <c r="V1858" s="128">
        <v>0</v>
      </c>
      <c r="W1858" s="128">
        <v>144684595.97</v>
      </c>
      <c r="X1858" s="128">
        <v>0</v>
      </c>
      <c r="Y1858" s="128">
        <v>0</v>
      </c>
      <c r="Z1858" s="128">
        <v>0</v>
      </c>
      <c r="AA1858" s="128">
        <v>144684595.97</v>
      </c>
      <c r="AB1858" s="126">
        <f t="shared" si="198"/>
        <v>-14.468459597000001</v>
      </c>
      <c r="AC1858" s="122" t="s">
        <v>1838</v>
      </c>
      <c r="AD1858" s="123">
        <f t="shared" si="199"/>
        <v>1983.9723217250009</v>
      </c>
    </row>
    <row r="1859" spans="1:30" ht="12.75" hidden="1" customHeight="1">
      <c r="A1859" s="125" t="str">
        <f t="shared" si="195"/>
        <v>LIC08Net Earnings</v>
      </c>
      <c r="B1859" s="125">
        <f>+IFERROR(VLOOKUP(L1859,'TB mapping'!A:D,4,0),0)</f>
        <v>0</v>
      </c>
      <c r="C1859" s="125">
        <f>+IFERROR(VLOOKUP(L1859,'TB mapping'!A:C,3,0),0)</f>
        <v>0</v>
      </c>
      <c r="D1859" s="125" t="str">
        <f t="shared" si="196"/>
        <v>LIC080</v>
      </c>
      <c r="E1859" s="125" t="str">
        <f t="shared" si="197"/>
        <v>LIC080</v>
      </c>
      <c r="F1859" s="158" t="str">
        <f>+VLOOKUP(H1859,'code mapping'!A:C,3,0)</f>
        <v>LIC08</v>
      </c>
      <c r="G1859" s="127" t="s">
        <v>453</v>
      </c>
      <c r="H1859" s="127" t="s">
        <v>746</v>
      </c>
      <c r="I1859" s="127" t="s">
        <v>228</v>
      </c>
      <c r="J1859" s="128">
        <v>303000</v>
      </c>
      <c r="K1859" s="127" t="s">
        <v>516</v>
      </c>
      <c r="L1859" s="151">
        <v>390000</v>
      </c>
      <c r="M1859" s="128">
        <v>0</v>
      </c>
      <c r="N1859" s="127" t="s">
        <v>521</v>
      </c>
      <c r="O1859" s="127" t="s">
        <v>457</v>
      </c>
      <c r="P1859" s="128">
        <v>0</v>
      </c>
      <c r="Q1859" s="128">
        <v>591504717.86000001</v>
      </c>
      <c r="R1859" s="128">
        <v>0</v>
      </c>
      <c r="S1859" s="128">
        <v>0</v>
      </c>
      <c r="T1859" s="128">
        <v>0</v>
      </c>
      <c r="U1859" s="128">
        <v>591504717.86000001</v>
      </c>
      <c r="V1859" s="128">
        <v>0</v>
      </c>
      <c r="W1859" s="128">
        <v>591504717.86000001</v>
      </c>
      <c r="X1859" s="128">
        <v>0</v>
      </c>
      <c r="Y1859" s="128">
        <v>0</v>
      </c>
      <c r="Z1859" s="128">
        <v>0</v>
      </c>
      <c r="AA1859" s="128">
        <v>591504717.86000001</v>
      </c>
      <c r="AB1859" s="126">
        <f t="shared" si="198"/>
        <v>-59.150471786000004</v>
      </c>
      <c r="AC1859" s="122" t="s">
        <v>1838</v>
      </c>
      <c r="AD1859" s="123">
        <f t="shared" si="199"/>
        <v>1983.9723217250009</v>
      </c>
    </row>
    <row r="1860" spans="1:30" ht="12.75" hidden="1" customHeight="1">
      <c r="A1860" s="125" t="str">
        <f t="shared" si="195"/>
        <v>LIC08R/L G/P - Equities</v>
      </c>
      <c r="B1860" s="125">
        <f>+IFERROR(VLOOKUP(L1860,'TB mapping'!A:D,4,0),0)</f>
        <v>0</v>
      </c>
      <c r="C1860" s="125">
        <f>+IFERROR(VLOOKUP(L1860,'TB mapping'!A:C,3,0),0)</f>
        <v>5.3</v>
      </c>
      <c r="D1860" s="125" t="str">
        <f t="shared" si="196"/>
        <v>LIC080</v>
      </c>
      <c r="E1860" s="125" t="str">
        <f t="shared" si="197"/>
        <v>LIC085.3</v>
      </c>
      <c r="F1860" s="158" t="str">
        <f>+VLOOKUP(H1860,'code mapping'!A:C,3,0)</f>
        <v>LIC08</v>
      </c>
      <c r="G1860" s="127" t="s">
        <v>453</v>
      </c>
      <c r="H1860" s="127" t="s">
        <v>746</v>
      </c>
      <c r="I1860" s="127" t="s">
        <v>228</v>
      </c>
      <c r="J1860" s="128">
        <v>410000</v>
      </c>
      <c r="K1860" s="127" t="s">
        <v>522</v>
      </c>
      <c r="L1860" s="151">
        <v>411100</v>
      </c>
      <c r="M1860" s="128">
        <v>0</v>
      </c>
      <c r="N1860" s="127" t="s">
        <v>596</v>
      </c>
      <c r="O1860" s="127" t="s">
        <v>457</v>
      </c>
      <c r="P1860" s="128">
        <v>0</v>
      </c>
      <c r="Q1860" s="128">
        <v>154243862.15000001</v>
      </c>
      <c r="R1860" s="128">
        <v>0</v>
      </c>
      <c r="S1860" s="128">
        <v>0</v>
      </c>
      <c r="T1860" s="128">
        <v>0</v>
      </c>
      <c r="U1860" s="128">
        <v>154243862.15000001</v>
      </c>
      <c r="V1860" s="128">
        <v>0</v>
      </c>
      <c r="W1860" s="128">
        <v>154243862.15000001</v>
      </c>
      <c r="X1860" s="128">
        <v>0</v>
      </c>
      <c r="Y1860" s="128">
        <v>0</v>
      </c>
      <c r="Z1860" s="128">
        <v>0</v>
      </c>
      <c r="AA1860" s="128">
        <v>154243862.15000001</v>
      </c>
      <c r="AB1860" s="126">
        <f t="shared" si="198"/>
        <v>-15.424386215</v>
      </c>
      <c r="AC1860" s="122" t="s">
        <v>1838</v>
      </c>
      <c r="AD1860" s="123">
        <f>SUMIF(E:E,E1860,AB:AB)</f>
        <v>-11.840329361000002</v>
      </c>
    </row>
    <row r="1861" spans="1:30" ht="12.75" hidden="1" customHeight="1">
      <c r="A1861" s="125" t="str">
        <f t="shared" si="195"/>
        <v>LIC08R/L G/P - Treasury Bills</v>
      </c>
      <c r="B1861" s="125">
        <f>+IFERROR(VLOOKUP(L1861,'TB mapping'!A:D,4,0),0)</f>
        <v>0</v>
      </c>
      <c r="C1861" s="125">
        <f>+IFERROR(VLOOKUP(L1861,'TB mapping'!A:C,3,0),0)</f>
        <v>5.3</v>
      </c>
      <c r="D1861" s="125" t="str">
        <f t="shared" si="196"/>
        <v>LIC080</v>
      </c>
      <c r="E1861" s="125" t="str">
        <f t="shared" si="197"/>
        <v>LIC085.3</v>
      </c>
      <c r="F1861" s="158" t="str">
        <f>+VLOOKUP(H1861,'code mapping'!A:C,3,0)</f>
        <v>LIC08</v>
      </c>
      <c r="G1861" s="127" t="s">
        <v>453</v>
      </c>
      <c r="H1861" s="127" t="s">
        <v>746</v>
      </c>
      <c r="I1861" s="127" t="s">
        <v>228</v>
      </c>
      <c r="J1861" s="128">
        <v>410000</v>
      </c>
      <c r="K1861" s="127" t="s">
        <v>522</v>
      </c>
      <c r="L1861" s="151">
        <v>412110</v>
      </c>
      <c r="M1861" s="128">
        <v>0</v>
      </c>
      <c r="N1861" s="127" t="s">
        <v>630</v>
      </c>
      <c r="O1861" s="127" t="s">
        <v>457</v>
      </c>
      <c r="P1861" s="128">
        <v>0</v>
      </c>
      <c r="Q1861" s="128">
        <v>2067.5</v>
      </c>
      <c r="R1861" s="128">
        <v>0</v>
      </c>
      <c r="S1861" s="128">
        <v>0</v>
      </c>
      <c r="T1861" s="128">
        <v>0</v>
      </c>
      <c r="U1861" s="128">
        <v>2067.5</v>
      </c>
      <c r="V1861" s="128">
        <v>0</v>
      </c>
      <c r="W1861" s="128">
        <v>2067.5</v>
      </c>
      <c r="X1861" s="128">
        <v>0</v>
      </c>
      <c r="Y1861" s="128">
        <v>0</v>
      </c>
      <c r="Z1861" s="128">
        <v>0</v>
      </c>
      <c r="AA1861" s="128">
        <v>2067.5</v>
      </c>
      <c r="AB1861" s="126">
        <f t="shared" si="198"/>
        <v>-2.0675000000000001E-4</v>
      </c>
      <c r="AC1861" s="122" t="s">
        <v>1838</v>
      </c>
      <c r="AD1861" s="123">
        <f>SUMIF(E:E,E1861,AB:AB)</f>
        <v>-11.840329361000002</v>
      </c>
    </row>
    <row r="1862" spans="1:30" ht="12.75" hidden="1" customHeight="1">
      <c r="A1862" s="125" t="str">
        <f t="shared" si="195"/>
        <v>LIC08R/L G/P - Government Bonds</v>
      </c>
      <c r="B1862" s="125">
        <f>+IFERROR(VLOOKUP(L1862,'TB mapping'!A:D,4,0),0)</f>
        <v>0</v>
      </c>
      <c r="C1862" s="125">
        <f>+IFERROR(VLOOKUP(L1862,'TB mapping'!A:C,3,0),0)</f>
        <v>5.3</v>
      </c>
      <c r="D1862" s="125" t="str">
        <f t="shared" si="196"/>
        <v>LIC080</v>
      </c>
      <c r="E1862" s="125" t="str">
        <f t="shared" si="197"/>
        <v>LIC085.3</v>
      </c>
      <c r="F1862" s="158" t="str">
        <f>+VLOOKUP(H1862,'code mapping'!A:C,3,0)</f>
        <v>LIC08</v>
      </c>
      <c r="G1862" s="127" t="s">
        <v>453</v>
      </c>
      <c r="H1862" s="127" t="s">
        <v>746</v>
      </c>
      <c r="I1862" s="127" t="s">
        <v>228</v>
      </c>
      <c r="J1862" s="128">
        <v>410000</v>
      </c>
      <c r="K1862" s="127" t="s">
        <v>522</v>
      </c>
      <c r="L1862" s="151">
        <v>412130</v>
      </c>
      <c r="M1862" s="128">
        <v>0</v>
      </c>
      <c r="N1862" s="127" t="s">
        <v>524</v>
      </c>
      <c r="O1862" s="127" t="s">
        <v>457</v>
      </c>
      <c r="P1862" s="128">
        <v>0</v>
      </c>
      <c r="Q1862" s="128">
        <v>3035791.25</v>
      </c>
      <c r="R1862" s="128">
        <v>0</v>
      </c>
      <c r="S1862" s="128">
        <v>0</v>
      </c>
      <c r="T1862" s="128">
        <v>0</v>
      </c>
      <c r="U1862" s="128">
        <v>3035791.25</v>
      </c>
      <c r="V1862" s="128">
        <v>0</v>
      </c>
      <c r="W1862" s="128">
        <v>3035791.25</v>
      </c>
      <c r="X1862" s="128">
        <v>0</v>
      </c>
      <c r="Y1862" s="128">
        <v>0</v>
      </c>
      <c r="Z1862" s="128">
        <v>0</v>
      </c>
      <c r="AA1862" s="128">
        <v>3035791.25</v>
      </c>
      <c r="AB1862" s="126">
        <f t="shared" si="198"/>
        <v>-0.30357912500000001</v>
      </c>
      <c r="AC1862" s="122" t="s">
        <v>1838</v>
      </c>
      <c r="AD1862" s="123">
        <f>SUMIF(E:E,E1862,AB:AB)</f>
        <v>-11.840329361000002</v>
      </c>
    </row>
    <row r="1863" spans="1:30" ht="12.75" hidden="1" customHeight="1">
      <c r="A1863" s="125" t="str">
        <f t="shared" si="195"/>
        <v>LIC08Profit on Sale-Mutual Fd Units</v>
      </c>
      <c r="B1863" s="125">
        <f>+IFERROR(VLOOKUP(L1863,'TB mapping'!A:D,4,0),0)</f>
        <v>0</v>
      </c>
      <c r="C1863" s="125">
        <f>+IFERROR(VLOOKUP(L1863,'TB mapping'!A:C,3,0),0)</f>
        <v>5.3</v>
      </c>
      <c r="D1863" s="125" t="str">
        <f t="shared" si="196"/>
        <v>LIC080</v>
      </c>
      <c r="E1863" s="125" t="str">
        <f t="shared" si="197"/>
        <v>LIC085.3</v>
      </c>
      <c r="F1863" s="158" t="str">
        <f>+VLOOKUP(H1863,'code mapping'!A:C,3,0)</f>
        <v>LIC08</v>
      </c>
      <c r="G1863" s="127" t="s">
        <v>453</v>
      </c>
      <c r="H1863" s="127" t="s">
        <v>746</v>
      </c>
      <c r="I1863" s="127" t="s">
        <v>228</v>
      </c>
      <c r="J1863" s="128">
        <v>410000</v>
      </c>
      <c r="K1863" s="127" t="s">
        <v>522</v>
      </c>
      <c r="L1863" s="151">
        <v>415102</v>
      </c>
      <c r="M1863" s="128">
        <v>0</v>
      </c>
      <c r="N1863" s="127" t="s">
        <v>526</v>
      </c>
      <c r="O1863" s="127" t="s">
        <v>457</v>
      </c>
      <c r="P1863" s="128">
        <v>0</v>
      </c>
      <c r="Q1863" s="128">
        <v>424056.81</v>
      </c>
      <c r="R1863" s="128">
        <v>0</v>
      </c>
      <c r="S1863" s="128">
        <v>0</v>
      </c>
      <c r="T1863" s="128">
        <v>0</v>
      </c>
      <c r="U1863" s="128">
        <v>424056.81</v>
      </c>
      <c r="V1863" s="128">
        <v>0</v>
      </c>
      <c r="W1863" s="128">
        <v>424056.81</v>
      </c>
      <c r="X1863" s="128">
        <v>0</v>
      </c>
      <c r="Y1863" s="128">
        <v>0</v>
      </c>
      <c r="Z1863" s="128">
        <v>0</v>
      </c>
      <c r="AA1863" s="128">
        <v>424056.81</v>
      </c>
      <c r="AB1863" s="126">
        <f t="shared" si="198"/>
        <v>-4.2405681000000001E-2</v>
      </c>
      <c r="AC1863" s="122" t="s">
        <v>1838</v>
      </c>
      <c r="AD1863" s="123">
        <f>SUMIF(E:E,E1863,AB:AB)</f>
        <v>-11.840329361000002</v>
      </c>
    </row>
    <row r="1864" spans="1:30" ht="12.75" hidden="1" customHeight="1">
      <c r="A1864" s="125" t="str">
        <f t="shared" si="195"/>
        <v>LIC08R/L Gain - Inter Sch Govt Bond</v>
      </c>
      <c r="B1864" s="125">
        <f>+IFERROR(VLOOKUP(L1864,'TB mapping'!A:D,4,0),0)</f>
        <v>0</v>
      </c>
      <c r="C1864" s="125">
        <f>+IFERROR(VLOOKUP(L1864,'TB mapping'!A:C,3,0),0)</f>
        <v>5.4</v>
      </c>
      <c r="D1864" s="125" t="str">
        <f t="shared" si="196"/>
        <v>LIC080</v>
      </c>
      <c r="E1864" s="125" t="str">
        <f t="shared" si="197"/>
        <v>LIC085.4</v>
      </c>
      <c r="F1864" s="158" t="str">
        <f>+VLOOKUP(H1864,'code mapping'!A:C,3,0)</f>
        <v>LIC08</v>
      </c>
      <c r="G1864" s="127" t="s">
        <v>453</v>
      </c>
      <c r="H1864" s="127" t="s">
        <v>746</v>
      </c>
      <c r="I1864" s="127" t="s">
        <v>228</v>
      </c>
      <c r="J1864" s="128">
        <v>410000</v>
      </c>
      <c r="K1864" s="127" t="s">
        <v>522</v>
      </c>
      <c r="L1864" s="151">
        <v>427304</v>
      </c>
      <c r="M1864" s="128">
        <v>0</v>
      </c>
      <c r="N1864" s="127" t="s">
        <v>527</v>
      </c>
      <c r="O1864" s="127" t="s">
        <v>457</v>
      </c>
      <c r="P1864" s="128">
        <v>0</v>
      </c>
      <c r="Q1864" s="128">
        <v>74375</v>
      </c>
      <c r="R1864" s="128">
        <v>0</v>
      </c>
      <c r="S1864" s="128">
        <v>0</v>
      </c>
      <c r="T1864" s="128">
        <v>0</v>
      </c>
      <c r="U1864" s="128">
        <v>74375</v>
      </c>
      <c r="V1864" s="128">
        <v>0</v>
      </c>
      <c r="W1864" s="128">
        <v>74375</v>
      </c>
      <c r="X1864" s="128">
        <v>0</v>
      </c>
      <c r="Y1864" s="128">
        <v>0</v>
      </c>
      <c r="Z1864" s="128">
        <v>0</v>
      </c>
      <c r="AA1864" s="128">
        <v>74375</v>
      </c>
      <c r="AB1864" s="126">
        <f t="shared" si="198"/>
        <v>-7.4374999999999997E-3</v>
      </c>
      <c r="AC1864" s="122" t="s">
        <v>1838</v>
      </c>
      <c r="AD1864" s="123">
        <f>SUMIF(E:E,E1864,AB:AB)</f>
        <v>0.30666968100000003</v>
      </c>
    </row>
    <row r="1865" spans="1:30" ht="12.75" hidden="1" customHeight="1">
      <c r="A1865" s="125" t="str">
        <f t="shared" si="195"/>
        <v>LIC08UR/L G/P - Equities</v>
      </c>
      <c r="B1865" s="125">
        <f>+IFERROR(VLOOKUP(L1865,'TB mapping'!A:D,4,0),0)</f>
        <v>0</v>
      </c>
      <c r="C1865" s="125" t="str">
        <f>+IFERROR(VLOOKUP(L1865,'TB mapping'!A:C,3,0),0)</f>
        <v>Ignore</v>
      </c>
      <c r="D1865" s="125" t="str">
        <f t="shared" si="196"/>
        <v>LIC080</v>
      </c>
      <c r="E1865" s="125" t="str">
        <f t="shared" si="197"/>
        <v>LIC08Ignore</v>
      </c>
      <c r="F1865" s="158" t="str">
        <f>+VLOOKUP(H1865,'code mapping'!A:C,3,0)</f>
        <v>LIC08</v>
      </c>
      <c r="G1865" s="127" t="s">
        <v>453</v>
      </c>
      <c r="H1865" s="127" t="s">
        <v>746</v>
      </c>
      <c r="I1865" s="127" t="s">
        <v>228</v>
      </c>
      <c r="J1865" s="128">
        <v>430000</v>
      </c>
      <c r="K1865" s="127" t="s">
        <v>528</v>
      </c>
      <c r="L1865" s="151">
        <v>431100</v>
      </c>
      <c r="M1865" s="128">
        <v>0</v>
      </c>
      <c r="N1865" s="127" t="s">
        <v>597</v>
      </c>
      <c r="O1865" s="127" t="s">
        <v>457</v>
      </c>
      <c r="P1865" s="128">
        <v>-57424201.880000003</v>
      </c>
      <c r="Q1865" s="128">
        <v>0</v>
      </c>
      <c r="R1865" s="128">
        <v>0</v>
      </c>
      <c r="S1865" s="128">
        <v>0</v>
      </c>
      <c r="T1865" s="128">
        <v>-57424201.880000003</v>
      </c>
      <c r="U1865" s="128">
        <v>0</v>
      </c>
      <c r="V1865" s="128">
        <v>-57424201.880000003</v>
      </c>
      <c r="W1865" s="128">
        <v>0</v>
      </c>
      <c r="X1865" s="128">
        <v>0</v>
      </c>
      <c r="Y1865" s="128">
        <v>0</v>
      </c>
      <c r="Z1865" s="128">
        <v>-57424201.880000003</v>
      </c>
      <c r="AA1865" s="128">
        <v>0</v>
      </c>
      <c r="AB1865" s="126">
        <f t="shared" si="198"/>
        <v>5.7424201880000005</v>
      </c>
      <c r="AC1865" s="122" t="s">
        <v>1838</v>
      </c>
      <c r="AD1865" s="123">
        <f>SUMIF(C:C,C1865,AB:AB)</f>
        <v>-291.7660984179999</v>
      </c>
    </row>
    <row r="1866" spans="1:30" ht="12.75" hidden="1" customHeight="1">
      <c r="A1866" s="125" t="str">
        <f t="shared" si="195"/>
        <v>LIC08UR/L G/P - Treasury Bills</v>
      </c>
      <c r="B1866" s="125">
        <f>+IFERROR(VLOOKUP(L1866,'TB mapping'!A:D,4,0),0)</f>
        <v>0</v>
      </c>
      <c r="C1866" s="125" t="str">
        <f>+IFERROR(VLOOKUP(L1866,'TB mapping'!A:C,3,0),0)</f>
        <v>Ignore</v>
      </c>
      <c r="D1866" s="125" t="str">
        <f t="shared" si="196"/>
        <v>LIC080</v>
      </c>
      <c r="E1866" s="125" t="str">
        <f t="shared" si="197"/>
        <v>LIC08Ignore</v>
      </c>
      <c r="F1866" s="158" t="str">
        <f>+VLOOKUP(H1866,'code mapping'!A:C,3,0)</f>
        <v>LIC08</v>
      </c>
      <c r="G1866" s="127" t="s">
        <v>453</v>
      </c>
      <c r="H1866" s="127" t="s">
        <v>746</v>
      </c>
      <c r="I1866" s="127" t="s">
        <v>228</v>
      </c>
      <c r="J1866" s="128">
        <v>430000</v>
      </c>
      <c r="K1866" s="127" t="s">
        <v>528</v>
      </c>
      <c r="L1866" s="151">
        <v>432110</v>
      </c>
      <c r="M1866" s="128">
        <v>0</v>
      </c>
      <c r="N1866" s="127" t="s">
        <v>661</v>
      </c>
      <c r="O1866" s="127" t="s">
        <v>457</v>
      </c>
      <c r="P1866" s="128">
        <v>0</v>
      </c>
      <c r="Q1866" s="128">
        <v>21023.040000000001</v>
      </c>
      <c r="R1866" s="128">
        <v>0</v>
      </c>
      <c r="S1866" s="128">
        <v>0</v>
      </c>
      <c r="T1866" s="128">
        <v>0</v>
      </c>
      <c r="U1866" s="128">
        <v>21023.040000000001</v>
      </c>
      <c r="V1866" s="128">
        <v>0</v>
      </c>
      <c r="W1866" s="128">
        <v>21023.040000000001</v>
      </c>
      <c r="X1866" s="128">
        <v>0</v>
      </c>
      <c r="Y1866" s="128">
        <v>0</v>
      </c>
      <c r="Z1866" s="128">
        <v>0</v>
      </c>
      <c r="AA1866" s="128">
        <v>21023.040000000001</v>
      </c>
      <c r="AB1866" s="126">
        <f t="shared" si="198"/>
        <v>-2.1023040000000002E-3</v>
      </c>
      <c r="AC1866" s="122" t="s">
        <v>1838</v>
      </c>
      <c r="AD1866" s="123">
        <f>SUMIF(C:C,C1866,AB:AB)</f>
        <v>-291.7660984179999</v>
      </c>
    </row>
    <row r="1867" spans="1:30" ht="12.75" hidden="1" customHeight="1">
      <c r="A1867" s="125" t="str">
        <f t="shared" si="195"/>
        <v>LIC08UR/L G/P - Corp Bond/Debenture</v>
      </c>
      <c r="B1867" s="125">
        <f>+IFERROR(VLOOKUP(L1867,'TB mapping'!A:D,4,0),0)</f>
        <v>0</v>
      </c>
      <c r="C1867" s="125" t="str">
        <f>+IFERROR(VLOOKUP(L1867,'TB mapping'!A:C,3,0),0)</f>
        <v>Ignore</v>
      </c>
      <c r="D1867" s="125" t="str">
        <f t="shared" si="196"/>
        <v>LIC080</v>
      </c>
      <c r="E1867" s="125" t="str">
        <f t="shared" si="197"/>
        <v>LIC08Ignore</v>
      </c>
      <c r="F1867" s="158" t="str">
        <f>+VLOOKUP(H1867,'code mapping'!A:C,3,0)</f>
        <v>LIC08</v>
      </c>
      <c r="G1867" s="127" t="s">
        <v>453</v>
      </c>
      <c r="H1867" s="127" t="s">
        <v>746</v>
      </c>
      <c r="I1867" s="127" t="s">
        <v>228</v>
      </c>
      <c r="J1867" s="128">
        <v>430000</v>
      </c>
      <c r="K1867" s="127" t="s">
        <v>528</v>
      </c>
      <c r="L1867" s="151">
        <v>432120</v>
      </c>
      <c r="M1867" s="128">
        <v>0</v>
      </c>
      <c r="N1867" s="127" t="s">
        <v>529</v>
      </c>
      <c r="O1867" s="127" t="s">
        <v>457</v>
      </c>
      <c r="P1867" s="128">
        <v>-759555.9</v>
      </c>
      <c r="Q1867" s="128">
        <v>0</v>
      </c>
      <c r="R1867" s="128">
        <v>0</v>
      </c>
      <c r="S1867" s="128">
        <v>0</v>
      </c>
      <c r="T1867" s="128">
        <v>-759555.9</v>
      </c>
      <c r="U1867" s="128">
        <v>0</v>
      </c>
      <c r="V1867" s="128">
        <v>-759555.9</v>
      </c>
      <c r="W1867" s="128">
        <v>0</v>
      </c>
      <c r="X1867" s="128">
        <v>0</v>
      </c>
      <c r="Y1867" s="128">
        <v>0</v>
      </c>
      <c r="Z1867" s="128">
        <v>-759555.9</v>
      </c>
      <c r="AA1867" s="128">
        <v>0</v>
      </c>
      <c r="AB1867" s="126">
        <f t="shared" si="198"/>
        <v>7.5955590000000003E-2</v>
      </c>
      <c r="AC1867" s="122" t="s">
        <v>1838</v>
      </c>
      <c r="AD1867" s="123">
        <f>SUMIF(C:C,C1867,AB:AB)</f>
        <v>-291.7660984179999</v>
      </c>
    </row>
    <row r="1868" spans="1:30" ht="12.75" hidden="1" customHeight="1">
      <c r="A1868" s="125" t="str">
        <f t="shared" si="195"/>
        <v>LIC08UR/L G/P - Government Bonds</v>
      </c>
      <c r="B1868" s="125">
        <f>+IFERROR(VLOOKUP(L1868,'TB mapping'!A:D,4,0),0)</f>
        <v>0</v>
      </c>
      <c r="C1868" s="125" t="str">
        <f>+IFERROR(VLOOKUP(L1868,'TB mapping'!A:C,3,0),0)</f>
        <v>Ignore</v>
      </c>
      <c r="D1868" s="125" t="str">
        <f t="shared" si="196"/>
        <v>LIC080</v>
      </c>
      <c r="E1868" s="125" t="str">
        <f t="shared" si="197"/>
        <v>LIC08Ignore</v>
      </c>
      <c r="F1868" s="158" t="str">
        <f>+VLOOKUP(H1868,'code mapping'!A:C,3,0)</f>
        <v>LIC08</v>
      </c>
      <c r="G1868" s="127" t="s">
        <v>453</v>
      </c>
      <c r="H1868" s="127" t="s">
        <v>746</v>
      </c>
      <c r="I1868" s="127" t="s">
        <v>228</v>
      </c>
      <c r="J1868" s="128">
        <v>430000</v>
      </c>
      <c r="K1868" s="127" t="s">
        <v>528</v>
      </c>
      <c r="L1868" s="151">
        <v>432130</v>
      </c>
      <c r="M1868" s="128">
        <v>0</v>
      </c>
      <c r="N1868" s="127" t="s">
        <v>530</v>
      </c>
      <c r="O1868" s="127" t="s">
        <v>457</v>
      </c>
      <c r="P1868" s="128">
        <v>-3179512.08</v>
      </c>
      <c r="Q1868" s="128">
        <v>0</v>
      </c>
      <c r="R1868" s="128">
        <v>0</v>
      </c>
      <c r="S1868" s="128">
        <v>0</v>
      </c>
      <c r="T1868" s="128">
        <v>-3179512.08</v>
      </c>
      <c r="U1868" s="128">
        <v>0</v>
      </c>
      <c r="V1868" s="128">
        <v>-3179512.08</v>
      </c>
      <c r="W1868" s="128">
        <v>0</v>
      </c>
      <c r="X1868" s="128">
        <v>0</v>
      </c>
      <c r="Y1868" s="128">
        <v>0</v>
      </c>
      <c r="Z1868" s="128">
        <v>-3179512.08</v>
      </c>
      <c r="AA1868" s="128">
        <v>0</v>
      </c>
      <c r="AB1868" s="126">
        <f t="shared" si="198"/>
        <v>0.31795120799999999</v>
      </c>
      <c r="AC1868" s="122" t="s">
        <v>1838</v>
      </c>
      <c r="AD1868" s="123">
        <f>SUMIF(C:C,C1868,AB:AB)</f>
        <v>-291.7660984179999</v>
      </c>
    </row>
    <row r="1869" spans="1:30" ht="12.75" hidden="1" customHeight="1">
      <c r="A1869" s="125" t="str">
        <f t="shared" si="195"/>
        <v>LIC08Dividend Income - Equities</v>
      </c>
      <c r="B1869" s="125">
        <f>+IFERROR(VLOOKUP(L1869,'TB mapping'!A:D,4,0),0)</f>
        <v>0</v>
      </c>
      <c r="C1869" s="125">
        <f>+IFERROR(VLOOKUP(L1869,'TB mapping'!A:C,3,0),0)</f>
        <v>5.0999999999999996</v>
      </c>
      <c r="D1869" s="125" t="str">
        <f t="shared" si="196"/>
        <v>LIC080</v>
      </c>
      <c r="E1869" s="125" t="str">
        <f t="shared" si="197"/>
        <v>LIC085.1</v>
      </c>
      <c r="F1869" s="158" t="str">
        <f>+VLOOKUP(H1869,'code mapping'!A:C,3,0)</f>
        <v>LIC08</v>
      </c>
      <c r="G1869" s="127" t="s">
        <v>453</v>
      </c>
      <c r="H1869" s="127" t="s">
        <v>746</v>
      </c>
      <c r="I1869" s="127" t="s">
        <v>228</v>
      </c>
      <c r="J1869" s="128">
        <v>450000</v>
      </c>
      <c r="K1869" s="127" t="s">
        <v>532</v>
      </c>
      <c r="L1869" s="151">
        <v>451100</v>
      </c>
      <c r="M1869" s="128">
        <v>0</v>
      </c>
      <c r="N1869" s="127" t="s">
        <v>598</v>
      </c>
      <c r="O1869" s="127" t="s">
        <v>457</v>
      </c>
      <c r="P1869" s="128">
        <v>0</v>
      </c>
      <c r="Q1869" s="128">
        <v>15679958.699999999</v>
      </c>
      <c r="R1869" s="128">
        <v>0</v>
      </c>
      <c r="S1869" s="128">
        <v>0</v>
      </c>
      <c r="T1869" s="128">
        <v>0</v>
      </c>
      <c r="U1869" s="128">
        <v>15679958.699999999</v>
      </c>
      <c r="V1869" s="128">
        <v>0</v>
      </c>
      <c r="W1869" s="128">
        <v>15679958.699999999</v>
      </c>
      <c r="X1869" s="128">
        <v>0</v>
      </c>
      <c r="Y1869" s="128">
        <v>0</v>
      </c>
      <c r="Z1869" s="128">
        <v>0</v>
      </c>
      <c r="AA1869" s="128">
        <v>15679958.699999999</v>
      </c>
      <c r="AB1869" s="126">
        <f t="shared" si="198"/>
        <v>-1.5679958699999998</v>
      </c>
      <c r="AC1869" s="122" t="s">
        <v>1838</v>
      </c>
      <c r="AD1869" s="123">
        <f t="shared" ref="AD1869:AD1913" si="200">SUMIF(E:E,E1869,AB:AB)</f>
        <v>-1.5679958699999998</v>
      </c>
    </row>
    <row r="1870" spans="1:30" ht="12.75" hidden="1" customHeight="1">
      <c r="A1870" s="125" t="str">
        <f t="shared" si="195"/>
        <v>LIC08Amort Income -Treasury Bills</v>
      </c>
      <c r="B1870" s="125">
        <f>+IFERROR(VLOOKUP(L1870,'TB mapping'!A:D,4,0),0)</f>
        <v>0</v>
      </c>
      <c r="C1870" s="125">
        <f>+IFERROR(VLOOKUP(L1870,'TB mapping'!A:C,3,0),0)</f>
        <v>5.2</v>
      </c>
      <c r="D1870" s="125" t="str">
        <f t="shared" si="196"/>
        <v>LIC080</v>
      </c>
      <c r="E1870" s="125" t="str">
        <f t="shared" si="197"/>
        <v>LIC085.2</v>
      </c>
      <c r="F1870" s="158" t="str">
        <f>+VLOOKUP(H1870,'code mapping'!A:C,3,0)</f>
        <v>LIC08</v>
      </c>
      <c r="G1870" s="127" t="s">
        <v>453</v>
      </c>
      <c r="H1870" s="127" t="s">
        <v>746</v>
      </c>
      <c r="I1870" s="127" t="s">
        <v>228</v>
      </c>
      <c r="J1870" s="128">
        <v>450000</v>
      </c>
      <c r="K1870" s="127" t="s">
        <v>532</v>
      </c>
      <c r="L1870" s="151">
        <v>452110</v>
      </c>
      <c r="M1870" s="128">
        <v>0</v>
      </c>
      <c r="N1870" s="127" t="s">
        <v>632</v>
      </c>
      <c r="O1870" s="127" t="s">
        <v>457</v>
      </c>
      <c r="P1870" s="128">
        <v>0</v>
      </c>
      <c r="Q1870" s="128">
        <v>2863156.46</v>
      </c>
      <c r="R1870" s="128">
        <v>0</v>
      </c>
      <c r="S1870" s="128">
        <v>0</v>
      </c>
      <c r="T1870" s="128">
        <v>0</v>
      </c>
      <c r="U1870" s="128">
        <v>2863156.46</v>
      </c>
      <c r="V1870" s="128">
        <v>0</v>
      </c>
      <c r="W1870" s="128">
        <v>2863156.46</v>
      </c>
      <c r="X1870" s="128">
        <v>0</v>
      </c>
      <c r="Y1870" s="128">
        <v>0</v>
      </c>
      <c r="Z1870" s="128">
        <v>0</v>
      </c>
      <c r="AA1870" s="128">
        <v>2863156.46</v>
      </c>
      <c r="AB1870" s="126">
        <f t="shared" si="198"/>
        <v>-0.28631564599999998</v>
      </c>
      <c r="AC1870" s="122" t="s">
        <v>1838</v>
      </c>
      <c r="AD1870" s="123">
        <f t="shared" si="200"/>
        <v>-5.1834094099999994</v>
      </c>
    </row>
    <row r="1871" spans="1:30" ht="12.75" hidden="1" customHeight="1">
      <c r="A1871" s="125" t="str">
        <f t="shared" si="195"/>
        <v>LIC08Interest Income - CCIL Margin</v>
      </c>
      <c r="B1871" s="125">
        <f>+IFERROR(VLOOKUP(L1871,'TB mapping'!A:D,4,0),0)</f>
        <v>0</v>
      </c>
      <c r="C1871" s="125">
        <f>+IFERROR(VLOOKUP(L1871,'TB mapping'!A:C,3,0),0)</f>
        <v>5.2</v>
      </c>
      <c r="D1871" s="125" t="str">
        <f t="shared" si="196"/>
        <v>LIC080</v>
      </c>
      <c r="E1871" s="125" t="str">
        <f t="shared" si="197"/>
        <v>LIC085.2</v>
      </c>
      <c r="F1871" s="158" t="str">
        <f>+VLOOKUP(H1871,'code mapping'!A:C,3,0)</f>
        <v>LIC08</v>
      </c>
      <c r="G1871" s="127" t="s">
        <v>453</v>
      </c>
      <c r="H1871" s="127" t="s">
        <v>746</v>
      </c>
      <c r="I1871" s="127" t="s">
        <v>228</v>
      </c>
      <c r="J1871" s="128">
        <v>450000</v>
      </c>
      <c r="K1871" s="127" t="s">
        <v>532</v>
      </c>
      <c r="L1871" s="151">
        <v>452111</v>
      </c>
      <c r="M1871" s="128">
        <v>0</v>
      </c>
      <c r="N1871" s="127" t="s">
        <v>533</v>
      </c>
      <c r="O1871" s="127" t="s">
        <v>457</v>
      </c>
      <c r="P1871" s="128">
        <v>0</v>
      </c>
      <c r="Q1871" s="128">
        <v>1466.47</v>
      </c>
      <c r="R1871" s="128">
        <v>0</v>
      </c>
      <c r="S1871" s="128">
        <v>0</v>
      </c>
      <c r="T1871" s="128">
        <v>0</v>
      </c>
      <c r="U1871" s="128">
        <v>1466.47</v>
      </c>
      <c r="V1871" s="128">
        <v>0</v>
      </c>
      <c r="W1871" s="128">
        <v>1466.47</v>
      </c>
      <c r="X1871" s="128">
        <v>0</v>
      </c>
      <c r="Y1871" s="128">
        <v>0</v>
      </c>
      <c r="Z1871" s="128">
        <v>0</v>
      </c>
      <c r="AA1871" s="128">
        <v>1466.47</v>
      </c>
      <c r="AB1871" s="126">
        <f t="shared" si="198"/>
        <v>-1.4664699999999999E-4</v>
      </c>
      <c r="AC1871" s="122" t="s">
        <v>1838</v>
      </c>
      <c r="AD1871" s="123">
        <f t="shared" si="200"/>
        <v>-5.1834094099999994</v>
      </c>
    </row>
    <row r="1872" spans="1:30" ht="12.75" hidden="1" customHeight="1">
      <c r="A1872" s="125" t="str">
        <f t="shared" si="195"/>
        <v>LIC08Int Income - Corporate Bonds</v>
      </c>
      <c r="B1872" s="125">
        <f>+IFERROR(VLOOKUP(L1872,'TB mapping'!A:D,4,0),0)</f>
        <v>0</v>
      </c>
      <c r="C1872" s="125">
        <f>+IFERROR(VLOOKUP(L1872,'TB mapping'!A:C,3,0),0)</f>
        <v>5.2</v>
      </c>
      <c r="D1872" s="125" t="str">
        <f t="shared" si="196"/>
        <v>LIC080</v>
      </c>
      <c r="E1872" s="125" t="str">
        <f t="shared" si="197"/>
        <v>LIC085.2</v>
      </c>
      <c r="F1872" s="158" t="str">
        <f>+VLOOKUP(H1872,'code mapping'!A:C,3,0)</f>
        <v>LIC08</v>
      </c>
      <c r="G1872" s="127" t="s">
        <v>453</v>
      </c>
      <c r="H1872" s="127" t="s">
        <v>746</v>
      </c>
      <c r="I1872" s="127" t="s">
        <v>228</v>
      </c>
      <c r="J1872" s="128">
        <v>450000</v>
      </c>
      <c r="K1872" s="127" t="s">
        <v>532</v>
      </c>
      <c r="L1872" s="151">
        <v>452120</v>
      </c>
      <c r="M1872" s="128">
        <v>0</v>
      </c>
      <c r="N1872" s="127" t="s">
        <v>534</v>
      </c>
      <c r="O1872" s="127" t="s">
        <v>457</v>
      </c>
      <c r="P1872" s="128">
        <v>0</v>
      </c>
      <c r="Q1872" s="128">
        <v>18283023.329999998</v>
      </c>
      <c r="R1872" s="128">
        <v>0</v>
      </c>
      <c r="S1872" s="128">
        <v>0</v>
      </c>
      <c r="T1872" s="128">
        <v>0</v>
      </c>
      <c r="U1872" s="128">
        <v>18283023.329999998</v>
      </c>
      <c r="V1872" s="128">
        <v>0</v>
      </c>
      <c r="W1872" s="128">
        <v>18283023.329999998</v>
      </c>
      <c r="X1872" s="128">
        <v>0</v>
      </c>
      <c r="Y1872" s="128">
        <v>0</v>
      </c>
      <c r="Z1872" s="128">
        <v>0</v>
      </c>
      <c r="AA1872" s="128">
        <v>18283023.329999998</v>
      </c>
      <c r="AB1872" s="126">
        <f t="shared" si="198"/>
        <v>-1.8283023329999999</v>
      </c>
      <c r="AC1872" s="122" t="s">
        <v>1838</v>
      </c>
      <c r="AD1872" s="123">
        <f t="shared" si="200"/>
        <v>-5.1834094099999994</v>
      </c>
    </row>
    <row r="1873" spans="1:30" ht="12.75" hidden="1" customHeight="1">
      <c r="A1873" s="125" t="str">
        <f t="shared" si="195"/>
        <v>LIC08Int Income - Government Bonds</v>
      </c>
      <c r="B1873" s="125">
        <f>+IFERROR(VLOOKUP(L1873,'TB mapping'!A:D,4,0),0)</f>
        <v>0</v>
      </c>
      <c r="C1873" s="125">
        <f>+IFERROR(VLOOKUP(L1873,'TB mapping'!A:C,3,0),0)</f>
        <v>5.2</v>
      </c>
      <c r="D1873" s="125" t="str">
        <f t="shared" si="196"/>
        <v>LIC080</v>
      </c>
      <c r="E1873" s="125" t="str">
        <f t="shared" si="197"/>
        <v>LIC085.2</v>
      </c>
      <c r="F1873" s="158" t="str">
        <f>+VLOOKUP(H1873,'code mapping'!A:C,3,0)</f>
        <v>LIC08</v>
      </c>
      <c r="G1873" s="127" t="s">
        <v>453</v>
      </c>
      <c r="H1873" s="127" t="s">
        <v>746</v>
      </c>
      <c r="I1873" s="127" t="s">
        <v>228</v>
      </c>
      <c r="J1873" s="128">
        <v>450000</v>
      </c>
      <c r="K1873" s="127" t="s">
        <v>532</v>
      </c>
      <c r="L1873" s="151">
        <v>452130</v>
      </c>
      <c r="M1873" s="128">
        <v>0</v>
      </c>
      <c r="N1873" s="127" t="s">
        <v>535</v>
      </c>
      <c r="O1873" s="127" t="s">
        <v>457</v>
      </c>
      <c r="P1873" s="128">
        <v>0</v>
      </c>
      <c r="Q1873" s="128">
        <v>17323498.370000001</v>
      </c>
      <c r="R1873" s="128">
        <v>0</v>
      </c>
      <c r="S1873" s="128">
        <v>0</v>
      </c>
      <c r="T1873" s="128">
        <v>0</v>
      </c>
      <c r="U1873" s="128">
        <v>17323498.370000001</v>
      </c>
      <c r="V1873" s="128">
        <v>0</v>
      </c>
      <c r="W1873" s="128">
        <v>17323498.370000001</v>
      </c>
      <c r="X1873" s="128">
        <v>0</v>
      </c>
      <c r="Y1873" s="128">
        <v>0</v>
      </c>
      <c r="Z1873" s="128">
        <v>0</v>
      </c>
      <c r="AA1873" s="128">
        <v>17323498.370000001</v>
      </c>
      <c r="AB1873" s="126">
        <f t="shared" si="198"/>
        <v>-1.7323498370000001</v>
      </c>
      <c r="AC1873" s="122" t="s">
        <v>1838</v>
      </c>
      <c r="AD1873" s="123">
        <f t="shared" si="200"/>
        <v>-5.1834094099999994</v>
      </c>
    </row>
    <row r="1874" spans="1:30" ht="12.75" hidden="1" customHeight="1">
      <c r="A1874" s="125" t="str">
        <f t="shared" si="195"/>
        <v>LIC08Amort. Income - CP</v>
      </c>
      <c r="B1874" s="125">
        <f>+IFERROR(VLOOKUP(L1874,'TB mapping'!A:D,4,0),0)</f>
        <v>0</v>
      </c>
      <c r="C1874" s="125">
        <f>+IFERROR(VLOOKUP(L1874,'TB mapping'!A:C,3,0),0)</f>
        <v>5.2</v>
      </c>
      <c r="D1874" s="125" t="str">
        <f t="shared" si="196"/>
        <v>LIC080</v>
      </c>
      <c r="E1874" s="125" t="str">
        <f t="shared" si="197"/>
        <v>LIC085.2</v>
      </c>
      <c r="F1874" s="158" t="str">
        <f>+VLOOKUP(H1874,'code mapping'!A:C,3,0)</f>
        <v>LIC08</v>
      </c>
      <c r="G1874" s="127" t="s">
        <v>453</v>
      </c>
      <c r="H1874" s="127" t="s">
        <v>746</v>
      </c>
      <c r="I1874" s="127" t="s">
        <v>228</v>
      </c>
      <c r="J1874" s="128">
        <v>450000</v>
      </c>
      <c r="K1874" s="127" t="s">
        <v>532</v>
      </c>
      <c r="L1874" s="151">
        <v>452180</v>
      </c>
      <c r="M1874" s="128">
        <v>0</v>
      </c>
      <c r="N1874" s="127" t="s">
        <v>663</v>
      </c>
      <c r="O1874" s="127" t="s">
        <v>457</v>
      </c>
      <c r="P1874" s="128">
        <v>0</v>
      </c>
      <c r="Q1874" s="128">
        <v>41750</v>
      </c>
      <c r="R1874" s="128">
        <v>0</v>
      </c>
      <c r="S1874" s="128">
        <v>0</v>
      </c>
      <c r="T1874" s="128">
        <v>0</v>
      </c>
      <c r="U1874" s="128">
        <v>41750</v>
      </c>
      <c r="V1874" s="128">
        <v>0</v>
      </c>
      <c r="W1874" s="128">
        <v>41750</v>
      </c>
      <c r="X1874" s="128">
        <v>0</v>
      </c>
      <c r="Y1874" s="128">
        <v>0</v>
      </c>
      <c r="Z1874" s="128">
        <v>0</v>
      </c>
      <c r="AA1874" s="128">
        <v>41750</v>
      </c>
      <c r="AB1874" s="126">
        <f t="shared" si="198"/>
        <v>-4.1749999999999999E-3</v>
      </c>
      <c r="AC1874" s="122" t="s">
        <v>1838</v>
      </c>
      <c r="AD1874" s="123">
        <f t="shared" si="200"/>
        <v>-5.1834094099999994</v>
      </c>
    </row>
    <row r="1875" spans="1:30" ht="12.75" hidden="1" customHeight="1">
      <c r="A1875" s="125" t="str">
        <f t="shared" si="195"/>
        <v>LIC08Amort. Income - CD</v>
      </c>
      <c r="B1875" s="125">
        <f>+IFERROR(VLOOKUP(L1875,'TB mapping'!A:D,4,0),0)</f>
        <v>0</v>
      </c>
      <c r="C1875" s="125">
        <f>+IFERROR(VLOOKUP(L1875,'TB mapping'!A:C,3,0),0)</f>
        <v>5.2</v>
      </c>
      <c r="D1875" s="125" t="str">
        <f t="shared" si="196"/>
        <v>LIC080</v>
      </c>
      <c r="E1875" s="125" t="str">
        <f t="shared" si="197"/>
        <v>LIC085.2</v>
      </c>
      <c r="F1875" s="158" t="str">
        <f>+VLOOKUP(H1875,'code mapping'!A:C,3,0)</f>
        <v>LIC08</v>
      </c>
      <c r="G1875" s="127" t="s">
        <v>453</v>
      </c>
      <c r="H1875" s="127" t="s">
        <v>746</v>
      </c>
      <c r="I1875" s="127" t="s">
        <v>228</v>
      </c>
      <c r="J1875" s="128">
        <v>450000</v>
      </c>
      <c r="K1875" s="127" t="s">
        <v>532</v>
      </c>
      <c r="L1875" s="151">
        <v>452181</v>
      </c>
      <c r="M1875" s="128">
        <v>0</v>
      </c>
      <c r="N1875" s="127" t="s">
        <v>664</v>
      </c>
      <c r="O1875" s="127" t="s">
        <v>457</v>
      </c>
      <c r="P1875" s="128">
        <v>0</v>
      </c>
      <c r="Q1875" s="128">
        <v>2541000</v>
      </c>
      <c r="R1875" s="128">
        <v>0</v>
      </c>
      <c r="S1875" s="128">
        <v>0</v>
      </c>
      <c r="T1875" s="128">
        <v>0</v>
      </c>
      <c r="U1875" s="128">
        <v>2541000</v>
      </c>
      <c r="V1875" s="128">
        <v>0</v>
      </c>
      <c r="W1875" s="128">
        <v>2541000</v>
      </c>
      <c r="X1875" s="128">
        <v>0</v>
      </c>
      <c r="Y1875" s="128">
        <v>0</v>
      </c>
      <c r="Z1875" s="128">
        <v>0</v>
      </c>
      <c r="AA1875" s="128">
        <v>2541000</v>
      </c>
      <c r="AB1875" s="126">
        <f t="shared" si="198"/>
        <v>-0.25409999999999999</v>
      </c>
      <c r="AC1875" s="122" t="s">
        <v>1838</v>
      </c>
      <c r="AD1875" s="123">
        <f t="shared" si="200"/>
        <v>-5.1834094099999994</v>
      </c>
    </row>
    <row r="1876" spans="1:30" ht="12.75" hidden="1" customHeight="1">
      <c r="A1876" s="125" t="str">
        <f t="shared" si="195"/>
        <v>LIC08Amort. Income - CBLO</v>
      </c>
      <c r="B1876" s="125">
        <f>+IFERROR(VLOOKUP(L1876,'TB mapping'!A:D,4,0),0)</f>
        <v>0</v>
      </c>
      <c r="C1876" s="125">
        <f>+IFERROR(VLOOKUP(L1876,'TB mapping'!A:C,3,0),0)</f>
        <v>5.2</v>
      </c>
      <c r="D1876" s="125" t="str">
        <f t="shared" si="196"/>
        <v>LIC080</v>
      </c>
      <c r="E1876" s="125" t="str">
        <f t="shared" si="197"/>
        <v>LIC085.2</v>
      </c>
      <c r="F1876" s="158" t="str">
        <f>+VLOOKUP(H1876,'code mapping'!A:C,3,0)</f>
        <v>LIC08</v>
      </c>
      <c r="G1876" s="127" t="s">
        <v>453</v>
      </c>
      <c r="H1876" s="127" t="s">
        <v>746</v>
      </c>
      <c r="I1876" s="127" t="s">
        <v>228</v>
      </c>
      <c r="J1876" s="128">
        <v>450000</v>
      </c>
      <c r="K1876" s="127" t="s">
        <v>532</v>
      </c>
      <c r="L1876" s="151">
        <v>452228</v>
      </c>
      <c r="M1876" s="128">
        <v>0</v>
      </c>
      <c r="N1876" s="127" t="s">
        <v>537</v>
      </c>
      <c r="O1876" s="127" t="s">
        <v>457</v>
      </c>
      <c r="P1876" s="128">
        <v>0</v>
      </c>
      <c r="Q1876" s="128">
        <v>10237388.789999999</v>
      </c>
      <c r="R1876" s="128">
        <v>0</v>
      </c>
      <c r="S1876" s="128">
        <v>0</v>
      </c>
      <c r="T1876" s="128">
        <v>0</v>
      </c>
      <c r="U1876" s="128">
        <v>10237388.789999999</v>
      </c>
      <c r="V1876" s="128">
        <v>0</v>
      </c>
      <c r="W1876" s="128">
        <v>10237388.789999999</v>
      </c>
      <c r="X1876" s="128">
        <v>0</v>
      </c>
      <c r="Y1876" s="128">
        <v>0</v>
      </c>
      <c r="Z1876" s="128">
        <v>0</v>
      </c>
      <c r="AA1876" s="128">
        <v>10237388.789999999</v>
      </c>
      <c r="AB1876" s="126">
        <f t="shared" si="198"/>
        <v>-1.0237388789999999</v>
      </c>
      <c r="AC1876" s="122" t="s">
        <v>1838</v>
      </c>
      <c r="AD1876" s="123">
        <f t="shared" si="200"/>
        <v>-5.1834094099999994</v>
      </c>
    </row>
    <row r="1877" spans="1:30" ht="12.75" hidden="1" customHeight="1">
      <c r="A1877" s="125" t="str">
        <f t="shared" si="195"/>
        <v>LIC08Int Income - Repo Deposits</v>
      </c>
      <c r="B1877" s="125">
        <f>+IFERROR(VLOOKUP(L1877,'TB mapping'!A:D,4,0),0)</f>
        <v>0</v>
      </c>
      <c r="C1877" s="125">
        <f>+IFERROR(VLOOKUP(L1877,'TB mapping'!A:C,3,0),0)</f>
        <v>5.2</v>
      </c>
      <c r="D1877" s="125" t="str">
        <f t="shared" si="196"/>
        <v>LIC080</v>
      </c>
      <c r="E1877" s="125" t="str">
        <f t="shared" si="197"/>
        <v>LIC085.2</v>
      </c>
      <c r="F1877" s="158" t="str">
        <f>+VLOOKUP(H1877,'code mapping'!A:C,3,0)</f>
        <v>LIC08</v>
      </c>
      <c r="G1877" s="127" t="s">
        <v>453</v>
      </c>
      <c r="H1877" s="127" t="s">
        <v>746</v>
      </c>
      <c r="I1877" s="127" t="s">
        <v>228</v>
      </c>
      <c r="J1877" s="128">
        <v>450000</v>
      </c>
      <c r="K1877" s="127" t="s">
        <v>532</v>
      </c>
      <c r="L1877" s="151">
        <v>452230</v>
      </c>
      <c r="M1877" s="128">
        <v>0</v>
      </c>
      <c r="N1877" s="127" t="s">
        <v>538</v>
      </c>
      <c r="O1877" s="127" t="s">
        <v>457</v>
      </c>
      <c r="P1877" s="128">
        <v>0</v>
      </c>
      <c r="Q1877" s="128">
        <v>542810.68000000005</v>
      </c>
      <c r="R1877" s="128">
        <v>0</v>
      </c>
      <c r="S1877" s="128">
        <v>0</v>
      </c>
      <c r="T1877" s="128">
        <v>0</v>
      </c>
      <c r="U1877" s="128">
        <v>542810.68000000005</v>
      </c>
      <c r="V1877" s="128">
        <v>0</v>
      </c>
      <c r="W1877" s="128">
        <v>542810.68000000005</v>
      </c>
      <c r="X1877" s="128">
        <v>0</v>
      </c>
      <c r="Y1877" s="128">
        <v>0</v>
      </c>
      <c r="Z1877" s="128">
        <v>0</v>
      </c>
      <c r="AA1877" s="128">
        <v>542810.68000000005</v>
      </c>
      <c r="AB1877" s="126">
        <f t="shared" si="198"/>
        <v>-5.4281068000000002E-2</v>
      </c>
      <c r="AC1877" s="122" t="s">
        <v>1838</v>
      </c>
      <c r="AD1877" s="123">
        <f t="shared" si="200"/>
        <v>-5.1834094099999994</v>
      </c>
    </row>
    <row r="1878" spans="1:30" ht="12.75" hidden="1" customHeight="1">
      <c r="A1878" s="125" t="str">
        <f t="shared" si="195"/>
        <v>LIC08Load Income</v>
      </c>
      <c r="B1878" s="125">
        <f>+IFERROR(VLOOKUP(L1878,'TB mapping'!A:D,4,0),0)</f>
        <v>0</v>
      </c>
      <c r="C1878" s="125">
        <f>+IFERROR(VLOOKUP(L1878,'TB mapping'!A:C,3,0),0)</f>
        <v>5.5</v>
      </c>
      <c r="D1878" s="125" t="str">
        <f t="shared" si="196"/>
        <v>LIC080</v>
      </c>
      <c r="E1878" s="125" t="str">
        <f t="shared" si="197"/>
        <v>LIC085.5</v>
      </c>
      <c r="F1878" s="158" t="str">
        <f>+VLOOKUP(H1878,'code mapping'!A:C,3,0)</f>
        <v>LIC08</v>
      </c>
      <c r="G1878" s="127" t="s">
        <v>453</v>
      </c>
      <c r="H1878" s="127" t="s">
        <v>746</v>
      </c>
      <c r="I1878" s="127" t="s">
        <v>228</v>
      </c>
      <c r="J1878" s="128">
        <v>460000</v>
      </c>
      <c r="K1878" s="127" t="s">
        <v>539</v>
      </c>
      <c r="L1878" s="151">
        <v>455103</v>
      </c>
      <c r="M1878" s="128">
        <v>0</v>
      </c>
      <c r="N1878" s="127" t="s">
        <v>540</v>
      </c>
      <c r="O1878" s="127" t="s">
        <v>457</v>
      </c>
      <c r="P1878" s="128">
        <v>0</v>
      </c>
      <c r="Q1878" s="128">
        <v>1720352.02</v>
      </c>
      <c r="R1878" s="128">
        <v>0</v>
      </c>
      <c r="S1878" s="128">
        <v>0</v>
      </c>
      <c r="T1878" s="128">
        <v>0</v>
      </c>
      <c r="U1878" s="128">
        <v>1720352.02</v>
      </c>
      <c r="V1878" s="128">
        <v>0</v>
      </c>
      <c r="W1878" s="128">
        <v>1720352.02</v>
      </c>
      <c r="X1878" s="128">
        <v>0</v>
      </c>
      <c r="Y1878" s="128">
        <v>0</v>
      </c>
      <c r="Z1878" s="128">
        <v>0</v>
      </c>
      <c r="AA1878" s="128">
        <v>1720352.02</v>
      </c>
      <c r="AB1878" s="126">
        <f t="shared" si="198"/>
        <v>-0.172035202</v>
      </c>
      <c r="AC1878" s="122" t="s">
        <v>1838</v>
      </c>
      <c r="AD1878" s="123">
        <f t="shared" si="200"/>
        <v>-0.17212771500000001</v>
      </c>
    </row>
    <row r="1879" spans="1:30" ht="12.75" hidden="1" customHeight="1">
      <c r="A1879" s="125" t="str">
        <f t="shared" si="195"/>
        <v>LIC08Other Income</v>
      </c>
      <c r="B1879" s="125">
        <f>+IFERROR(VLOOKUP(L1879,'TB mapping'!A:D,4,0),0)</f>
        <v>0</v>
      </c>
      <c r="C1879" s="125">
        <f>+IFERROR(VLOOKUP(L1879,'TB mapping'!A:C,3,0),0)</f>
        <v>5.5</v>
      </c>
      <c r="D1879" s="125" t="str">
        <f t="shared" si="196"/>
        <v>LIC080</v>
      </c>
      <c r="E1879" s="125" t="str">
        <f t="shared" si="197"/>
        <v>LIC085.5</v>
      </c>
      <c r="F1879" s="158" t="str">
        <f>+VLOOKUP(H1879,'code mapping'!A:C,3,0)</f>
        <v>LIC08</v>
      </c>
      <c r="G1879" s="127" t="s">
        <v>453</v>
      </c>
      <c r="H1879" s="127" t="s">
        <v>746</v>
      </c>
      <c r="I1879" s="127" t="s">
        <v>228</v>
      </c>
      <c r="J1879" s="128">
        <v>460000</v>
      </c>
      <c r="K1879" s="127" t="s">
        <v>539</v>
      </c>
      <c r="L1879" s="151">
        <v>460000</v>
      </c>
      <c r="M1879" s="128">
        <v>0</v>
      </c>
      <c r="N1879" s="127" t="s">
        <v>541</v>
      </c>
      <c r="O1879" s="127" t="s">
        <v>457</v>
      </c>
      <c r="P1879" s="128">
        <v>0</v>
      </c>
      <c r="Q1879" s="128">
        <v>925.13</v>
      </c>
      <c r="R1879" s="128">
        <v>0</v>
      </c>
      <c r="S1879" s="128">
        <v>0</v>
      </c>
      <c r="T1879" s="128">
        <v>0</v>
      </c>
      <c r="U1879" s="128">
        <v>925.13</v>
      </c>
      <c r="V1879" s="128">
        <v>0</v>
      </c>
      <c r="W1879" s="128">
        <v>925.13</v>
      </c>
      <c r="X1879" s="128">
        <v>0</v>
      </c>
      <c r="Y1879" s="128">
        <v>0</v>
      </c>
      <c r="Z1879" s="128">
        <v>0</v>
      </c>
      <c r="AA1879" s="128">
        <v>925.13</v>
      </c>
      <c r="AB1879" s="126">
        <f t="shared" si="198"/>
        <v>-9.2513E-5</v>
      </c>
      <c r="AC1879" s="122" t="s">
        <v>1838</v>
      </c>
      <c r="AD1879" s="123">
        <f t="shared" si="200"/>
        <v>-0.17212771500000001</v>
      </c>
    </row>
    <row r="1880" spans="1:30" ht="12.75" hidden="1" customHeight="1">
      <c r="A1880" s="125" t="str">
        <f t="shared" si="195"/>
        <v>LIC08Interplan Adjustment- RG</v>
      </c>
      <c r="B1880" s="125">
        <f>+IFERROR(VLOOKUP(L1880,'TB mapping'!A:D,4,0),0)</f>
        <v>0</v>
      </c>
      <c r="C1880" s="125">
        <f>+IFERROR(VLOOKUP(L1880,'TB mapping'!A:C,3,0),0)</f>
        <v>5.5</v>
      </c>
      <c r="D1880" s="125" t="str">
        <f t="shared" si="196"/>
        <v>LIC080</v>
      </c>
      <c r="E1880" s="125" t="str">
        <f t="shared" si="197"/>
        <v>LIC085.5</v>
      </c>
      <c r="F1880" s="158" t="str">
        <f>+VLOOKUP(H1880,'code mapping'!A:C,3,0)</f>
        <v>LIC08</v>
      </c>
      <c r="G1880" s="127" t="s">
        <v>453</v>
      </c>
      <c r="H1880" s="127" t="s">
        <v>746</v>
      </c>
      <c r="I1880" s="127" t="s">
        <v>228</v>
      </c>
      <c r="J1880" s="128">
        <v>460000</v>
      </c>
      <c r="K1880" s="127" t="s">
        <v>539</v>
      </c>
      <c r="L1880" s="151">
        <v>460101</v>
      </c>
      <c r="M1880" s="128">
        <v>0</v>
      </c>
      <c r="N1880" s="127" t="s">
        <v>542</v>
      </c>
      <c r="O1880" s="127" t="s">
        <v>457</v>
      </c>
      <c r="P1880" s="128">
        <v>0</v>
      </c>
      <c r="Q1880" s="128">
        <v>393.26</v>
      </c>
      <c r="R1880" s="128">
        <v>0</v>
      </c>
      <c r="S1880" s="128">
        <v>0</v>
      </c>
      <c r="T1880" s="128">
        <v>0</v>
      </c>
      <c r="U1880" s="128">
        <v>393.26</v>
      </c>
      <c r="V1880" s="128">
        <v>0</v>
      </c>
      <c r="W1880" s="128">
        <v>393.26</v>
      </c>
      <c r="X1880" s="128">
        <v>0</v>
      </c>
      <c r="Y1880" s="128">
        <v>0</v>
      </c>
      <c r="Z1880" s="128">
        <v>0</v>
      </c>
      <c r="AA1880" s="128">
        <v>393.26</v>
      </c>
      <c r="AB1880" s="126">
        <f t="shared" si="198"/>
        <v>-3.9325999999999996E-5</v>
      </c>
      <c r="AC1880" s="122" t="s">
        <v>1838</v>
      </c>
      <c r="AD1880" s="123">
        <f t="shared" si="200"/>
        <v>-0.17212771500000001</v>
      </c>
    </row>
    <row r="1881" spans="1:30" ht="12.75" hidden="1" customHeight="1">
      <c r="A1881" s="125" t="str">
        <f t="shared" si="195"/>
        <v>LIC08Interplan Adjustment- RD</v>
      </c>
      <c r="B1881" s="125">
        <f>+IFERROR(VLOOKUP(L1881,'TB mapping'!A:D,4,0),0)</f>
        <v>0</v>
      </c>
      <c r="C1881" s="125">
        <f>+IFERROR(VLOOKUP(L1881,'TB mapping'!A:C,3,0),0)</f>
        <v>5.5</v>
      </c>
      <c r="D1881" s="125" t="str">
        <f t="shared" si="196"/>
        <v>LIC080</v>
      </c>
      <c r="E1881" s="125" t="str">
        <f t="shared" si="197"/>
        <v>LIC085.5</v>
      </c>
      <c r="F1881" s="158" t="str">
        <f>+VLOOKUP(H1881,'code mapping'!A:C,3,0)</f>
        <v>LIC08</v>
      </c>
      <c r="G1881" s="127" t="s">
        <v>453</v>
      </c>
      <c r="H1881" s="127" t="s">
        <v>746</v>
      </c>
      <c r="I1881" s="127" t="s">
        <v>228</v>
      </c>
      <c r="J1881" s="128">
        <v>460000</v>
      </c>
      <c r="K1881" s="127" t="s">
        <v>539</v>
      </c>
      <c r="L1881" s="151">
        <v>460102</v>
      </c>
      <c r="M1881" s="128">
        <v>0</v>
      </c>
      <c r="N1881" s="127" t="s">
        <v>543</v>
      </c>
      <c r="O1881" s="127" t="s">
        <v>457</v>
      </c>
      <c r="P1881" s="128">
        <v>0</v>
      </c>
      <c r="Q1881" s="128">
        <v>289.85000000000002</v>
      </c>
      <c r="R1881" s="128">
        <v>0</v>
      </c>
      <c r="S1881" s="128">
        <v>0</v>
      </c>
      <c r="T1881" s="128">
        <v>0</v>
      </c>
      <c r="U1881" s="128">
        <v>289.85000000000002</v>
      </c>
      <c r="V1881" s="128">
        <v>0</v>
      </c>
      <c r="W1881" s="128">
        <v>289.85000000000002</v>
      </c>
      <c r="X1881" s="128">
        <v>0</v>
      </c>
      <c r="Y1881" s="128">
        <v>0</v>
      </c>
      <c r="Z1881" s="128">
        <v>0</v>
      </c>
      <c r="AA1881" s="128">
        <v>289.85000000000002</v>
      </c>
      <c r="AB1881" s="126">
        <f t="shared" si="198"/>
        <v>-2.8985000000000001E-5</v>
      </c>
      <c r="AC1881" s="122" t="s">
        <v>1838</v>
      </c>
      <c r="AD1881" s="123">
        <f t="shared" si="200"/>
        <v>-0.17212771500000001</v>
      </c>
    </row>
    <row r="1882" spans="1:30" ht="12.75" hidden="1" customHeight="1">
      <c r="A1882" s="125" t="str">
        <f t="shared" si="195"/>
        <v>LIC08Interplan Adjustment- GDP</v>
      </c>
      <c r="B1882" s="125">
        <f>+IFERROR(VLOOKUP(L1882,'TB mapping'!A:D,4,0),0)</f>
        <v>0</v>
      </c>
      <c r="C1882" s="125">
        <f>+IFERROR(VLOOKUP(L1882,'TB mapping'!A:C,3,0),0)</f>
        <v>5.5</v>
      </c>
      <c r="D1882" s="125" t="str">
        <f t="shared" si="196"/>
        <v>LIC080</v>
      </c>
      <c r="E1882" s="125" t="str">
        <f t="shared" si="197"/>
        <v>LIC085.5</v>
      </c>
      <c r="F1882" s="158" t="str">
        <f>+VLOOKUP(H1882,'code mapping'!A:C,3,0)</f>
        <v>LIC08</v>
      </c>
      <c r="G1882" s="127" t="s">
        <v>453</v>
      </c>
      <c r="H1882" s="127" t="s">
        <v>746</v>
      </c>
      <c r="I1882" s="127" t="s">
        <v>228</v>
      </c>
      <c r="J1882" s="128">
        <v>460000</v>
      </c>
      <c r="K1882" s="127" t="s">
        <v>539</v>
      </c>
      <c r="L1882" s="151">
        <v>460143</v>
      </c>
      <c r="M1882" s="128">
        <v>0</v>
      </c>
      <c r="N1882" s="127" t="s">
        <v>544</v>
      </c>
      <c r="O1882" s="127" t="s">
        <v>457</v>
      </c>
      <c r="P1882" s="128">
        <v>-764.63</v>
      </c>
      <c r="Q1882" s="128">
        <v>0</v>
      </c>
      <c r="R1882" s="128">
        <v>0</v>
      </c>
      <c r="S1882" s="128">
        <v>0</v>
      </c>
      <c r="T1882" s="128">
        <v>-764.63</v>
      </c>
      <c r="U1882" s="128">
        <v>0</v>
      </c>
      <c r="V1882" s="128">
        <v>-764.63</v>
      </c>
      <c r="W1882" s="128">
        <v>0</v>
      </c>
      <c r="X1882" s="128">
        <v>0</v>
      </c>
      <c r="Y1882" s="128">
        <v>0</v>
      </c>
      <c r="Z1882" s="128">
        <v>-764.63</v>
      </c>
      <c r="AA1882" s="128">
        <v>0</v>
      </c>
      <c r="AB1882" s="126">
        <f t="shared" si="198"/>
        <v>7.6463000000000003E-5</v>
      </c>
      <c r="AC1882" s="122" t="s">
        <v>1838</v>
      </c>
      <c r="AD1882" s="123">
        <f t="shared" si="200"/>
        <v>-0.17212771500000001</v>
      </c>
    </row>
    <row r="1883" spans="1:30" ht="12.75" hidden="1" customHeight="1">
      <c r="A1883" s="125" t="str">
        <f t="shared" si="195"/>
        <v>LIC08Interplan Adjustment- DDP</v>
      </c>
      <c r="B1883" s="125">
        <f>+IFERROR(VLOOKUP(L1883,'TB mapping'!A:D,4,0),0)</f>
        <v>0</v>
      </c>
      <c r="C1883" s="125">
        <f>+IFERROR(VLOOKUP(L1883,'TB mapping'!A:C,3,0),0)</f>
        <v>5.5</v>
      </c>
      <c r="D1883" s="125" t="str">
        <f t="shared" si="196"/>
        <v>LIC080</v>
      </c>
      <c r="E1883" s="125" t="str">
        <f t="shared" si="197"/>
        <v>LIC085.5</v>
      </c>
      <c r="F1883" s="158" t="str">
        <f>+VLOOKUP(H1883,'code mapping'!A:C,3,0)</f>
        <v>LIC08</v>
      </c>
      <c r="G1883" s="127" t="s">
        <v>453</v>
      </c>
      <c r="H1883" s="127" t="s">
        <v>746</v>
      </c>
      <c r="I1883" s="127" t="s">
        <v>228</v>
      </c>
      <c r="J1883" s="128">
        <v>460000</v>
      </c>
      <c r="K1883" s="127" t="s">
        <v>539</v>
      </c>
      <c r="L1883" s="151">
        <v>460144</v>
      </c>
      <c r="M1883" s="128">
        <v>0</v>
      </c>
      <c r="N1883" s="127" t="s">
        <v>545</v>
      </c>
      <c r="O1883" s="127" t="s">
        <v>457</v>
      </c>
      <c r="P1883" s="128">
        <v>0</v>
      </c>
      <c r="Q1883" s="128">
        <v>81.52</v>
      </c>
      <c r="R1883" s="128">
        <v>0</v>
      </c>
      <c r="S1883" s="128">
        <v>0</v>
      </c>
      <c r="T1883" s="128">
        <v>0</v>
      </c>
      <c r="U1883" s="128">
        <v>81.52</v>
      </c>
      <c r="V1883" s="128">
        <v>0</v>
      </c>
      <c r="W1883" s="128">
        <v>81.52</v>
      </c>
      <c r="X1883" s="128">
        <v>0</v>
      </c>
      <c r="Y1883" s="128">
        <v>0</v>
      </c>
      <c r="Z1883" s="128">
        <v>0</v>
      </c>
      <c r="AA1883" s="128">
        <v>81.52</v>
      </c>
      <c r="AB1883" s="126">
        <f t="shared" si="198"/>
        <v>-8.1519999999999992E-6</v>
      </c>
      <c r="AC1883" s="122" t="s">
        <v>1838</v>
      </c>
      <c r="AD1883" s="123">
        <f t="shared" si="200"/>
        <v>-0.17212771500000001</v>
      </c>
    </row>
    <row r="1884" spans="1:30" ht="12.75" hidden="1" customHeight="1">
      <c r="A1884" s="125" t="str">
        <f t="shared" si="195"/>
        <v>LIC08R/L L/P - Equities</v>
      </c>
      <c r="B1884" s="125">
        <f>+IFERROR(VLOOKUP(L1884,'TB mapping'!A:D,4,0),0)</f>
        <v>0</v>
      </c>
      <c r="C1884" s="125">
        <f>+IFERROR(VLOOKUP(L1884,'TB mapping'!A:C,3,0),0)</f>
        <v>5.3</v>
      </c>
      <c r="D1884" s="125" t="str">
        <f t="shared" si="196"/>
        <v>LIC080</v>
      </c>
      <c r="E1884" s="125" t="str">
        <f t="shared" si="197"/>
        <v>LIC085.3</v>
      </c>
      <c r="F1884" s="158" t="str">
        <f>+VLOOKUP(H1884,'code mapping'!A:C,3,0)</f>
        <v>LIC08</v>
      </c>
      <c r="G1884" s="127" t="s">
        <v>453</v>
      </c>
      <c r="H1884" s="127" t="s">
        <v>746</v>
      </c>
      <c r="I1884" s="127" t="s">
        <v>228</v>
      </c>
      <c r="J1884" s="128">
        <v>510000</v>
      </c>
      <c r="K1884" s="127" t="s">
        <v>546</v>
      </c>
      <c r="L1884" s="151">
        <v>511100</v>
      </c>
      <c r="M1884" s="128">
        <v>0</v>
      </c>
      <c r="N1884" s="127" t="s">
        <v>599</v>
      </c>
      <c r="O1884" s="127" t="s">
        <v>457</v>
      </c>
      <c r="P1884" s="128">
        <v>-16843258.18</v>
      </c>
      <c r="Q1884" s="128">
        <v>0</v>
      </c>
      <c r="R1884" s="128">
        <v>0</v>
      </c>
      <c r="S1884" s="128">
        <v>0</v>
      </c>
      <c r="T1884" s="128">
        <v>-16843258.18</v>
      </c>
      <c r="U1884" s="128">
        <v>0</v>
      </c>
      <c r="V1884" s="128">
        <v>-16843258.18</v>
      </c>
      <c r="W1884" s="128">
        <v>0</v>
      </c>
      <c r="X1884" s="128">
        <v>0</v>
      </c>
      <c r="Y1884" s="128">
        <v>0</v>
      </c>
      <c r="Z1884" s="128">
        <v>-16843258.18</v>
      </c>
      <c r="AA1884" s="128">
        <v>0</v>
      </c>
      <c r="AB1884" s="126">
        <f t="shared" si="198"/>
        <v>1.684325818</v>
      </c>
      <c r="AC1884" s="122" t="s">
        <v>1838</v>
      </c>
      <c r="AD1884" s="123">
        <f t="shared" si="200"/>
        <v>-11.840329361000002</v>
      </c>
    </row>
    <row r="1885" spans="1:30" ht="12.75" hidden="1" customHeight="1">
      <c r="A1885" s="125" t="str">
        <f t="shared" si="195"/>
        <v>LIC08R/L L/P - Corp Bond/Debenture</v>
      </c>
      <c r="B1885" s="125">
        <f>+IFERROR(VLOOKUP(L1885,'TB mapping'!A:D,4,0),0)</f>
        <v>0</v>
      </c>
      <c r="C1885" s="125">
        <f>+IFERROR(VLOOKUP(L1885,'TB mapping'!A:C,3,0),0)</f>
        <v>5.3</v>
      </c>
      <c r="D1885" s="125" t="str">
        <f t="shared" si="196"/>
        <v>LIC080</v>
      </c>
      <c r="E1885" s="125" t="str">
        <f t="shared" si="197"/>
        <v>LIC085.3</v>
      </c>
      <c r="F1885" s="158" t="str">
        <f>+VLOOKUP(H1885,'code mapping'!A:C,3,0)</f>
        <v>LIC08</v>
      </c>
      <c r="G1885" s="127" t="s">
        <v>453</v>
      </c>
      <c r="H1885" s="127" t="s">
        <v>746</v>
      </c>
      <c r="I1885" s="127" t="s">
        <v>228</v>
      </c>
      <c r="J1885" s="128">
        <v>510000</v>
      </c>
      <c r="K1885" s="127" t="s">
        <v>546</v>
      </c>
      <c r="L1885" s="151">
        <v>512120</v>
      </c>
      <c r="M1885" s="128">
        <v>0</v>
      </c>
      <c r="N1885" s="127" t="s">
        <v>547</v>
      </c>
      <c r="O1885" s="127" t="s">
        <v>457</v>
      </c>
      <c r="P1885" s="128">
        <v>-403199</v>
      </c>
      <c r="Q1885" s="128">
        <v>0</v>
      </c>
      <c r="R1885" s="128">
        <v>0</v>
      </c>
      <c r="S1885" s="128">
        <v>0</v>
      </c>
      <c r="T1885" s="128">
        <v>-403199</v>
      </c>
      <c r="U1885" s="128">
        <v>0</v>
      </c>
      <c r="V1885" s="128">
        <v>-403199</v>
      </c>
      <c r="W1885" s="128">
        <v>0</v>
      </c>
      <c r="X1885" s="128">
        <v>0</v>
      </c>
      <c r="Y1885" s="128">
        <v>0</v>
      </c>
      <c r="Z1885" s="128">
        <v>-403199</v>
      </c>
      <c r="AA1885" s="128">
        <v>0</v>
      </c>
      <c r="AB1885" s="126">
        <f t="shared" si="198"/>
        <v>4.0319899999999999E-2</v>
      </c>
      <c r="AC1885" s="122" t="s">
        <v>1838</v>
      </c>
      <c r="AD1885" s="123">
        <f t="shared" si="200"/>
        <v>-11.840329361000002</v>
      </c>
    </row>
    <row r="1886" spans="1:30" ht="12.75" hidden="1" customHeight="1">
      <c r="A1886" s="125" t="str">
        <f t="shared" si="195"/>
        <v>LIC08R/L L/P - Government Bonds</v>
      </c>
      <c r="B1886" s="125">
        <f>+IFERROR(VLOOKUP(L1886,'TB mapping'!A:D,4,0),0)</f>
        <v>0</v>
      </c>
      <c r="C1886" s="125">
        <f>+IFERROR(VLOOKUP(L1886,'TB mapping'!A:C,3,0),0)</f>
        <v>5.3</v>
      </c>
      <c r="D1886" s="125" t="str">
        <f t="shared" si="196"/>
        <v>LIC080</v>
      </c>
      <c r="E1886" s="125" t="str">
        <f t="shared" si="197"/>
        <v>LIC085.3</v>
      </c>
      <c r="F1886" s="158" t="str">
        <f>+VLOOKUP(H1886,'code mapping'!A:C,3,0)</f>
        <v>LIC08</v>
      </c>
      <c r="G1886" s="127" t="s">
        <v>453</v>
      </c>
      <c r="H1886" s="127" t="s">
        <v>746</v>
      </c>
      <c r="I1886" s="127" t="s">
        <v>228</v>
      </c>
      <c r="J1886" s="128">
        <v>510000</v>
      </c>
      <c r="K1886" s="127" t="s">
        <v>546</v>
      </c>
      <c r="L1886" s="151">
        <v>512130</v>
      </c>
      <c r="M1886" s="128">
        <v>0</v>
      </c>
      <c r="N1886" s="127" t="s">
        <v>548</v>
      </c>
      <c r="O1886" s="127" t="s">
        <v>457</v>
      </c>
      <c r="P1886" s="128">
        <v>-22056026.920000002</v>
      </c>
      <c r="Q1886" s="128">
        <v>0</v>
      </c>
      <c r="R1886" s="128">
        <v>0</v>
      </c>
      <c r="S1886" s="128">
        <v>0</v>
      </c>
      <c r="T1886" s="128">
        <v>-22056026.920000002</v>
      </c>
      <c r="U1886" s="128">
        <v>0</v>
      </c>
      <c r="V1886" s="128">
        <v>-22056026.920000002</v>
      </c>
      <c r="W1886" s="128">
        <v>0</v>
      </c>
      <c r="X1886" s="128">
        <v>0</v>
      </c>
      <c r="Y1886" s="128">
        <v>0</v>
      </c>
      <c r="Z1886" s="128">
        <v>-22056026.920000002</v>
      </c>
      <c r="AA1886" s="128">
        <v>0</v>
      </c>
      <c r="AB1886" s="126">
        <f t="shared" si="198"/>
        <v>2.2056026920000003</v>
      </c>
      <c r="AC1886" s="122" t="s">
        <v>1838</v>
      </c>
      <c r="AD1886" s="123">
        <f t="shared" si="200"/>
        <v>-11.840329361000002</v>
      </c>
    </row>
    <row r="1887" spans="1:30" ht="12.75" hidden="1" customHeight="1">
      <c r="A1887" s="125" t="str">
        <f t="shared" si="195"/>
        <v>LIC08R/L Loss - Inter Sch Govt Bond</v>
      </c>
      <c r="B1887" s="125">
        <f>+IFERROR(VLOOKUP(L1887,'TB mapping'!A:D,4,0),0)</f>
        <v>0</v>
      </c>
      <c r="C1887" s="125">
        <f>+IFERROR(VLOOKUP(L1887,'TB mapping'!A:C,3,0),0)</f>
        <v>5.4</v>
      </c>
      <c r="D1887" s="125" t="str">
        <f t="shared" si="196"/>
        <v>LIC080</v>
      </c>
      <c r="E1887" s="125" t="str">
        <f t="shared" si="197"/>
        <v>LIC085.4</v>
      </c>
      <c r="F1887" s="158" t="str">
        <f>+VLOOKUP(H1887,'code mapping'!A:C,3,0)</f>
        <v>LIC08</v>
      </c>
      <c r="G1887" s="127" t="s">
        <v>453</v>
      </c>
      <c r="H1887" s="127" t="s">
        <v>746</v>
      </c>
      <c r="I1887" s="127" t="s">
        <v>228</v>
      </c>
      <c r="J1887" s="128">
        <v>510000</v>
      </c>
      <c r="K1887" s="127" t="s">
        <v>546</v>
      </c>
      <c r="L1887" s="151">
        <v>527304</v>
      </c>
      <c r="M1887" s="128">
        <v>0</v>
      </c>
      <c r="N1887" s="127" t="s">
        <v>549</v>
      </c>
      <c r="O1887" s="127" t="s">
        <v>457</v>
      </c>
      <c r="P1887" s="128">
        <v>-3141071.81</v>
      </c>
      <c r="Q1887" s="128">
        <v>0</v>
      </c>
      <c r="R1887" s="128">
        <v>0</v>
      </c>
      <c r="S1887" s="128">
        <v>0</v>
      </c>
      <c r="T1887" s="128">
        <v>-3141071.81</v>
      </c>
      <c r="U1887" s="128">
        <v>0</v>
      </c>
      <c r="V1887" s="128">
        <v>-3141071.81</v>
      </c>
      <c r="W1887" s="128">
        <v>0</v>
      </c>
      <c r="X1887" s="128">
        <v>0</v>
      </c>
      <c r="Y1887" s="128">
        <v>0</v>
      </c>
      <c r="Z1887" s="128">
        <v>-3141071.81</v>
      </c>
      <c r="AA1887" s="128">
        <v>0</v>
      </c>
      <c r="AB1887" s="126">
        <f t="shared" si="198"/>
        <v>0.31410718100000001</v>
      </c>
      <c r="AC1887" s="122" t="s">
        <v>1838</v>
      </c>
      <c r="AD1887" s="123">
        <f t="shared" si="200"/>
        <v>0.30666968100000003</v>
      </c>
    </row>
    <row r="1888" spans="1:30" ht="12.75" hidden="1" customHeight="1">
      <c r="A1888" s="125" t="str">
        <f t="shared" si="195"/>
        <v>LIC08SEBI Fees</v>
      </c>
      <c r="B1888" s="125">
        <f>+IFERROR(VLOOKUP(L1888,'TB mapping'!A:D,4,0),0)</f>
        <v>0</v>
      </c>
      <c r="C1888" s="125">
        <f>+IFERROR(VLOOKUP(L1888,'TB mapping'!A:C,3,0),0)</f>
        <v>6.3</v>
      </c>
      <c r="D1888" s="125" t="str">
        <f t="shared" si="196"/>
        <v>LIC080</v>
      </c>
      <c r="E1888" s="125" t="str">
        <f t="shared" si="197"/>
        <v>LIC086.3</v>
      </c>
      <c r="F1888" s="158" t="str">
        <f>+VLOOKUP(H1888,'code mapping'!A:C,3,0)</f>
        <v>LIC08</v>
      </c>
      <c r="G1888" s="127" t="s">
        <v>453</v>
      </c>
      <c r="H1888" s="127" t="s">
        <v>746</v>
      </c>
      <c r="I1888" s="127" t="s">
        <v>228</v>
      </c>
      <c r="J1888" s="128">
        <v>550000</v>
      </c>
      <c r="K1888" s="127" t="s">
        <v>550</v>
      </c>
      <c r="L1888" s="151">
        <v>553007</v>
      </c>
      <c r="M1888" s="128">
        <v>0</v>
      </c>
      <c r="N1888" s="127" t="s">
        <v>551</v>
      </c>
      <c r="O1888" s="127" t="s">
        <v>457</v>
      </c>
      <c r="P1888" s="128">
        <v>-6011.4</v>
      </c>
      <c r="Q1888" s="128">
        <v>0</v>
      </c>
      <c r="R1888" s="128">
        <v>0</v>
      </c>
      <c r="S1888" s="128">
        <v>0</v>
      </c>
      <c r="T1888" s="128">
        <v>-6011.4</v>
      </c>
      <c r="U1888" s="128">
        <v>0</v>
      </c>
      <c r="V1888" s="128">
        <v>-6011.4</v>
      </c>
      <c r="W1888" s="128">
        <v>0</v>
      </c>
      <c r="X1888" s="128">
        <v>0</v>
      </c>
      <c r="Y1888" s="128">
        <v>0</v>
      </c>
      <c r="Z1888" s="128">
        <v>-6011.4</v>
      </c>
      <c r="AA1888" s="128">
        <v>0</v>
      </c>
      <c r="AB1888" s="126">
        <f t="shared" si="198"/>
        <v>6.0114000000000001E-4</v>
      </c>
      <c r="AC1888" s="122" t="s">
        <v>1838</v>
      </c>
      <c r="AD1888" s="123">
        <f t="shared" si="200"/>
        <v>6.3995435970000001</v>
      </c>
    </row>
    <row r="1889" spans="1:30" ht="12.75" hidden="1" customHeight="1">
      <c r="A1889" s="125" t="str">
        <f t="shared" si="195"/>
        <v>LIC08Audit Fee</v>
      </c>
      <c r="B1889" s="125">
        <f>+IFERROR(VLOOKUP(L1889,'TB mapping'!A:D,4,0),0)</f>
        <v>0</v>
      </c>
      <c r="C1889" s="125">
        <f>+IFERROR(VLOOKUP(L1889,'TB mapping'!A:C,3,0),0)</f>
        <v>6.3</v>
      </c>
      <c r="D1889" s="125" t="str">
        <f t="shared" si="196"/>
        <v>LIC080</v>
      </c>
      <c r="E1889" s="125" t="str">
        <f t="shared" si="197"/>
        <v>LIC086.3</v>
      </c>
      <c r="F1889" s="158" t="str">
        <f>+VLOOKUP(H1889,'code mapping'!A:C,3,0)</f>
        <v>LIC08</v>
      </c>
      <c r="G1889" s="127" t="s">
        <v>453</v>
      </c>
      <c r="H1889" s="127" t="s">
        <v>746</v>
      </c>
      <c r="I1889" s="127" t="s">
        <v>228</v>
      </c>
      <c r="J1889" s="128">
        <v>550000</v>
      </c>
      <c r="K1889" s="127" t="s">
        <v>550</v>
      </c>
      <c r="L1889" s="151">
        <v>553105</v>
      </c>
      <c r="M1889" s="128">
        <v>0</v>
      </c>
      <c r="N1889" s="127" t="s">
        <v>552</v>
      </c>
      <c r="O1889" s="127" t="s">
        <v>457</v>
      </c>
      <c r="P1889" s="128">
        <v>-25012.05</v>
      </c>
      <c r="Q1889" s="128">
        <v>0</v>
      </c>
      <c r="R1889" s="128">
        <v>0</v>
      </c>
      <c r="S1889" s="128">
        <v>0</v>
      </c>
      <c r="T1889" s="128">
        <v>-25012.05</v>
      </c>
      <c r="U1889" s="128">
        <v>0</v>
      </c>
      <c r="V1889" s="128">
        <v>-25012.05</v>
      </c>
      <c r="W1889" s="128">
        <v>0</v>
      </c>
      <c r="X1889" s="128">
        <v>0</v>
      </c>
      <c r="Y1889" s="128">
        <v>0</v>
      </c>
      <c r="Z1889" s="128">
        <v>-25012.05</v>
      </c>
      <c r="AA1889" s="128">
        <v>0</v>
      </c>
      <c r="AB1889" s="126">
        <f t="shared" si="198"/>
        <v>2.5012049999999998E-3</v>
      </c>
      <c r="AC1889" s="122" t="s">
        <v>1838</v>
      </c>
      <c r="AD1889" s="123">
        <f t="shared" si="200"/>
        <v>6.3995435970000001</v>
      </c>
    </row>
    <row r="1890" spans="1:30" ht="12.75" hidden="1" customHeight="1">
      <c r="A1890" s="125" t="str">
        <f t="shared" si="195"/>
        <v>LIC08Custody Fee</v>
      </c>
      <c r="B1890" s="125">
        <f>+IFERROR(VLOOKUP(L1890,'TB mapping'!A:D,4,0),0)</f>
        <v>0</v>
      </c>
      <c r="C1890" s="125">
        <f>+IFERROR(VLOOKUP(L1890,'TB mapping'!A:C,3,0),0)</f>
        <v>6.3</v>
      </c>
      <c r="D1890" s="125" t="str">
        <f t="shared" si="196"/>
        <v>LIC080</v>
      </c>
      <c r="E1890" s="125" t="str">
        <f t="shared" si="197"/>
        <v>LIC086.3</v>
      </c>
      <c r="F1890" s="158" t="str">
        <f>+VLOOKUP(H1890,'code mapping'!A:C,3,0)</f>
        <v>LIC08</v>
      </c>
      <c r="G1890" s="127" t="s">
        <v>453</v>
      </c>
      <c r="H1890" s="127" t="s">
        <v>746</v>
      </c>
      <c r="I1890" s="127" t="s">
        <v>228</v>
      </c>
      <c r="J1890" s="128">
        <v>550000</v>
      </c>
      <c r="K1890" s="127" t="s">
        <v>550</v>
      </c>
      <c r="L1890" s="151">
        <v>553107</v>
      </c>
      <c r="M1890" s="128">
        <v>0</v>
      </c>
      <c r="N1890" s="127" t="s">
        <v>553</v>
      </c>
      <c r="O1890" s="127" t="s">
        <v>457</v>
      </c>
      <c r="P1890" s="128">
        <v>-1016407.95</v>
      </c>
      <c r="Q1890" s="128">
        <v>0</v>
      </c>
      <c r="R1890" s="128">
        <v>0</v>
      </c>
      <c r="S1890" s="128">
        <v>0</v>
      </c>
      <c r="T1890" s="128">
        <v>-1016407.95</v>
      </c>
      <c r="U1890" s="128">
        <v>0</v>
      </c>
      <c r="V1890" s="128">
        <v>-1016407.95</v>
      </c>
      <c r="W1890" s="128">
        <v>0</v>
      </c>
      <c r="X1890" s="128">
        <v>0</v>
      </c>
      <c r="Y1890" s="128">
        <v>0</v>
      </c>
      <c r="Z1890" s="128">
        <v>-1016407.95</v>
      </c>
      <c r="AA1890" s="128">
        <v>0</v>
      </c>
      <c r="AB1890" s="126">
        <f t="shared" si="198"/>
        <v>0.10164079499999999</v>
      </c>
      <c r="AC1890" s="122" t="s">
        <v>1838</v>
      </c>
      <c r="AD1890" s="123">
        <f t="shared" si="200"/>
        <v>6.3995435970000001</v>
      </c>
    </row>
    <row r="1891" spans="1:30" ht="12.75" hidden="1" customHeight="1">
      <c r="A1891" s="125" t="str">
        <f t="shared" si="195"/>
        <v>LIC08Expense Allocation Account</v>
      </c>
      <c r="B1891" s="125">
        <f>+IFERROR(VLOOKUP(L1891,'TB mapping'!A:D,4,0),0)</f>
        <v>0</v>
      </c>
      <c r="C1891" s="125">
        <f>+IFERROR(VLOOKUP(L1891,'TB mapping'!A:C,3,0),0)</f>
        <v>6.3</v>
      </c>
      <c r="D1891" s="125" t="str">
        <f t="shared" si="196"/>
        <v>LIC080</v>
      </c>
      <c r="E1891" s="125" t="str">
        <f t="shared" si="197"/>
        <v>LIC086.3</v>
      </c>
      <c r="F1891" s="158" t="str">
        <f>+VLOOKUP(H1891,'code mapping'!A:C,3,0)</f>
        <v>LIC08</v>
      </c>
      <c r="G1891" s="127" t="s">
        <v>453</v>
      </c>
      <c r="H1891" s="127" t="s">
        <v>746</v>
      </c>
      <c r="I1891" s="127" t="s">
        <v>228</v>
      </c>
      <c r="J1891" s="128">
        <v>550000</v>
      </c>
      <c r="K1891" s="127" t="s">
        <v>550</v>
      </c>
      <c r="L1891" s="151">
        <v>553111</v>
      </c>
      <c r="M1891" s="128">
        <v>0</v>
      </c>
      <c r="N1891" s="127" t="s">
        <v>554</v>
      </c>
      <c r="O1891" s="127" t="s">
        <v>457</v>
      </c>
      <c r="P1891" s="128">
        <v>0</v>
      </c>
      <c r="Q1891" s="128">
        <v>1721920.24</v>
      </c>
      <c r="R1891" s="128">
        <v>0</v>
      </c>
      <c r="S1891" s="128">
        <v>0</v>
      </c>
      <c r="T1891" s="128">
        <v>0</v>
      </c>
      <c r="U1891" s="128">
        <v>1721920.24</v>
      </c>
      <c r="V1891" s="128">
        <v>0</v>
      </c>
      <c r="W1891" s="128">
        <v>1721920.24</v>
      </c>
      <c r="X1891" s="128">
        <v>0</v>
      </c>
      <c r="Y1891" s="128">
        <v>0</v>
      </c>
      <c r="Z1891" s="128">
        <v>0</v>
      </c>
      <c r="AA1891" s="128">
        <v>1721920.24</v>
      </c>
      <c r="AB1891" s="126">
        <f t="shared" si="198"/>
        <v>-0.172192024</v>
      </c>
      <c r="AC1891" s="122" t="s">
        <v>1838</v>
      </c>
      <c r="AD1891" s="123">
        <f t="shared" si="200"/>
        <v>6.3995435970000001</v>
      </c>
    </row>
    <row r="1892" spans="1:30" ht="12.75" hidden="1" customHeight="1">
      <c r="A1892" s="125" t="str">
        <f t="shared" si="195"/>
        <v>LIC08Trustee Fee</v>
      </c>
      <c r="B1892" s="125">
        <f>+IFERROR(VLOOKUP(L1892,'TB mapping'!A:D,4,0),0)</f>
        <v>6.2</v>
      </c>
      <c r="C1892" s="125">
        <f>+IFERROR(VLOOKUP(L1892,'TB mapping'!A:C,3,0),0)</f>
        <v>6.3</v>
      </c>
      <c r="D1892" s="125" t="str">
        <f t="shared" si="196"/>
        <v>LIC086.2</v>
      </c>
      <c r="E1892" s="125" t="str">
        <f t="shared" si="197"/>
        <v>LIC086.3</v>
      </c>
      <c r="F1892" s="158" t="str">
        <f>+VLOOKUP(H1892,'code mapping'!A:C,3,0)</f>
        <v>LIC08</v>
      </c>
      <c r="G1892" s="127" t="s">
        <v>453</v>
      </c>
      <c r="H1892" s="127" t="s">
        <v>746</v>
      </c>
      <c r="I1892" s="127" t="s">
        <v>228</v>
      </c>
      <c r="J1892" s="128">
        <v>550000</v>
      </c>
      <c r="K1892" s="127" t="s">
        <v>550</v>
      </c>
      <c r="L1892" s="151">
        <v>553131</v>
      </c>
      <c r="M1892" s="128">
        <v>0</v>
      </c>
      <c r="N1892" s="127" t="s">
        <v>555</v>
      </c>
      <c r="O1892" s="127" t="s">
        <v>457</v>
      </c>
      <c r="P1892" s="128">
        <v>-21386.93</v>
      </c>
      <c r="Q1892" s="128">
        <v>0</v>
      </c>
      <c r="R1892" s="128">
        <v>0</v>
      </c>
      <c r="S1892" s="128">
        <v>0</v>
      </c>
      <c r="T1892" s="128">
        <v>-21386.93</v>
      </c>
      <c r="U1892" s="128">
        <v>0</v>
      </c>
      <c r="V1892" s="128">
        <v>-21386.93</v>
      </c>
      <c r="W1892" s="128">
        <v>0</v>
      </c>
      <c r="X1892" s="128">
        <v>0</v>
      </c>
      <c r="Y1892" s="128">
        <v>0</v>
      </c>
      <c r="Z1892" s="128">
        <v>-21386.93</v>
      </c>
      <c r="AA1892" s="128">
        <v>0</v>
      </c>
      <c r="AB1892" s="126">
        <f t="shared" si="198"/>
        <v>2.1386930000000001E-3</v>
      </c>
      <c r="AC1892" s="122" t="s">
        <v>1838</v>
      </c>
      <c r="AD1892" s="123">
        <f t="shared" si="200"/>
        <v>6.3995435970000001</v>
      </c>
    </row>
    <row r="1893" spans="1:30" ht="12.75" hidden="1" customHeight="1">
      <c r="A1893" s="125" t="str">
        <f t="shared" si="195"/>
        <v>LIC08Bank Charges</v>
      </c>
      <c r="B1893" s="125">
        <f>+IFERROR(VLOOKUP(L1893,'TB mapping'!A:D,4,0),0)</f>
        <v>0</v>
      </c>
      <c r="C1893" s="125">
        <f>+IFERROR(VLOOKUP(L1893,'TB mapping'!A:C,3,0),0)</f>
        <v>6.3</v>
      </c>
      <c r="D1893" s="125" t="str">
        <f t="shared" si="196"/>
        <v>LIC080</v>
      </c>
      <c r="E1893" s="125" t="str">
        <f t="shared" si="197"/>
        <v>LIC086.3</v>
      </c>
      <c r="F1893" s="158" t="str">
        <f>+VLOOKUP(H1893,'code mapping'!A:C,3,0)</f>
        <v>LIC08</v>
      </c>
      <c r="G1893" s="127" t="s">
        <v>453</v>
      </c>
      <c r="H1893" s="127" t="s">
        <v>746</v>
      </c>
      <c r="I1893" s="127" t="s">
        <v>228</v>
      </c>
      <c r="J1893" s="128">
        <v>550000</v>
      </c>
      <c r="K1893" s="127" t="s">
        <v>550</v>
      </c>
      <c r="L1893" s="151">
        <v>553141</v>
      </c>
      <c r="M1893" s="128">
        <v>0</v>
      </c>
      <c r="N1893" s="127" t="s">
        <v>556</v>
      </c>
      <c r="O1893" s="127" t="s">
        <v>457</v>
      </c>
      <c r="P1893" s="128">
        <v>-79118.92</v>
      </c>
      <c r="Q1893" s="128">
        <v>0</v>
      </c>
      <c r="R1893" s="128">
        <v>0</v>
      </c>
      <c r="S1893" s="128">
        <v>0</v>
      </c>
      <c r="T1893" s="128">
        <v>-79118.92</v>
      </c>
      <c r="U1893" s="128">
        <v>0</v>
      </c>
      <c r="V1893" s="128">
        <v>-79118.92</v>
      </c>
      <c r="W1893" s="128">
        <v>0</v>
      </c>
      <c r="X1893" s="128">
        <v>0</v>
      </c>
      <c r="Y1893" s="128">
        <v>0</v>
      </c>
      <c r="Z1893" s="128">
        <v>-79118.92</v>
      </c>
      <c r="AA1893" s="128">
        <v>0</v>
      </c>
      <c r="AB1893" s="126">
        <f t="shared" si="198"/>
        <v>7.9118920000000002E-3</v>
      </c>
      <c r="AC1893" s="122" t="s">
        <v>1838</v>
      </c>
      <c r="AD1893" s="123">
        <f t="shared" si="200"/>
        <v>6.3995435970000001</v>
      </c>
    </row>
    <row r="1894" spans="1:30" ht="12.75" hidden="1" customHeight="1">
      <c r="A1894" s="125" t="str">
        <f t="shared" si="195"/>
        <v>LIC08Marketing Fees</v>
      </c>
      <c r="B1894" s="125">
        <f>+IFERROR(VLOOKUP(L1894,'TB mapping'!A:D,4,0),0)</f>
        <v>0</v>
      </c>
      <c r="C1894" s="125">
        <f>+IFERROR(VLOOKUP(L1894,'TB mapping'!A:C,3,0),0)</f>
        <v>6.3</v>
      </c>
      <c r="D1894" s="125" t="str">
        <f t="shared" si="196"/>
        <v>LIC080</v>
      </c>
      <c r="E1894" s="125" t="str">
        <f t="shared" si="197"/>
        <v>LIC086.3</v>
      </c>
      <c r="F1894" s="158" t="str">
        <f>+VLOOKUP(H1894,'code mapping'!A:C,3,0)</f>
        <v>LIC08</v>
      </c>
      <c r="G1894" s="127" t="s">
        <v>453</v>
      </c>
      <c r="H1894" s="127" t="s">
        <v>746</v>
      </c>
      <c r="I1894" s="127" t="s">
        <v>228</v>
      </c>
      <c r="J1894" s="128">
        <v>550000</v>
      </c>
      <c r="K1894" s="127" t="s">
        <v>550</v>
      </c>
      <c r="L1894" s="151">
        <v>553147</v>
      </c>
      <c r="M1894" s="128">
        <v>0</v>
      </c>
      <c r="N1894" s="127" t="s">
        <v>712</v>
      </c>
      <c r="O1894" s="127" t="s">
        <v>457</v>
      </c>
      <c r="P1894" s="128">
        <v>-13302.62</v>
      </c>
      <c r="Q1894" s="128">
        <v>0</v>
      </c>
      <c r="R1894" s="128">
        <v>0</v>
      </c>
      <c r="S1894" s="128">
        <v>0</v>
      </c>
      <c r="T1894" s="128">
        <v>-13302.62</v>
      </c>
      <c r="U1894" s="128">
        <v>0</v>
      </c>
      <c r="V1894" s="128">
        <v>-13302.62</v>
      </c>
      <c r="W1894" s="128">
        <v>0</v>
      </c>
      <c r="X1894" s="128">
        <v>0</v>
      </c>
      <c r="Y1894" s="128">
        <v>0</v>
      </c>
      <c r="Z1894" s="128">
        <v>-13302.62</v>
      </c>
      <c r="AA1894" s="128">
        <v>0</v>
      </c>
      <c r="AB1894" s="126">
        <f t="shared" si="198"/>
        <v>1.330262E-3</v>
      </c>
      <c r="AC1894" s="122" t="s">
        <v>1838</v>
      </c>
      <c r="AD1894" s="123">
        <f t="shared" si="200"/>
        <v>6.3995435970000001</v>
      </c>
    </row>
    <row r="1895" spans="1:30" ht="12.75" hidden="1" customHeight="1">
      <c r="A1895" s="125" t="str">
        <f t="shared" si="195"/>
        <v>LIC08Investor Education Fund Exps</v>
      </c>
      <c r="B1895" s="125">
        <f>+IFERROR(VLOOKUP(L1895,'TB mapping'!A:D,4,0),0)</f>
        <v>0</v>
      </c>
      <c r="C1895" s="125">
        <f>+IFERROR(VLOOKUP(L1895,'TB mapping'!A:C,3,0),0)</f>
        <v>6.3</v>
      </c>
      <c r="D1895" s="125" t="str">
        <f t="shared" si="196"/>
        <v>LIC080</v>
      </c>
      <c r="E1895" s="125" t="str">
        <f t="shared" si="197"/>
        <v>LIC086.3</v>
      </c>
      <c r="F1895" s="158" t="str">
        <f>+VLOOKUP(H1895,'code mapping'!A:C,3,0)</f>
        <v>LIC08</v>
      </c>
      <c r="G1895" s="127" t="s">
        <v>453</v>
      </c>
      <c r="H1895" s="127" t="s">
        <v>746</v>
      </c>
      <c r="I1895" s="127" t="s">
        <v>228</v>
      </c>
      <c r="J1895" s="128">
        <v>550000</v>
      </c>
      <c r="K1895" s="127" t="s">
        <v>550</v>
      </c>
      <c r="L1895" s="151">
        <v>553171</v>
      </c>
      <c r="M1895" s="128">
        <v>0</v>
      </c>
      <c r="N1895" s="127" t="s">
        <v>557</v>
      </c>
      <c r="O1895" s="127" t="s">
        <v>457</v>
      </c>
      <c r="P1895" s="128">
        <v>-228420.06</v>
      </c>
      <c r="Q1895" s="128">
        <v>0</v>
      </c>
      <c r="R1895" s="128">
        <v>0</v>
      </c>
      <c r="S1895" s="128">
        <v>0</v>
      </c>
      <c r="T1895" s="128">
        <v>-228420.06</v>
      </c>
      <c r="U1895" s="128">
        <v>0</v>
      </c>
      <c r="V1895" s="128">
        <v>-228420.06</v>
      </c>
      <c r="W1895" s="128">
        <v>0</v>
      </c>
      <c r="X1895" s="128">
        <v>0</v>
      </c>
      <c r="Y1895" s="128">
        <v>0</v>
      </c>
      <c r="Z1895" s="128">
        <v>-228420.06</v>
      </c>
      <c r="AA1895" s="128">
        <v>0</v>
      </c>
      <c r="AB1895" s="126">
        <f t="shared" si="198"/>
        <v>2.2842005999999998E-2</v>
      </c>
      <c r="AC1895" s="122" t="s">
        <v>1838</v>
      </c>
      <c r="AD1895" s="123">
        <f t="shared" si="200"/>
        <v>6.3995435970000001</v>
      </c>
    </row>
    <row r="1896" spans="1:30" ht="12.75" hidden="1" customHeight="1">
      <c r="A1896" s="125" t="str">
        <f t="shared" si="195"/>
        <v>LIC08Service Tax on Management Fees</v>
      </c>
      <c r="B1896" s="125">
        <f>+IFERROR(VLOOKUP(L1896,'TB mapping'!A:D,4,0),0)</f>
        <v>6.1</v>
      </c>
      <c r="C1896" s="125">
        <f>+IFERROR(VLOOKUP(L1896,'TB mapping'!A:C,3,0),0)</f>
        <v>6.3</v>
      </c>
      <c r="D1896" s="125" t="str">
        <f t="shared" si="196"/>
        <v>LIC086.1</v>
      </c>
      <c r="E1896" s="125" t="str">
        <f t="shared" si="197"/>
        <v>LIC086.3</v>
      </c>
      <c r="F1896" s="158" t="str">
        <f>+VLOOKUP(H1896,'code mapping'!A:C,3,0)</f>
        <v>LIC08</v>
      </c>
      <c r="G1896" s="127" t="s">
        <v>453</v>
      </c>
      <c r="H1896" s="127" t="s">
        <v>746</v>
      </c>
      <c r="I1896" s="127" t="s">
        <v>228</v>
      </c>
      <c r="J1896" s="128">
        <v>550000</v>
      </c>
      <c r="K1896" s="127" t="s">
        <v>550</v>
      </c>
      <c r="L1896" s="151">
        <v>553172</v>
      </c>
      <c r="M1896" s="128">
        <v>0</v>
      </c>
      <c r="N1896" s="127" t="s">
        <v>558</v>
      </c>
      <c r="O1896" s="127" t="s">
        <v>457</v>
      </c>
      <c r="P1896" s="128">
        <v>-560198.19000000006</v>
      </c>
      <c r="Q1896" s="128">
        <v>0</v>
      </c>
      <c r="R1896" s="128">
        <v>0</v>
      </c>
      <c r="S1896" s="128">
        <v>0</v>
      </c>
      <c r="T1896" s="128">
        <v>-560198.19000000006</v>
      </c>
      <c r="U1896" s="128">
        <v>0</v>
      </c>
      <c r="V1896" s="128">
        <v>-560198.19000000006</v>
      </c>
      <c r="W1896" s="128">
        <v>0</v>
      </c>
      <c r="X1896" s="128">
        <v>0</v>
      </c>
      <c r="Y1896" s="128">
        <v>0</v>
      </c>
      <c r="Z1896" s="128">
        <v>-560198.19000000006</v>
      </c>
      <c r="AA1896" s="128">
        <v>0</v>
      </c>
      <c r="AB1896" s="126">
        <f t="shared" si="198"/>
        <v>5.6019819000000005E-2</v>
      </c>
      <c r="AC1896" s="122" t="s">
        <v>1838</v>
      </c>
      <c r="AD1896" s="123">
        <f t="shared" si="200"/>
        <v>6.3995435970000001</v>
      </c>
    </row>
    <row r="1897" spans="1:30" ht="12.75" hidden="1" customHeight="1">
      <c r="A1897" s="125" t="str">
        <f t="shared" si="195"/>
        <v>LIC08CCIL Expenses</v>
      </c>
      <c r="B1897" s="125">
        <f>+IFERROR(VLOOKUP(L1897,'TB mapping'!A:D,4,0),0)</f>
        <v>0</v>
      </c>
      <c r="C1897" s="125">
        <f>+IFERROR(VLOOKUP(L1897,'TB mapping'!A:C,3,0),0)</f>
        <v>6.3</v>
      </c>
      <c r="D1897" s="125" t="str">
        <f t="shared" si="196"/>
        <v>LIC080</v>
      </c>
      <c r="E1897" s="125" t="str">
        <f t="shared" si="197"/>
        <v>LIC086.3</v>
      </c>
      <c r="F1897" s="158" t="str">
        <f>+VLOOKUP(H1897,'code mapping'!A:C,3,0)</f>
        <v>LIC08</v>
      </c>
      <c r="G1897" s="127" t="s">
        <v>453</v>
      </c>
      <c r="H1897" s="127" t="s">
        <v>746</v>
      </c>
      <c r="I1897" s="127" t="s">
        <v>228</v>
      </c>
      <c r="J1897" s="128">
        <v>550000</v>
      </c>
      <c r="K1897" s="127" t="s">
        <v>550</v>
      </c>
      <c r="L1897" s="151">
        <v>553176</v>
      </c>
      <c r="M1897" s="128">
        <v>0</v>
      </c>
      <c r="N1897" s="127" t="s">
        <v>559</v>
      </c>
      <c r="O1897" s="127" t="s">
        <v>457</v>
      </c>
      <c r="P1897" s="128">
        <v>-121679.4</v>
      </c>
      <c r="Q1897" s="128">
        <v>0</v>
      </c>
      <c r="R1897" s="128">
        <v>0</v>
      </c>
      <c r="S1897" s="128">
        <v>0</v>
      </c>
      <c r="T1897" s="128">
        <v>-121679.4</v>
      </c>
      <c r="U1897" s="128">
        <v>0</v>
      </c>
      <c r="V1897" s="128">
        <v>-121679.4</v>
      </c>
      <c r="W1897" s="128">
        <v>0</v>
      </c>
      <c r="X1897" s="128">
        <v>0</v>
      </c>
      <c r="Y1897" s="128">
        <v>0</v>
      </c>
      <c r="Z1897" s="128">
        <v>-121679.4</v>
      </c>
      <c r="AA1897" s="128">
        <v>0</v>
      </c>
      <c r="AB1897" s="126">
        <f t="shared" si="198"/>
        <v>1.2167939999999999E-2</v>
      </c>
      <c r="AC1897" s="122" t="s">
        <v>1838</v>
      </c>
      <c r="AD1897" s="123">
        <f t="shared" si="200"/>
        <v>6.3995435970000001</v>
      </c>
    </row>
    <row r="1898" spans="1:30" ht="12.75" hidden="1" customHeight="1">
      <c r="A1898" s="125" t="str">
        <f t="shared" si="195"/>
        <v>LIC08Out of Pocket Expenses - R&amp;T</v>
      </c>
      <c r="B1898" s="125">
        <f>+IFERROR(VLOOKUP(L1898,'TB mapping'!A:D,4,0),0)</f>
        <v>0</v>
      </c>
      <c r="C1898" s="125">
        <f>+IFERROR(VLOOKUP(L1898,'TB mapping'!A:C,3,0),0)</f>
        <v>6.3</v>
      </c>
      <c r="D1898" s="125" t="str">
        <f t="shared" si="196"/>
        <v>LIC080</v>
      </c>
      <c r="E1898" s="125" t="str">
        <f t="shared" si="197"/>
        <v>LIC086.3</v>
      </c>
      <c r="F1898" s="158" t="str">
        <f>+VLOOKUP(H1898,'code mapping'!A:C,3,0)</f>
        <v>LIC08</v>
      </c>
      <c r="G1898" s="127" t="s">
        <v>453</v>
      </c>
      <c r="H1898" s="127" t="s">
        <v>746</v>
      </c>
      <c r="I1898" s="127" t="s">
        <v>228</v>
      </c>
      <c r="J1898" s="128">
        <v>550000</v>
      </c>
      <c r="K1898" s="127" t="s">
        <v>550</v>
      </c>
      <c r="L1898" s="151">
        <v>553180</v>
      </c>
      <c r="M1898" s="128">
        <v>0</v>
      </c>
      <c r="N1898" s="127" t="s">
        <v>560</v>
      </c>
      <c r="O1898" s="127" t="s">
        <v>457</v>
      </c>
      <c r="P1898" s="128">
        <v>-93118.92</v>
      </c>
      <c r="Q1898" s="128">
        <v>0</v>
      </c>
      <c r="R1898" s="128">
        <v>0</v>
      </c>
      <c r="S1898" s="128">
        <v>0</v>
      </c>
      <c r="T1898" s="128">
        <v>-93118.92</v>
      </c>
      <c r="U1898" s="128">
        <v>0</v>
      </c>
      <c r="V1898" s="128">
        <v>-93118.92</v>
      </c>
      <c r="W1898" s="128">
        <v>0</v>
      </c>
      <c r="X1898" s="128">
        <v>0</v>
      </c>
      <c r="Y1898" s="128">
        <v>0</v>
      </c>
      <c r="Z1898" s="128">
        <v>-93118.92</v>
      </c>
      <c r="AA1898" s="128">
        <v>0</v>
      </c>
      <c r="AB1898" s="126">
        <f t="shared" si="198"/>
        <v>9.3118920000000004E-3</v>
      </c>
      <c r="AC1898" s="122" t="s">
        <v>1838</v>
      </c>
      <c r="AD1898" s="123">
        <f t="shared" si="200"/>
        <v>6.3995435970000001</v>
      </c>
    </row>
    <row r="1899" spans="1:30" ht="12.75" hidden="1" customHeight="1">
      <c r="A1899" s="125" t="str">
        <f t="shared" si="195"/>
        <v>LIC08Other Expenses</v>
      </c>
      <c r="B1899" s="125">
        <f>+IFERROR(VLOOKUP(L1899,'TB mapping'!A:D,4,0),0)</f>
        <v>0</v>
      </c>
      <c r="C1899" s="125">
        <f>+IFERROR(VLOOKUP(L1899,'TB mapping'!A:C,3,0),0)</f>
        <v>6.3</v>
      </c>
      <c r="D1899" s="125" t="str">
        <f t="shared" si="196"/>
        <v>LIC080</v>
      </c>
      <c r="E1899" s="125" t="str">
        <f t="shared" si="197"/>
        <v>LIC086.3</v>
      </c>
      <c r="F1899" s="158" t="str">
        <f>+VLOOKUP(H1899,'code mapping'!A:C,3,0)</f>
        <v>LIC08</v>
      </c>
      <c r="G1899" s="127" t="s">
        <v>453</v>
      </c>
      <c r="H1899" s="127" t="s">
        <v>746</v>
      </c>
      <c r="I1899" s="127" t="s">
        <v>228</v>
      </c>
      <c r="J1899" s="128">
        <v>550000</v>
      </c>
      <c r="K1899" s="127" t="s">
        <v>550</v>
      </c>
      <c r="L1899" s="151">
        <v>553190</v>
      </c>
      <c r="M1899" s="128">
        <v>0</v>
      </c>
      <c r="N1899" s="127" t="s">
        <v>561</v>
      </c>
      <c r="O1899" s="127" t="s">
        <v>457</v>
      </c>
      <c r="P1899" s="128">
        <v>-595080.74</v>
      </c>
      <c r="Q1899" s="128">
        <v>0</v>
      </c>
      <c r="R1899" s="128">
        <v>0</v>
      </c>
      <c r="S1899" s="128">
        <v>0</v>
      </c>
      <c r="T1899" s="128">
        <v>-595080.74</v>
      </c>
      <c r="U1899" s="128">
        <v>0</v>
      </c>
      <c r="V1899" s="128">
        <v>-595080.74</v>
      </c>
      <c r="W1899" s="128">
        <v>0</v>
      </c>
      <c r="X1899" s="128">
        <v>0</v>
      </c>
      <c r="Y1899" s="128">
        <v>0</v>
      </c>
      <c r="Z1899" s="128">
        <v>-595080.74</v>
      </c>
      <c r="AA1899" s="128">
        <v>0</v>
      </c>
      <c r="AB1899" s="126">
        <f t="shared" si="198"/>
        <v>5.9508074000000001E-2</v>
      </c>
      <c r="AC1899" s="122" t="s">
        <v>1838</v>
      </c>
      <c r="AD1899" s="123">
        <f t="shared" si="200"/>
        <v>6.3995435970000001</v>
      </c>
    </row>
    <row r="1900" spans="1:30" ht="12.75" hidden="1" customHeight="1">
      <c r="A1900" s="125" t="str">
        <f t="shared" si="195"/>
        <v>LIC08Other Expenses-RG</v>
      </c>
      <c r="B1900" s="125">
        <f>+IFERROR(VLOOKUP(L1900,'TB mapping'!A:D,4,0),0)</f>
        <v>0</v>
      </c>
      <c r="C1900" s="125">
        <f>+IFERROR(VLOOKUP(L1900,'TB mapping'!A:C,3,0),0)</f>
        <v>6.3</v>
      </c>
      <c r="D1900" s="125" t="str">
        <f t="shared" si="196"/>
        <v>LIC080</v>
      </c>
      <c r="E1900" s="125" t="str">
        <f t="shared" si="197"/>
        <v>LIC086.3</v>
      </c>
      <c r="F1900" s="158" t="str">
        <f>+VLOOKUP(H1900,'code mapping'!A:C,3,0)</f>
        <v>LIC08</v>
      </c>
      <c r="G1900" s="127" t="s">
        <v>453</v>
      </c>
      <c r="H1900" s="127" t="s">
        <v>746</v>
      </c>
      <c r="I1900" s="127" t="s">
        <v>228</v>
      </c>
      <c r="J1900" s="128">
        <v>550000</v>
      </c>
      <c r="K1900" s="127" t="s">
        <v>550</v>
      </c>
      <c r="L1900" s="151">
        <v>553191</v>
      </c>
      <c r="M1900" s="128">
        <v>0</v>
      </c>
      <c r="N1900" s="127" t="s">
        <v>562</v>
      </c>
      <c r="O1900" s="127" t="s">
        <v>457</v>
      </c>
      <c r="P1900" s="128">
        <v>-1739581.61</v>
      </c>
      <c r="Q1900" s="128">
        <v>0</v>
      </c>
      <c r="R1900" s="128">
        <v>0</v>
      </c>
      <c r="S1900" s="128">
        <v>0</v>
      </c>
      <c r="T1900" s="128">
        <v>-1739581.61</v>
      </c>
      <c r="U1900" s="128">
        <v>0</v>
      </c>
      <c r="V1900" s="128">
        <v>-1739581.61</v>
      </c>
      <c r="W1900" s="128">
        <v>0</v>
      </c>
      <c r="X1900" s="128">
        <v>0</v>
      </c>
      <c r="Y1900" s="128">
        <v>0</v>
      </c>
      <c r="Z1900" s="128">
        <v>-1739581.61</v>
      </c>
      <c r="AA1900" s="128">
        <v>0</v>
      </c>
      <c r="AB1900" s="126">
        <f t="shared" si="198"/>
        <v>0.173958161</v>
      </c>
      <c r="AC1900" s="122" t="s">
        <v>1838</v>
      </c>
      <c r="AD1900" s="123">
        <f t="shared" si="200"/>
        <v>6.3995435970000001</v>
      </c>
    </row>
    <row r="1901" spans="1:30" ht="12.75" hidden="1" customHeight="1">
      <c r="A1901" s="125" t="str">
        <f t="shared" si="195"/>
        <v>LIC08Other Expenses-RD</v>
      </c>
      <c r="B1901" s="125">
        <f>+IFERROR(VLOOKUP(L1901,'TB mapping'!A:D,4,0),0)</f>
        <v>0</v>
      </c>
      <c r="C1901" s="125">
        <f>+IFERROR(VLOOKUP(L1901,'TB mapping'!A:C,3,0),0)</f>
        <v>6.3</v>
      </c>
      <c r="D1901" s="125" t="str">
        <f t="shared" si="196"/>
        <v>LIC080</v>
      </c>
      <c r="E1901" s="125" t="str">
        <f t="shared" si="197"/>
        <v>LIC086.3</v>
      </c>
      <c r="F1901" s="158" t="str">
        <f>+VLOOKUP(H1901,'code mapping'!A:C,3,0)</f>
        <v>LIC08</v>
      </c>
      <c r="G1901" s="127" t="s">
        <v>453</v>
      </c>
      <c r="H1901" s="127" t="s">
        <v>746</v>
      </c>
      <c r="I1901" s="127" t="s">
        <v>228</v>
      </c>
      <c r="J1901" s="128">
        <v>550000</v>
      </c>
      <c r="K1901" s="127" t="s">
        <v>550</v>
      </c>
      <c r="L1901" s="151">
        <v>553192</v>
      </c>
      <c r="M1901" s="128">
        <v>0</v>
      </c>
      <c r="N1901" s="127" t="s">
        <v>563</v>
      </c>
      <c r="O1901" s="127" t="s">
        <v>457</v>
      </c>
      <c r="P1901" s="128">
        <v>-1052776.03</v>
      </c>
      <c r="Q1901" s="128">
        <v>0</v>
      </c>
      <c r="R1901" s="128">
        <v>0</v>
      </c>
      <c r="S1901" s="128">
        <v>0</v>
      </c>
      <c r="T1901" s="128">
        <v>-1052776.03</v>
      </c>
      <c r="U1901" s="128">
        <v>0</v>
      </c>
      <c r="V1901" s="128">
        <v>-1052776.03</v>
      </c>
      <c r="W1901" s="128">
        <v>0</v>
      </c>
      <c r="X1901" s="128">
        <v>0</v>
      </c>
      <c r="Y1901" s="128">
        <v>0</v>
      </c>
      <c r="Z1901" s="128">
        <v>-1052776.03</v>
      </c>
      <c r="AA1901" s="128">
        <v>0</v>
      </c>
      <c r="AB1901" s="126">
        <f t="shared" si="198"/>
        <v>0.105277603</v>
      </c>
      <c r="AC1901" s="122" t="s">
        <v>1838</v>
      </c>
      <c r="AD1901" s="123">
        <f t="shared" si="200"/>
        <v>6.3995435970000001</v>
      </c>
    </row>
    <row r="1902" spans="1:30" ht="12.75" hidden="1" customHeight="1">
      <c r="A1902" s="125" t="str">
        <f t="shared" si="195"/>
        <v>LIC08Other Exp - Brok - Indirect</v>
      </c>
      <c r="B1902" s="125">
        <f>+IFERROR(VLOOKUP(L1902,'TB mapping'!A:D,4,0),0)</f>
        <v>0</v>
      </c>
      <c r="C1902" s="125">
        <f>+IFERROR(VLOOKUP(L1902,'TB mapping'!A:C,3,0),0)</f>
        <v>6.3</v>
      </c>
      <c r="D1902" s="125" t="str">
        <f t="shared" si="196"/>
        <v>LIC080</v>
      </c>
      <c r="E1902" s="125" t="str">
        <f t="shared" si="197"/>
        <v>LIC086.3</v>
      </c>
      <c r="F1902" s="158" t="str">
        <f>+VLOOKUP(H1902,'code mapping'!A:C,3,0)</f>
        <v>LIC08</v>
      </c>
      <c r="G1902" s="127" t="s">
        <v>453</v>
      </c>
      <c r="H1902" s="127" t="s">
        <v>746</v>
      </c>
      <c r="I1902" s="127" t="s">
        <v>228</v>
      </c>
      <c r="J1902" s="128">
        <v>550000</v>
      </c>
      <c r="K1902" s="127" t="s">
        <v>550</v>
      </c>
      <c r="L1902" s="151">
        <v>553202</v>
      </c>
      <c r="M1902" s="128">
        <v>0</v>
      </c>
      <c r="N1902" s="127" t="s">
        <v>564</v>
      </c>
      <c r="O1902" s="127" t="s">
        <v>457</v>
      </c>
      <c r="P1902" s="128">
        <v>-18801801.16</v>
      </c>
      <c r="Q1902" s="128">
        <v>0</v>
      </c>
      <c r="R1902" s="128">
        <v>0</v>
      </c>
      <c r="S1902" s="128">
        <v>0</v>
      </c>
      <c r="T1902" s="128">
        <v>-18801801.16</v>
      </c>
      <c r="U1902" s="128">
        <v>0</v>
      </c>
      <c r="V1902" s="128">
        <v>-18801801.16</v>
      </c>
      <c r="W1902" s="128">
        <v>0</v>
      </c>
      <c r="X1902" s="128">
        <v>0</v>
      </c>
      <c r="Y1902" s="128">
        <v>0</v>
      </c>
      <c r="Z1902" s="128">
        <v>-18801801.16</v>
      </c>
      <c r="AA1902" s="128">
        <v>0</v>
      </c>
      <c r="AB1902" s="126">
        <f t="shared" si="198"/>
        <v>1.880180116</v>
      </c>
      <c r="AC1902" s="122" t="s">
        <v>1838</v>
      </c>
      <c r="AD1902" s="123">
        <f t="shared" si="200"/>
        <v>6.3995435970000001</v>
      </c>
    </row>
    <row r="1903" spans="1:30" ht="12.75" hidden="1" customHeight="1">
      <c r="A1903" s="125" t="str">
        <f t="shared" si="195"/>
        <v>LIC08Brokerage/Dist Exps</v>
      </c>
      <c r="B1903" s="125">
        <f>+IFERROR(VLOOKUP(L1903,'TB mapping'!A:D,4,0),0)</f>
        <v>0</v>
      </c>
      <c r="C1903" s="125">
        <f>+IFERROR(VLOOKUP(L1903,'TB mapping'!A:C,3,0),0)</f>
        <v>6.3</v>
      </c>
      <c r="D1903" s="125" t="str">
        <f t="shared" si="196"/>
        <v>LIC080</v>
      </c>
      <c r="E1903" s="125" t="str">
        <f t="shared" si="197"/>
        <v>LIC086.3</v>
      </c>
      <c r="F1903" s="158" t="str">
        <f>+VLOOKUP(H1903,'code mapping'!A:C,3,0)</f>
        <v>LIC08</v>
      </c>
      <c r="G1903" s="127" t="s">
        <v>453</v>
      </c>
      <c r="H1903" s="127" t="s">
        <v>746</v>
      </c>
      <c r="I1903" s="127" t="s">
        <v>228</v>
      </c>
      <c r="J1903" s="128">
        <v>550000</v>
      </c>
      <c r="K1903" s="127" t="s">
        <v>550</v>
      </c>
      <c r="L1903" s="151">
        <v>553208</v>
      </c>
      <c r="M1903" s="128">
        <v>0</v>
      </c>
      <c r="N1903" s="127" t="s">
        <v>565</v>
      </c>
      <c r="O1903" s="127" t="s">
        <v>457</v>
      </c>
      <c r="P1903" s="128">
        <v>0</v>
      </c>
      <c r="Q1903" s="128">
        <v>7673880.6799999997</v>
      </c>
      <c r="R1903" s="128">
        <v>0</v>
      </c>
      <c r="S1903" s="128">
        <v>0</v>
      </c>
      <c r="T1903" s="128">
        <v>0</v>
      </c>
      <c r="U1903" s="128">
        <v>7673880.6799999997</v>
      </c>
      <c r="V1903" s="128">
        <v>0</v>
      </c>
      <c r="W1903" s="128">
        <v>7673880.6799999997</v>
      </c>
      <c r="X1903" s="128">
        <v>0</v>
      </c>
      <c r="Y1903" s="128">
        <v>0</v>
      </c>
      <c r="Z1903" s="128">
        <v>0</v>
      </c>
      <c r="AA1903" s="128">
        <v>7673880.6799999997</v>
      </c>
      <c r="AB1903" s="126">
        <f t="shared" si="198"/>
        <v>-0.76738806799999992</v>
      </c>
      <c r="AC1903" s="122" t="s">
        <v>1838</v>
      </c>
      <c r="AD1903" s="123">
        <f t="shared" si="200"/>
        <v>6.3995435970000001</v>
      </c>
    </row>
    <row r="1904" spans="1:30" ht="12.75" hidden="1" customHeight="1">
      <c r="A1904" s="125" t="str">
        <f t="shared" si="195"/>
        <v>LIC08Internal Audit Fee</v>
      </c>
      <c r="B1904" s="125">
        <f>+IFERROR(VLOOKUP(L1904,'TB mapping'!A:D,4,0),0)</f>
        <v>0</v>
      </c>
      <c r="C1904" s="125">
        <f>+IFERROR(VLOOKUP(L1904,'TB mapping'!A:C,3,0),0)</f>
        <v>6.3</v>
      </c>
      <c r="D1904" s="125" t="str">
        <f t="shared" si="196"/>
        <v>LIC080</v>
      </c>
      <c r="E1904" s="125" t="str">
        <f t="shared" si="197"/>
        <v>LIC086.3</v>
      </c>
      <c r="F1904" s="158" t="str">
        <f>+VLOOKUP(H1904,'code mapping'!A:C,3,0)</f>
        <v>LIC08</v>
      </c>
      <c r="G1904" s="127" t="s">
        <v>453</v>
      </c>
      <c r="H1904" s="127" t="s">
        <v>746</v>
      </c>
      <c r="I1904" s="127" t="s">
        <v>228</v>
      </c>
      <c r="J1904" s="128">
        <v>550000</v>
      </c>
      <c r="K1904" s="127" t="s">
        <v>550</v>
      </c>
      <c r="L1904" s="151">
        <v>553213</v>
      </c>
      <c r="M1904" s="128">
        <v>0</v>
      </c>
      <c r="N1904" s="127" t="s">
        <v>566</v>
      </c>
      <c r="O1904" s="127" t="s">
        <v>457</v>
      </c>
      <c r="P1904" s="128">
        <v>-22792.22</v>
      </c>
      <c r="Q1904" s="128">
        <v>0</v>
      </c>
      <c r="R1904" s="128">
        <v>0</v>
      </c>
      <c r="S1904" s="128">
        <v>0</v>
      </c>
      <c r="T1904" s="128">
        <v>-22792.22</v>
      </c>
      <c r="U1904" s="128">
        <v>0</v>
      </c>
      <c r="V1904" s="128">
        <v>-22792.22</v>
      </c>
      <c r="W1904" s="128">
        <v>0</v>
      </c>
      <c r="X1904" s="128">
        <v>0</v>
      </c>
      <c r="Y1904" s="128">
        <v>0</v>
      </c>
      <c r="Z1904" s="128">
        <v>-22792.22</v>
      </c>
      <c r="AA1904" s="128">
        <v>0</v>
      </c>
      <c r="AB1904" s="126">
        <f t="shared" si="198"/>
        <v>2.279222E-3</v>
      </c>
      <c r="AC1904" s="122" t="s">
        <v>1838</v>
      </c>
      <c r="AD1904" s="123">
        <f t="shared" si="200"/>
        <v>6.3995435970000001</v>
      </c>
    </row>
    <row r="1905" spans="1:30" ht="12.75" hidden="1" customHeight="1">
      <c r="A1905" s="125" t="str">
        <f t="shared" si="195"/>
        <v>LIC08Other Expenses-GDP</v>
      </c>
      <c r="B1905" s="125">
        <f>+IFERROR(VLOOKUP(L1905,'TB mapping'!A:D,4,0),0)</f>
        <v>0</v>
      </c>
      <c r="C1905" s="125">
        <f>+IFERROR(VLOOKUP(L1905,'TB mapping'!A:C,3,0),0)</f>
        <v>6.3</v>
      </c>
      <c r="D1905" s="125" t="str">
        <f t="shared" si="196"/>
        <v>LIC080</v>
      </c>
      <c r="E1905" s="125" t="str">
        <f t="shared" si="197"/>
        <v>LIC086.3</v>
      </c>
      <c r="F1905" s="158" t="str">
        <f>+VLOOKUP(H1905,'code mapping'!A:C,3,0)</f>
        <v>LIC08</v>
      </c>
      <c r="G1905" s="127" t="s">
        <v>453</v>
      </c>
      <c r="H1905" s="127" t="s">
        <v>746</v>
      </c>
      <c r="I1905" s="127" t="s">
        <v>228</v>
      </c>
      <c r="J1905" s="128">
        <v>550000</v>
      </c>
      <c r="K1905" s="127" t="s">
        <v>550</v>
      </c>
      <c r="L1905" s="151">
        <v>553329</v>
      </c>
      <c r="M1905" s="128">
        <v>0</v>
      </c>
      <c r="N1905" s="127" t="s">
        <v>567</v>
      </c>
      <c r="O1905" s="127" t="s">
        <v>457</v>
      </c>
      <c r="P1905" s="128">
        <v>-159833.25</v>
      </c>
      <c r="Q1905" s="128">
        <v>0</v>
      </c>
      <c r="R1905" s="128">
        <v>0</v>
      </c>
      <c r="S1905" s="128">
        <v>0</v>
      </c>
      <c r="T1905" s="128">
        <v>-159833.25</v>
      </c>
      <c r="U1905" s="128">
        <v>0</v>
      </c>
      <c r="V1905" s="128">
        <v>-159833.25</v>
      </c>
      <c r="W1905" s="128">
        <v>0</v>
      </c>
      <c r="X1905" s="128">
        <v>0</v>
      </c>
      <c r="Y1905" s="128">
        <v>0</v>
      </c>
      <c r="Z1905" s="128">
        <v>-159833.25</v>
      </c>
      <c r="AA1905" s="128">
        <v>0</v>
      </c>
      <c r="AB1905" s="126">
        <f t="shared" si="198"/>
        <v>1.5983325E-2</v>
      </c>
      <c r="AC1905" s="122" t="s">
        <v>1838</v>
      </c>
      <c r="AD1905" s="123">
        <f t="shared" si="200"/>
        <v>6.3995435970000001</v>
      </c>
    </row>
    <row r="1906" spans="1:30" ht="12.75" hidden="1" customHeight="1">
      <c r="A1906" s="125" t="str">
        <f t="shared" si="195"/>
        <v>LIC08Other Expenses-DDP</v>
      </c>
      <c r="B1906" s="125">
        <f>+IFERROR(VLOOKUP(L1906,'TB mapping'!A:D,4,0),0)</f>
        <v>0</v>
      </c>
      <c r="C1906" s="125">
        <f>+IFERROR(VLOOKUP(L1906,'TB mapping'!A:C,3,0),0)</f>
        <v>6.3</v>
      </c>
      <c r="D1906" s="125" t="str">
        <f t="shared" si="196"/>
        <v>LIC080</v>
      </c>
      <c r="E1906" s="125" t="str">
        <f t="shared" si="197"/>
        <v>LIC086.3</v>
      </c>
      <c r="F1906" s="158" t="str">
        <f>+VLOOKUP(H1906,'code mapping'!A:C,3,0)</f>
        <v>LIC08</v>
      </c>
      <c r="G1906" s="127" t="s">
        <v>453</v>
      </c>
      <c r="H1906" s="127" t="s">
        <v>746</v>
      </c>
      <c r="I1906" s="127" t="s">
        <v>228</v>
      </c>
      <c r="J1906" s="128">
        <v>550000</v>
      </c>
      <c r="K1906" s="127" t="s">
        <v>550</v>
      </c>
      <c r="L1906" s="151">
        <v>553330</v>
      </c>
      <c r="M1906" s="128">
        <v>0</v>
      </c>
      <c r="N1906" s="127" t="s">
        <v>568</v>
      </c>
      <c r="O1906" s="127" t="s">
        <v>457</v>
      </c>
      <c r="P1906" s="128">
        <v>-196509.57</v>
      </c>
      <c r="Q1906" s="128">
        <v>0</v>
      </c>
      <c r="R1906" s="128">
        <v>0</v>
      </c>
      <c r="S1906" s="128">
        <v>0</v>
      </c>
      <c r="T1906" s="128">
        <v>-196509.57</v>
      </c>
      <c r="U1906" s="128">
        <v>0</v>
      </c>
      <c r="V1906" s="128">
        <v>-196509.57</v>
      </c>
      <c r="W1906" s="128">
        <v>0</v>
      </c>
      <c r="X1906" s="128">
        <v>0</v>
      </c>
      <c r="Y1906" s="128">
        <v>0</v>
      </c>
      <c r="Z1906" s="128">
        <v>-196509.57</v>
      </c>
      <c r="AA1906" s="128">
        <v>0</v>
      </c>
      <c r="AB1906" s="126">
        <f t="shared" si="198"/>
        <v>1.9650957E-2</v>
      </c>
      <c r="AC1906" s="122" t="s">
        <v>1838</v>
      </c>
      <c r="AD1906" s="123">
        <f t="shared" si="200"/>
        <v>6.3995435970000001</v>
      </c>
    </row>
    <row r="1907" spans="1:30" ht="12.75" hidden="1" customHeight="1">
      <c r="A1907" s="125" t="str">
        <f t="shared" si="195"/>
        <v>LIC08Exp-Additional TER</v>
      </c>
      <c r="B1907" s="125">
        <f>+IFERROR(VLOOKUP(L1907,'TB mapping'!A:D,4,0),0)</f>
        <v>0</v>
      </c>
      <c r="C1907" s="125">
        <f>+IFERROR(VLOOKUP(L1907,'TB mapping'!A:C,3,0),0)</f>
        <v>6.3</v>
      </c>
      <c r="D1907" s="125" t="str">
        <f t="shared" si="196"/>
        <v>LIC080</v>
      </c>
      <c r="E1907" s="125" t="str">
        <f t="shared" si="197"/>
        <v>LIC086.3</v>
      </c>
      <c r="F1907" s="158" t="str">
        <f>+VLOOKUP(H1907,'code mapping'!A:C,3,0)</f>
        <v>LIC08</v>
      </c>
      <c r="G1907" s="127" t="s">
        <v>453</v>
      </c>
      <c r="H1907" s="127" t="s">
        <v>746</v>
      </c>
      <c r="I1907" s="127" t="s">
        <v>228</v>
      </c>
      <c r="J1907" s="128">
        <v>550000</v>
      </c>
      <c r="K1907" s="127" t="s">
        <v>550</v>
      </c>
      <c r="L1907" s="151">
        <v>553900</v>
      </c>
      <c r="M1907" s="128">
        <v>0</v>
      </c>
      <c r="N1907" s="127" t="s">
        <v>638</v>
      </c>
      <c r="O1907" s="127" t="s">
        <v>457</v>
      </c>
      <c r="P1907" s="128">
        <v>-5471904.6399999997</v>
      </c>
      <c r="Q1907" s="128">
        <v>0</v>
      </c>
      <c r="R1907" s="128">
        <v>0</v>
      </c>
      <c r="S1907" s="128">
        <v>0</v>
      </c>
      <c r="T1907" s="128">
        <v>-5471904.6399999997</v>
      </c>
      <c r="U1907" s="128">
        <v>0</v>
      </c>
      <c r="V1907" s="128">
        <v>-5471904.6399999997</v>
      </c>
      <c r="W1907" s="128">
        <v>0</v>
      </c>
      <c r="X1907" s="128">
        <v>0</v>
      </c>
      <c r="Y1907" s="128">
        <v>0</v>
      </c>
      <c r="Z1907" s="128">
        <v>-5471904.6399999997</v>
      </c>
      <c r="AA1907" s="128">
        <v>0</v>
      </c>
      <c r="AB1907" s="126">
        <f t="shared" si="198"/>
        <v>0.54719046399999993</v>
      </c>
      <c r="AC1907" s="122" t="s">
        <v>1838</v>
      </c>
      <c r="AD1907" s="123">
        <f t="shared" si="200"/>
        <v>6.3995435970000001</v>
      </c>
    </row>
    <row r="1908" spans="1:30" ht="12.75" hidden="1" customHeight="1">
      <c r="A1908" s="125" t="str">
        <f t="shared" si="195"/>
        <v>LIC08Inv Educ Fund Expense - Amfi</v>
      </c>
      <c r="B1908" s="125">
        <f>+IFERROR(VLOOKUP(L1908,'TB mapping'!A:D,4,0),0)</f>
        <v>0</v>
      </c>
      <c r="C1908" s="125">
        <f>+IFERROR(VLOOKUP(L1908,'TB mapping'!A:C,3,0),0)</f>
        <v>6.3</v>
      </c>
      <c r="D1908" s="125" t="str">
        <f t="shared" si="196"/>
        <v>LIC080</v>
      </c>
      <c r="E1908" s="125" t="str">
        <f t="shared" si="197"/>
        <v>LIC086.3</v>
      </c>
      <c r="F1908" s="158" t="str">
        <f>+VLOOKUP(H1908,'code mapping'!A:C,3,0)</f>
        <v>LIC08</v>
      </c>
      <c r="G1908" s="127" t="s">
        <v>453</v>
      </c>
      <c r="H1908" s="127" t="s">
        <v>746</v>
      </c>
      <c r="I1908" s="127" t="s">
        <v>228</v>
      </c>
      <c r="J1908" s="128">
        <v>550000</v>
      </c>
      <c r="K1908" s="127" t="s">
        <v>550</v>
      </c>
      <c r="L1908" s="151">
        <v>554526</v>
      </c>
      <c r="M1908" s="128">
        <v>0</v>
      </c>
      <c r="N1908" s="127" t="s">
        <v>569</v>
      </c>
      <c r="O1908" s="127" t="s">
        <v>457</v>
      </c>
      <c r="P1908" s="128">
        <v>-228420.06</v>
      </c>
      <c r="Q1908" s="128">
        <v>0</v>
      </c>
      <c r="R1908" s="128">
        <v>0</v>
      </c>
      <c r="S1908" s="128">
        <v>0</v>
      </c>
      <c r="T1908" s="128">
        <v>-228420.06</v>
      </c>
      <c r="U1908" s="128">
        <v>0</v>
      </c>
      <c r="V1908" s="128">
        <v>-228420.06</v>
      </c>
      <c r="W1908" s="128">
        <v>0</v>
      </c>
      <c r="X1908" s="128">
        <v>0</v>
      </c>
      <c r="Y1908" s="128">
        <v>0</v>
      </c>
      <c r="Z1908" s="128">
        <v>-228420.06</v>
      </c>
      <c r="AA1908" s="128">
        <v>0</v>
      </c>
      <c r="AB1908" s="126">
        <f t="shared" si="198"/>
        <v>2.2842005999999998E-2</v>
      </c>
      <c r="AC1908" s="122" t="s">
        <v>1838</v>
      </c>
      <c r="AD1908" s="123">
        <f t="shared" si="200"/>
        <v>6.3995435970000001</v>
      </c>
    </row>
    <row r="1909" spans="1:30" ht="12.75" hidden="1" customHeight="1">
      <c r="A1909" s="125" t="str">
        <f t="shared" si="195"/>
        <v>LIC08Transaction Processing Charges</v>
      </c>
      <c r="B1909" s="125">
        <f>+IFERROR(VLOOKUP(L1909,'TB mapping'!A:D,4,0),0)</f>
        <v>0</v>
      </c>
      <c r="C1909" s="125">
        <f>+IFERROR(VLOOKUP(L1909,'TB mapping'!A:C,3,0),0)</f>
        <v>6.3</v>
      </c>
      <c r="D1909" s="125" t="str">
        <f t="shared" si="196"/>
        <v>LIC080</v>
      </c>
      <c r="E1909" s="125" t="str">
        <f t="shared" si="197"/>
        <v>LIC086.3</v>
      </c>
      <c r="F1909" s="158" t="str">
        <f>+VLOOKUP(H1909,'code mapping'!A:C,3,0)</f>
        <v>LIC08</v>
      </c>
      <c r="G1909" s="127" t="s">
        <v>453</v>
      </c>
      <c r="H1909" s="127" t="s">
        <v>746</v>
      </c>
      <c r="I1909" s="127" t="s">
        <v>228</v>
      </c>
      <c r="J1909" s="128">
        <v>550000</v>
      </c>
      <c r="K1909" s="127" t="s">
        <v>550</v>
      </c>
      <c r="L1909" s="151">
        <v>554527</v>
      </c>
      <c r="M1909" s="128">
        <v>0</v>
      </c>
      <c r="N1909" s="127" t="s">
        <v>570</v>
      </c>
      <c r="O1909" s="127" t="s">
        <v>457</v>
      </c>
      <c r="P1909" s="128">
        <v>-1592</v>
      </c>
      <c r="Q1909" s="128">
        <v>0</v>
      </c>
      <c r="R1909" s="128">
        <v>0</v>
      </c>
      <c r="S1909" s="128">
        <v>0</v>
      </c>
      <c r="T1909" s="128">
        <v>-1592</v>
      </c>
      <c r="U1909" s="128">
        <v>0</v>
      </c>
      <c r="V1909" s="128">
        <v>-1592</v>
      </c>
      <c r="W1909" s="128">
        <v>0</v>
      </c>
      <c r="X1909" s="128">
        <v>0</v>
      </c>
      <c r="Y1909" s="128">
        <v>0</v>
      </c>
      <c r="Z1909" s="128">
        <v>-1592</v>
      </c>
      <c r="AA1909" s="128">
        <v>0</v>
      </c>
      <c r="AB1909" s="126">
        <f t="shared" si="198"/>
        <v>1.5919999999999999E-4</v>
      </c>
      <c r="AC1909" s="122" t="s">
        <v>1838</v>
      </c>
      <c r="AD1909" s="123">
        <f t="shared" si="200"/>
        <v>6.3995435970000001</v>
      </c>
    </row>
    <row r="1910" spans="1:30" ht="12.75" hidden="1" customHeight="1">
      <c r="A1910" s="125" t="str">
        <f t="shared" si="195"/>
        <v>LIC08Client Servicing Expenes</v>
      </c>
      <c r="B1910" s="125">
        <f>+IFERROR(VLOOKUP(L1910,'TB mapping'!A:D,4,0),0)</f>
        <v>0</v>
      </c>
      <c r="C1910" s="125">
        <f>+IFERROR(VLOOKUP(L1910,'TB mapping'!A:C,3,0),0)</f>
        <v>6.3</v>
      </c>
      <c r="D1910" s="125" t="str">
        <f t="shared" si="196"/>
        <v>LIC080</v>
      </c>
      <c r="E1910" s="125" t="str">
        <f t="shared" si="197"/>
        <v>LIC086.3</v>
      </c>
      <c r="F1910" s="158" t="str">
        <f>+VLOOKUP(H1910,'code mapping'!A:C,3,0)</f>
        <v>LIC08</v>
      </c>
      <c r="G1910" s="127" t="s">
        <v>453</v>
      </c>
      <c r="H1910" s="127" t="s">
        <v>746</v>
      </c>
      <c r="I1910" s="127" t="s">
        <v>228</v>
      </c>
      <c r="J1910" s="128">
        <v>550000</v>
      </c>
      <c r="K1910" s="127" t="s">
        <v>550</v>
      </c>
      <c r="L1910" s="151">
        <v>555157</v>
      </c>
      <c r="M1910" s="128">
        <v>0</v>
      </c>
      <c r="N1910" s="127" t="s">
        <v>571</v>
      </c>
      <c r="O1910" s="127" t="s">
        <v>457</v>
      </c>
      <c r="P1910" s="128">
        <v>-15185072.140000001</v>
      </c>
      <c r="Q1910" s="128">
        <v>0</v>
      </c>
      <c r="R1910" s="128">
        <v>0</v>
      </c>
      <c r="S1910" s="128">
        <v>0</v>
      </c>
      <c r="T1910" s="128">
        <v>-15185072.140000001</v>
      </c>
      <c r="U1910" s="128">
        <v>0</v>
      </c>
      <c r="V1910" s="128">
        <v>-15185072.140000001</v>
      </c>
      <c r="W1910" s="128">
        <v>0</v>
      </c>
      <c r="X1910" s="128">
        <v>0</v>
      </c>
      <c r="Y1910" s="128">
        <v>0</v>
      </c>
      <c r="Z1910" s="128">
        <v>-15185072.140000001</v>
      </c>
      <c r="AA1910" s="128">
        <v>0</v>
      </c>
      <c r="AB1910" s="126">
        <f t="shared" si="198"/>
        <v>1.518507214</v>
      </c>
      <c r="AC1910" s="122" t="s">
        <v>1838</v>
      </c>
      <c r="AD1910" s="123">
        <f t="shared" si="200"/>
        <v>6.3995435970000001</v>
      </c>
    </row>
    <row r="1911" spans="1:30" ht="12.75" hidden="1" customHeight="1">
      <c r="A1911" s="125" t="str">
        <f t="shared" si="195"/>
        <v>LIC08Management Fee-Reclassfication</v>
      </c>
      <c r="B1911" s="125">
        <f>+IFERROR(VLOOKUP(L1911,'TB mapping'!A:D,4,0),0)</f>
        <v>6.1</v>
      </c>
      <c r="C1911" s="125">
        <f>+IFERROR(VLOOKUP(L1911,'TB mapping'!A:C,3,0),0)</f>
        <v>6.3</v>
      </c>
      <c r="D1911" s="125" t="str">
        <f t="shared" si="196"/>
        <v>LIC086.1</v>
      </c>
      <c r="E1911" s="125" t="str">
        <f t="shared" si="197"/>
        <v>LIC086.3</v>
      </c>
      <c r="F1911" s="158" t="str">
        <f>+VLOOKUP(H1911,'code mapping'!A:C,3,0)</f>
        <v>LIC08</v>
      </c>
      <c r="G1911" s="127" t="s">
        <v>453</v>
      </c>
      <c r="H1911" s="127" t="s">
        <v>746</v>
      </c>
      <c r="I1911" s="127" t="s">
        <v>228</v>
      </c>
      <c r="J1911" s="128">
        <v>550000</v>
      </c>
      <c r="K1911" s="127" t="s">
        <v>550</v>
      </c>
      <c r="L1911" s="151">
        <v>555274</v>
      </c>
      <c r="M1911" s="128">
        <v>0</v>
      </c>
      <c r="N1911" s="127" t="s">
        <v>583</v>
      </c>
      <c r="O1911" s="127" t="s">
        <v>457</v>
      </c>
      <c r="P1911" s="128">
        <v>-1779661.38</v>
      </c>
      <c r="Q1911" s="128">
        <v>0</v>
      </c>
      <c r="R1911" s="128">
        <v>0</v>
      </c>
      <c r="S1911" s="128">
        <v>0</v>
      </c>
      <c r="T1911" s="128">
        <v>-1779661.38</v>
      </c>
      <c r="U1911" s="128">
        <v>0</v>
      </c>
      <c r="V1911" s="128">
        <v>-1779661.38</v>
      </c>
      <c r="W1911" s="128">
        <v>0</v>
      </c>
      <c r="X1911" s="128">
        <v>0</v>
      </c>
      <c r="Y1911" s="128">
        <v>0</v>
      </c>
      <c r="Z1911" s="128">
        <v>-1779661.38</v>
      </c>
      <c r="AA1911" s="128">
        <v>0</v>
      </c>
      <c r="AB1911" s="126">
        <f t="shared" si="198"/>
        <v>0.177966138</v>
      </c>
      <c r="AC1911" s="122" t="s">
        <v>1838</v>
      </c>
      <c r="AD1911" s="123">
        <f t="shared" si="200"/>
        <v>6.3995435970000001</v>
      </c>
    </row>
    <row r="1912" spans="1:30" ht="12.75" hidden="1" customHeight="1">
      <c r="A1912" s="125" t="str">
        <f t="shared" si="195"/>
        <v>LIC08CGST on Reclassify of Exp</v>
      </c>
      <c r="B1912" s="125">
        <f>+IFERROR(VLOOKUP(L1912,'TB mapping'!A:D,4,0),0)</f>
        <v>0</v>
      </c>
      <c r="C1912" s="125">
        <f>+IFERROR(VLOOKUP(L1912,'TB mapping'!A:C,3,0),0)</f>
        <v>6.3</v>
      </c>
      <c r="D1912" s="125" t="str">
        <f t="shared" si="196"/>
        <v>LIC080</v>
      </c>
      <c r="E1912" s="125" t="str">
        <f t="shared" si="197"/>
        <v>LIC086.3</v>
      </c>
      <c r="F1912" s="158" t="str">
        <f>+VLOOKUP(H1912,'code mapping'!A:C,3,0)</f>
        <v>LIC08</v>
      </c>
      <c r="G1912" s="127" t="s">
        <v>453</v>
      </c>
      <c r="H1912" s="127" t="s">
        <v>746</v>
      </c>
      <c r="I1912" s="127" t="s">
        <v>228</v>
      </c>
      <c r="J1912" s="128">
        <v>550000</v>
      </c>
      <c r="K1912" s="127" t="s">
        <v>550</v>
      </c>
      <c r="L1912" s="151">
        <v>555276</v>
      </c>
      <c r="M1912" s="128">
        <v>0</v>
      </c>
      <c r="N1912" s="127" t="s">
        <v>572</v>
      </c>
      <c r="O1912" s="127" t="s">
        <v>457</v>
      </c>
      <c r="P1912" s="128">
        <v>-83898.31</v>
      </c>
      <c r="Q1912" s="128">
        <v>0</v>
      </c>
      <c r="R1912" s="128">
        <v>0</v>
      </c>
      <c r="S1912" s="128">
        <v>0</v>
      </c>
      <c r="T1912" s="128">
        <v>-83898.31</v>
      </c>
      <c r="U1912" s="128">
        <v>0</v>
      </c>
      <c r="V1912" s="128">
        <v>-83898.31</v>
      </c>
      <c r="W1912" s="128">
        <v>0</v>
      </c>
      <c r="X1912" s="128">
        <v>0</v>
      </c>
      <c r="Y1912" s="128">
        <v>0</v>
      </c>
      <c r="Z1912" s="128">
        <v>-83898.31</v>
      </c>
      <c r="AA1912" s="128">
        <v>0</v>
      </c>
      <c r="AB1912" s="126">
        <f t="shared" si="198"/>
        <v>8.3898310000000004E-3</v>
      </c>
      <c r="AC1912" s="122" t="s">
        <v>1838</v>
      </c>
      <c r="AD1912" s="123">
        <f t="shared" si="200"/>
        <v>6.3995435970000001</v>
      </c>
    </row>
    <row r="1913" spans="1:30" ht="12.75" hidden="1" customHeight="1">
      <c r="A1913" s="125" t="str">
        <f t="shared" ref="A1913:A1976" si="201">+F1913&amp;N1913</f>
        <v>LIC08SGST on Reclassify of Exp</v>
      </c>
      <c r="B1913" s="125">
        <f>+IFERROR(VLOOKUP(L1913,'TB mapping'!A:D,4,0),0)</f>
        <v>0</v>
      </c>
      <c r="C1913" s="125">
        <f>+IFERROR(VLOOKUP(L1913,'TB mapping'!A:C,3,0),0)</f>
        <v>6.3</v>
      </c>
      <c r="D1913" s="125" t="str">
        <f t="shared" ref="D1913:D1976" si="202">+F1913&amp;B1913</f>
        <v>LIC080</v>
      </c>
      <c r="E1913" s="125" t="str">
        <f t="shared" ref="E1913:E1976" si="203">+F1913&amp;C1913</f>
        <v>LIC086.3</v>
      </c>
      <c r="F1913" s="158" t="str">
        <f>+VLOOKUP(H1913,'code mapping'!A:C,3,0)</f>
        <v>LIC08</v>
      </c>
      <c r="G1913" s="127" t="s">
        <v>453</v>
      </c>
      <c r="H1913" s="127" t="s">
        <v>746</v>
      </c>
      <c r="I1913" s="127" t="s">
        <v>228</v>
      </c>
      <c r="J1913" s="128">
        <v>550000</v>
      </c>
      <c r="K1913" s="127" t="s">
        <v>550</v>
      </c>
      <c r="L1913" s="151">
        <v>555277</v>
      </c>
      <c r="M1913" s="128">
        <v>0</v>
      </c>
      <c r="N1913" s="127" t="s">
        <v>573</v>
      </c>
      <c r="O1913" s="127" t="s">
        <v>457</v>
      </c>
      <c r="P1913" s="128">
        <v>-83898.31</v>
      </c>
      <c r="Q1913" s="128">
        <v>0</v>
      </c>
      <c r="R1913" s="128">
        <v>0</v>
      </c>
      <c r="S1913" s="128">
        <v>0</v>
      </c>
      <c r="T1913" s="128">
        <v>-83898.31</v>
      </c>
      <c r="U1913" s="128">
        <v>0</v>
      </c>
      <c r="V1913" s="128">
        <v>-83898.31</v>
      </c>
      <c r="W1913" s="128">
        <v>0</v>
      </c>
      <c r="X1913" s="128">
        <v>0</v>
      </c>
      <c r="Y1913" s="128">
        <v>0</v>
      </c>
      <c r="Z1913" s="128">
        <v>-83898.31</v>
      </c>
      <c r="AA1913" s="128">
        <v>0</v>
      </c>
      <c r="AB1913" s="126">
        <f t="shared" ref="AB1913:AB1976" si="204">SUM(-Z1913-AA1913)/10^7</f>
        <v>8.3898310000000004E-3</v>
      </c>
      <c r="AC1913" s="122" t="s">
        <v>1838</v>
      </c>
      <c r="AD1913" s="123">
        <f t="shared" si="200"/>
        <v>6.3995435970000001</v>
      </c>
    </row>
    <row r="1914" spans="1:30" ht="12.75" hidden="1" customHeight="1">
      <c r="A1914" s="125" t="str">
        <f t="shared" si="201"/>
        <v>LIC08Other Expense-Reclassfication</v>
      </c>
      <c r="B1914" s="125">
        <f>+IFERROR(VLOOKUP(L1914,'TB mapping'!A:D,4,0),0)</f>
        <v>0</v>
      </c>
      <c r="C1914" s="125">
        <f>+IFERROR(VLOOKUP(L1914,'TB mapping'!A:C,3,0),0)</f>
        <v>0</v>
      </c>
      <c r="D1914" s="125" t="str">
        <f t="shared" si="202"/>
        <v>LIC080</v>
      </c>
      <c r="E1914" s="125" t="str">
        <f t="shared" si="203"/>
        <v>LIC080</v>
      </c>
      <c r="F1914" s="158" t="str">
        <f>+VLOOKUP(H1914,'code mapping'!A:C,3,0)</f>
        <v>LIC08</v>
      </c>
      <c r="G1914" s="127" t="s">
        <v>453</v>
      </c>
      <c r="H1914" s="127" t="s">
        <v>746</v>
      </c>
      <c r="I1914" s="127" t="s">
        <v>228</v>
      </c>
      <c r="J1914" s="128">
        <v>550000</v>
      </c>
      <c r="K1914" s="127" t="s">
        <v>550</v>
      </c>
      <c r="L1914" s="151">
        <v>555280</v>
      </c>
      <c r="M1914" s="128">
        <v>0</v>
      </c>
      <c r="N1914" s="127" t="s">
        <v>1590</v>
      </c>
      <c r="O1914" s="127" t="s">
        <v>457</v>
      </c>
      <c r="P1914" s="128">
        <v>0</v>
      </c>
      <c r="Q1914" s="128">
        <v>800000</v>
      </c>
      <c r="R1914" s="128">
        <v>0</v>
      </c>
      <c r="S1914" s="128">
        <v>0</v>
      </c>
      <c r="T1914" s="128">
        <v>0</v>
      </c>
      <c r="U1914" s="128">
        <v>800000</v>
      </c>
      <c r="V1914" s="128">
        <v>0</v>
      </c>
      <c r="W1914" s="128">
        <v>800000</v>
      </c>
      <c r="X1914" s="128">
        <v>0</v>
      </c>
      <c r="Y1914" s="128">
        <v>0</v>
      </c>
      <c r="Z1914" s="128">
        <v>0</v>
      </c>
      <c r="AA1914" s="128">
        <v>800000</v>
      </c>
      <c r="AB1914" s="126">
        <f t="shared" si="204"/>
        <v>-0.08</v>
      </c>
      <c r="AC1914" s="122" t="s">
        <v>1838</v>
      </c>
      <c r="AD1914" s="123">
        <f>SUMIF(C:C,C1914,AB:AB)</f>
        <v>1983.9723217250009</v>
      </c>
    </row>
    <row r="1915" spans="1:30" ht="12.75" hidden="1" customHeight="1">
      <c r="A1915" s="125" t="str">
        <f t="shared" si="201"/>
        <v>LIC08CGST on Mfees</v>
      </c>
      <c r="B1915" s="125">
        <f>+IFERROR(VLOOKUP(L1915,'TB mapping'!A:D,4,0),0)</f>
        <v>6.1</v>
      </c>
      <c r="C1915" s="125">
        <f>+IFERROR(VLOOKUP(L1915,'TB mapping'!A:C,3,0),0)</f>
        <v>6.3</v>
      </c>
      <c r="D1915" s="125" t="str">
        <f t="shared" si="202"/>
        <v>LIC086.1</v>
      </c>
      <c r="E1915" s="125" t="str">
        <f t="shared" si="203"/>
        <v>LIC086.3</v>
      </c>
      <c r="F1915" s="158" t="str">
        <f>+VLOOKUP(H1915,'code mapping'!A:C,3,0)</f>
        <v>LIC08</v>
      </c>
      <c r="G1915" s="127" t="s">
        <v>453</v>
      </c>
      <c r="H1915" s="127" t="s">
        <v>746</v>
      </c>
      <c r="I1915" s="127" t="s">
        <v>228</v>
      </c>
      <c r="J1915" s="128">
        <v>550000</v>
      </c>
      <c r="K1915" s="127" t="s">
        <v>550</v>
      </c>
      <c r="L1915" s="151">
        <v>555597</v>
      </c>
      <c r="M1915" s="128">
        <v>0</v>
      </c>
      <c r="N1915" s="127" t="s">
        <v>574</v>
      </c>
      <c r="O1915" s="127" t="s">
        <v>457</v>
      </c>
      <c r="P1915" s="128">
        <v>-1747527.75</v>
      </c>
      <c r="Q1915" s="128">
        <v>0</v>
      </c>
      <c r="R1915" s="128">
        <v>0</v>
      </c>
      <c r="S1915" s="128">
        <v>0</v>
      </c>
      <c r="T1915" s="128">
        <v>-1747527.75</v>
      </c>
      <c r="U1915" s="128">
        <v>0</v>
      </c>
      <c r="V1915" s="128">
        <v>-1747527.75</v>
      </c>
      <c r="W1915" s="128">
        <v>0</v>
      </c>
      <c r="X1915" s="128">
        <v>0</v>
      </c>
      <c r="Y1915" s="128">
        <v>0</v>
      </c>
      <c r="Z1915" s="128">
        <v>-1747527.75</v>
      </c>
      <c r="AA1915" s="128">
        <v>0</v>
      </c>
      <c r="AB1915" s="126">
        <f t="shared" si="204"/>
        <v>0.174752775</v>
      </c>
      <c r="AC1915" s="122" t="s">
        <v>1838</v>
      </c>
      <c r="AD1915" s="123">
        <f t="shared" ref="AD1915:AD1924" si="205">SUMIF(E:E,E1915,AB:AB)</f>
        <v>6.3995435970000001</v>
      </c>
    </row>
    <row r="1916" spans="1:30" ht="12.75" hidden="1" customHeight="1">
      <c r="A1916" s="125" t="str">
        <f t="shared" si="201"/>
        <v>LIC08SGST on Mfees</v>
      </c>
      <c r="B1916" s="125">
        <f>+IFERROR(VLOOKUP(L1916,'TB mapping'!A:D,4,0),0)</f>
        <v>6.1</v>
      </c>
      <c r="C1916" s="125">
        <f>+IFERROR(VLOOKUP(L1916,'TB mapping'!A:C,3,0),0)</f>
        <v>6.3</v>
      </c>
      <c r="D1916" s="125" t="str">
        <f t="shared" si="202"/>
        <v>LIC086.1</v>
      </c>
      <c r="E1916" s="125" t="str">
        <f t="shared" si="203"/>
        <v>LIC086.3</v>
      </c>
      <c r="F1916" s="158" t="str">
        <f>+VLOOKUP(H1916,'code mapping'!A:C,3,0)</f>
        <v>LIC08</v>
      </c>
      <c r="G1916" s="127" t="s">
        <v>453</v>
      </c>
      <c r="H1916" s="127" t="s">
        <v>746</v>
      </c>
      <c r="I1916" s="127" t="s">
        <v>228</v>
      </c>
      <c r="J1916" s="128">
        <v>550000</v>
      </c>
      <c r="K1916" s="127" t="s">
        <v>550</v>
      </c>
      <c r="L1916" s="151">
        <v>555598</v>
      </c>
      <c r="M1916" s="128">
        <v>0</v>
      </c>
      <c r="N1916" s="127" t="s">
        <v>575</v>
      </c>
      <c r="O1916" s="127" t="s">
        <v>457</v>
      </c>
      <c r="P1916" s="128">
        <v>-1747528.1</v>
      </c>
      <c r="Q1916" s="128">
        <v>0</v>
      </c>
      <c r="R1916" s="128">
        <v>0</v>
      </c>
      <c r="S1916" s="128">
        <v>0</v>
      </c>
      <c r="T1916" s="128">
        <v>-1747528.1</v>
      </c>
      <c r="U1916" s="128">
        <v>0</v>
      </c>
      <c r="V1916" s="128">
        <v>-1747528.1</v>
      </c>
      <c r="W1916" s="128">
        <v>0</v>
      </c>
      <c r="X1916" s="128">
        <v>0</v>
      </c>
      <c r="Y1916" s="128">
        <v>0</v>
      </c>
      <c r="Z1916" s="128">
        <v>-1747528.1</v>
      </c>
      <c r="AA1916" s="128">
        <v>0</v>
      </c>
      <c r="AB1916" s="126">
        <f t="shared" si="204"/>
        <v>0.17475281000000001</v>
      </c>
      <c r="AC1916" s="122" t="s">
        <v>1838</v>
      </c>
      <c r="AD1916" s="123">
        <f t="shared" si="205"/>
        <v>6.3995435970000001</v>
      </c>
    </row>
    <row r="1917" spans="1:30" ht="12.75" hidden="1" customHeight="1">
      <c r="A1917" s="125" t="str">
        <f t="shared" si="201"/>
        <v>LIC08CGST on Mfees -GDP</v>
      </c>
      <c r="B1917" s="125">
        <f>+IFERROR(VLOOKUP(L1917,'TB mapping'!A:D,4,0),0)</f>
        <v>6.1</v>
      </c>
      <c r="C1917" s="125">
        <f>+IFERROR(VLOOKUP(L1917,'TB mapping'!A:C,3,0),0)</f>
        <v>6.3</v>
      </c>
      <c r="D1917" s="125" t="str">
        <f t="shared" si="202"/>
        <v>LIC086.1</v>
      </c>
      <c r="E1917" s="125" t="str">
        <f t="shared" si="203"/>
        <v>LIC086.3</v>
      </c>
      <c r="F1917" s="158" t="str">
        <f>+VLOOKUP(H1917,'code mapping'!A:C,3,0)</f>
        <v>LIC08</v>
      </c>
      <c r="G1917" s="127" t="s">
        <v>453</v>
      </c>
      <c r="H1917" s="127" t="s">
        <v>746</v>
      </c>
      <c r="I1917" s="127" t="s">
        <v>228</v>
      </c>
      <c r="J1917" s="128">
        <v>550000</v>
      </c>
      <c r="K1917" s="127" t="s">
        <v>550</v>
      </c>
      <c r="L1917" s="151">
        <v>555599</v>
      </c>
      <c r="M1917" s="128">
        <v>0</v>
      </c>
      <c r="N1917" s="127" t="s">
        <v>576</v>
      </c>
      <c r="O1917" s="127" t="s">
        <v>457</v>
      </c>
      <c r="P1917" s="128">
        <v>0</v>
      </c>
      <c r="Q1917" s="128">
        <v>510.47</v>
      </c>
      <c r="R1917" s="128">
        <v>0</v>
      </c>
      <c r="S1917" s="128">
        <v>0</v>
      </c>
      <c r="T1917" s="128">
        <v>0</v>
      </c>
      <c r="U1917" s="128">
        <v>510.47</v>
      </c>
      <c r="V1917" s="128">
        <v>0</v>
      </c>
      <c r="W1917" s="128">
        <v>510.47</v>
      </c>
      <c r="X1917" s="128">
        <v>0</v>
      </c>
      <c r="Y1917" s="128">
        <v>0</v>
      </c>
      <c r="Z1917" s="128">
        <v>0</v>
      </c>
      <c r="AA1917" s="128">
        <v>510.47</v>
      </c>
      <c r="AB1917" s="126">
        <f t="shared" si="204"/>
        <v>-5.1047000000000001E-5</v>
      </c>
      <c r="AC1917" s="122" t="s">
        <v>1838</v>
      </c>
      <c r="AD1917" s="123">
        <f t="shared" si="205"/>
        <v>6.3995435970000001</v>
      </c>
    </row>
    <row r="1918" spans="1:30" ht="12.75" hidden="1" customHeight="1">
      <c r="A1918" s="125" t="str">
        <f t="shared" si="201"/>
        <v>LIC08SGST on Mfees -GDP</v>
      </c>
      <c r="B1918" s="125">
        <f>+IFERROR(VLOOKUP(L1918,'TB mapping'!A:D,4,0),0)</f>
        <v>6.1</v>
      </c>
      <c r="C1918" s="125">
        <f>+IFERROR(VLOOKUP(L1918,'TB mapping'!A:C,3,0),0)</f>
        <v>6.3</v>
      </c>
      <c r="D1918" s="125" t="str">
        <f t="shared" si="202"/>
        <v>LIC086.1</v>
      </c>
      <c r="E1918" s="125" t="str">
        <f t="shared" si="203"/>
        <v>LIC086.3</v>
      </c>
      <c r="F1918" s="158" t="str">
        <f>+VLOOKUP(H1918,'code mapping'!A:C,3,0)</f>
        <v>LIC08</v>
      </c>
      <c r="G1918" s="127" t="s">
        <v>453</v>
      </c>
      <c r="H1918" s="127" t="s">
        <v>746</v>
      </c>
      <c r="I1918" s="127" t="s">
        <v>228</v>
      </c>
      <c r="J1918" s="128">
        <v>550000</v>
      </c>
      <c r="K1918" s="127" t="s">
        <v>550</v>
      </c>
      <c r="L1918" s="151">
        <v>555600</v>
      </c>
      <c r="M1918" s="128">
        <v>0</v>
      </c>
      <c r="N1918" s="127" t="s">
        <v>577</v>
      </c>
      <c r="O1918" s="127" t="s">
        <v>457</v>
      </c>
      <c r="P1918" s="128">
        <v>0</v>
      </c>
      <c r="Q1918" s="128">
        <v>510.82</v>
      </c>
      <c r="R1918" s="128">
        <v>0</v>
      </c>
      <c r="S1918" s="128">
        <v>0</v>
      </c>
      <c r="T1918" s="128">
        <v>0</v>
      </c>
      <c r="U1918" s="128">
        <v>510.82</v>
      </c>
      <c r="V1918" s="128">
        <v>0</v>
      </c>
      <c r="W1918" s="128">
        <v>510.82</v>
      </c>
      <c r="X1918" s="128">
        <v>0</v>
      </c>
      <c r="Y1918" s="128">
        <v>0</v>
      </c>
      <c r="Z1918" s="128">
        <v>0</v>
      </c>
      <c r="AA1918" s="128">
        <v>510.82</v>
      </c>
      <c r="AB1918" s="126">
        <f t="shared" si="204"/>
        <v>-5.1081999999999996E-5</v>
      </c>
      <c r="AC1918" s="122" t="s">
        <v>1838</v>
      </c>
      <c r="AD1918" s="123">
        <f t="shared" si="205"/>
        <v>6.3995435970000001</v>
      </c>
    </row>
    <row r="1919" spans="1:30" ht="12.75" hidden="1" customHeight="1">
      <c r="A1919" s="125" t="str">
        <f t="shared" si="201"/>
        <v>LIC08Operating Expenses</v>
      </c>
      <c r="B1919" s="125">
        <f>+IFERROR(VLOOKUP(L1919,'TB mapping'!A:D,4,0),0)</f>
        <v>0</v>
      </c>
      <c r="C1919" s="125">
        <f>+IFERROR(VLOOKUP(L1919,'TB mapping'!A:C,3,0),0)</f>
        <v>6.3</v>
      </c>
      <c r="D1919" s="125" t="str">
        <f t="shared" si="202"/>
        <v>LIC080</v>
      </c>
      <c r="E1919" s="125" t="str">
        <f t="shared" si="203"/>
        <v>LIC086.3</v>
      </c>
      <c r="F1919" s="158" t="str">
        <f>+VLOOKUP(H1919,'code mapping'!A:C,3,0)</f>
        <v>LIC08</v>
      </c>
      <c r="G1919" s="127" t="s">
        <v>453</v>
      </c>
      <c r="H1919" s="127" t="s">
        <v>746</v>
      </c>
      <c r="I1919" s="127" t="s">
        <v>228</v>
      </c>
      <c r="J1919" s="128">
        <v>550000</v>
      </c>
      <c r="K1919" s="127" t="s">
        <v>550</v>
      </c>
      <c r="L1919" s="151">
        <v>556421</v>
      </c>
      <c r="M1919" s="128">
        <v>0</v>
      </c>
      <c r="N1919" s="127" t="s">
        <v>578</v>
      </c>
      <c r="O1919" s="127" t="s">
        <v>457</v>
      </c>
      <c r="P1919" s="128">
        <v>-31247.95</v>
      </c>
      <c r="Q1919" s="128">
        <v>0</v>
      </c>
      <c r="R1919" s="128">
        <v>0</v>
      </c>
      <c r="S1919" s="128">
        <v>0</v>
      </c>
      <c r="T1919" s="128">
        <v>-31247.95</v>
      </c>
      <c r="U1919" s="128">
        <v>0</v>
      </c>
      <c r="V1919" s="128">
        <v>-31247.95</v>
      </c>
      <c r="W1919" s="128">
        <v>0</v>
      </c>
      <c r="X1919" s="128">
        <v>0</v>
      </c>
      <c r="Y1919" s="128">
        <v>0</v>
      </c>
      <c r="Z1919" s="128">
        <v>-31247.95</v>
      </c>
      <c r="AA1919" s="128">
        <v>0</v>
      </c>
      <c r="AB1919" s="126">
        <f t="shared" si="204"/>
        <v>3.1247950000000001E-3</v>
      </c>
      <c r="AC1919" s="122" t="s">
        <v>1838</v>
      </c>
      <c r="AD1919" s="123">
        <f t="shared" si="205"/>
        <v>6.3995435970000001</v>
      </c>
    </row>
    <row r="1920" spans="1:30" ht="12.75" hidden="1" customHeight="1">
      <c r="A1920" s="125" t="str">
        <f t="shared" si="201"/>
        <v>LIC08Management Fee</v>
      </c>
      <c r="B1920" s="125">
        <f>+IFERROR(VLOOKUP(L1920,'TB mapping'!A:D,4,0),0)</f>
        <v>6.1</v>
      </c>
      <c r="C1920" s="125">
        <f>+IFERROR(VLOOKUP(L1920,'TB mapping'!A:C,3,0),0)</f>
        <v>6.3</v>
      </c>
      <c r="D1920" s="125" t="str">
        <f t="shared" si="202"/>
        <v>LIC086.1</v>
      </c>
      <c r="E1920" s="125" t="str">
        <f t="shared" si="203"/>
        <v>LIC086.3</v>
      </c>
      <c r="F1920" s="158" t="str">
        <f>+VLOOKUP(H1920,'code mapping'!A:C,3,0)</f>
        <v>LIC08</v>
      </c>
      <c r="G1920" s="127" t="s">
        <v>453</v>
      </c>
      <c r="H1920" s="127" t="s">
        <v>746</v>
      </c>
      <c r="I1920" s="127" t="s">
        <v>228</v>
      </c>
      <c r="J1920" s="128">
        <v>555100</v>
      </c>
      <c r="K1920" s="127" t="s">
        <v>579</v>
      </c>
      <c r="L1920" s="151">
        <v>555100</v>
      </c>
      <c r="M1920" s="128">
        <v>0</v>
      </c>
      <c r="N1920" s="127" t="s">
        <v>580</v>
      </c>
      <c r="O1920" s="127" t="s">
        <v>457</v>
      </c>
      <c r="P1920" s="128">
        <v>-5939226.3700000001</v>
      </c>
      <c r="Q1920" s="128">
        <v>0</v>
      </c>
      <c r="R1920" s="128">
        <v>0</v>
      </c>
      <c r="S1920" s="128">
        <v>0</v>
      </c>
      <c r="T1920" s="128">
        <v>-5939226.3700000001</v>
      </c>
      <c r="U1920" s="128">
        <v>0</v>
      </c>
      <c r="V1920" s="128">
        <v>-5939226.3700000001</v>
      </c>
      <c r="W1920" s="128">
        <v>0</v>
      </c>
      <c r="X1920" s="128">
        <v>0</v>
      </c>
      <c r="Y1920" s="128">
        <v>0</v>
      </c>
      <c r="Z1920" s="128">
        <v>-5939226.3700000001</v>
      </c>
      <c r="AA1920" s="128">
        <v>0</v>
      </c>
      <c r="AB1920" s="126">
        <f t="shared" si="204"/>
        <v>0.59392263700000003</v>
      </c>
      <c r="AC1920" s="122" t="s">
        <v>1838</v>
      </c>
      <c r="AD1920" s="123">
        <f t="shared" si="205"/>
        <v>6.3995435970000001</v>
      </c>
    </row>
    <row r="1921" spans="1:30" ht="12.75" hidden="1" customHeight="1">
      <c r="A1921" s="125" t="str">
        <f t="shared" si="201"/>
        <v>LIC08Management Fees-RG</v>
      </c>
      <c r="B1921" s="125">
        <f>+IFERROR(VLOOKUP(L1921,'TB mapping'!A:D,4,0),0)</f>
        <v>6.1</v>
      </c>
      <c r="C1921" s="125">
        <f>+IFERROR(VLOOKUP(L1921,'TB mapping'!A:C,3,0),0)</f>
        <v>6.3</v>
      </c>
      <c r="D1921" s="125" t="str">
        <f t="shared" si="202"/>
        <v>LIC086.1</v>
      </c>
      <c r="E1921" s="125" t="str">
        <f t="shared" si="203"/>
        <v>LIC086.3</v>
      </c>
      <c r="F1921" s="158" t="str">
        <f>+VLOOKUP(H1921,'code mapping'!A:C,3,0)</f>
        <v>LIC08</v>
      </c>
      <c r="G1921" s="127" t="s">
        <v>453</v>
      </c>
      <c r="H1921" s="127" t="s">
        <v>746</v>
      </c>
      <c r="I1921" s="127" t="s">
        <v>228</v>
      </c>
      <c r="J1921" s="128">
        <v>555100</v>
      </c>
      <c r="K1921" s="127" t="s">
        <v>579</v>
      </c>
      <c r="L1921" s="151">
        <v>555191</v>
      </c>
      <c r="M1921" s="128">
        <v>0</v>
      </c>
      <c r="N1921" s="127" t="s">
        <v>581</v>
      </c>
      <c r="O1921" s="127" t="s">
        <v>457</v>
      </c>
      <c r="P1921" s="128">
        <v>-8248254</v>
      </c>
      <c r="Q1921" s="128">
        <v>0</v>
      </c>
      <c r="R1921" s="128">
        <v>0</v>
      </c>
      <c r="S1921" s="128">
        <v>0</v>
      </c>
      <c r="T1921" s="128">
        <v>-8248254</v>
      </c>
      <c r="U1921" s="128">
        <v>0</v>
      </c>
      <c r="V1921" s="128">
        <v>-8248254</v>
      </c>
      <c r="W1921" s="128">
        <v>0</v>
      </c>
      <c r="X1921" s="128">
        <v>0</v>
      </c>
      <c r="Y1921" s="128">
        <v>0</v>
      </c>
      <c r="Z1921" s="128">
        <v>-8248254</v>
      </c>
      <c r="AA1921" s="128">
        <v>0</v>
      </c>
      <c r="AB1921" s="126">
        <f t="shared" si="204"/>
        <v>0.82482540000000004</v>
      </c>
      <c r="AC1921" s="122" t="s">
        <v>1838</v>
      </c>
      <c r="AD1921" s="123">
        <f t="shared" si="205"/>
        <v>6.3995435970000001</v>
      </c>
    </row>
    <row r="1922" spans="1:30" ht="12.75" hidden="1" customHeight="1">
      <c r="A1922" s="125" t="str">
        <f t="shared" si="201"/>
        <v>LIC08Management Fees-RD</v>
      </c>
      <c r="B1922" s="125">
        <f>+IFERROR(VLOOKUP(L1922,'TB mapping'!A:D,4,0),0)</f>
        <v>6.1</v>
      </c>
      <c r="C1922" s="125">
        <f>+IFERROR(VLOOKUP(L1922,'TB mapping'!A:C,3,0),0)</f>
        <v>6.3</v>
      </c>
      <c r="D1922" s="125" t="str">
        <f t="shared" si="202"/>
        <v>LIC086.1</v>
      </c>
      <c r="E1922" s="125" t="str">
        <f t="shared" si="203"/>
        <v>LIC086.3</v>
      </c>
      <c r="F1922" s="158" t="str">
        <f>+VLOOKUP(H1922,'code mapping'!A:C,3,0)</f>
        <v>LIC08</v>
      </c>
      <c r="G1922" s="127" t="s">
        <v>453</v>
      </c>
      <c r="H1922" s="127" t="s">
        <v>746</v>
      </c>
      <c r="I1922" s="127" t="s">
        <v>228</v>
      </c>
      <c r="J1922" s="128">
        <v>555100</v>
      </c>
      <c r="K1922" s="127" t="s">
        <v>579</v>
      </c>
      <c r="L1922" s="151">
        <v>555192</v>
      </c>
      <c r="M1922" s="128">
        <v>0</v>
      </c>
      <c r="N1922" s="127" t="s">
        <v>582</v>
      </c>
      <c r="O1922" s="127" t="s">
        <v>457</v>
      </c>
      <c r="P1922" s="128">
        <v>-5874892.4900000002</v>
      </c>
      <c r="Q1922" s="128">
        <v>0</v>
      </c>
      <c r="R1922" s="128">
        <v>0</v>
      </c>
      <c r="S1922" s="128">
        <v>0</v>
      </c>
      <c r="T1922" s="128">
        <v>-5874892.4900000002</v>
      </c>
      <c r="U1922" s="128">
        <v>0</v>
      </c>
      <c r="V1922" s="128">
        <v>-5874892.4900000002</v>
      </c>
      <c r="W1922" s="128">
        <v>0</v>
      </c>
      <c r="X1922" s="128">
        <v>0</v>
      </c>
      <c r="Y1922" s="128">
        <v>0</v>
      </c>
      <c r="Z1922" s="128">
        <v>-5874892.4900000002</v>
      </c>
      <c r="AA1922" s="128">
        <v>0</v>
      </c>
      <c r="AB1922" s="126">
        <f t="shared" si="204"/>
        <v>0.58748924899999999</v>
      </c>
      <c r="AC1922" s="122" t="s">
        <v>1838</v>
      </c>
      <c r="AD1922" s="123">
        <f t="shared" si="205"/>
        <v>6.3995435970000001</v>
      </c>
    </row>
    <row r="1923" spans="1:30" ht="12.75" hidden="1" customHeight="1">
      <c r="A1923" s="125" t="str">
        <f t="shared" si="201"/>
        <v>LIC08Management Fees-GDP</v>
      </c>
      <c r="B1923" s="125">
        <f>+IFERROR(VLOOKUP(L1923,'TB mapping'!A:D,4,0),0)</f>
        <v>6.1</v>
      </c>
      <c r="C1923" s="125">
        <f>+IFERROR(VLOOKUP(L1923,'TB mapping'!A:C,3,0),0)</f>
        <v>6.3</v>
      </c>
      <c r="D1923" s="125" t="str">
        <f t="shared" si="202"/>
        <v>LIC086.1</v>
      </c>
      <c r="E1923" s="125" t="str">
        <f t="shared" si="203"/>
        <v>LIC086.3</v>
      </c>
      <c r="F1923" s="158" t="str">
        <f>+VLOOKUP(H1923,'code mapping'!A:C,3,0)</f>
        <v>LIC08</v>
      </c>
      <c r="G1923" s="127" t="s">
        <v>453</v>
      </c>
      <c r="H1923" s="127" t="s">
        <v>746</v>
      </c>
      <c r="I1923" s="127" t="s">
        <v>228</v>
      </c>
      <c r="J1923" s="128">
        <v>555100</v>
      </c>
      <c r="K1923" s="127" t="s">
        <v>579</v>
      </c>
      <c r="L1923" s="151">
        <v>555329</v>
      </c>
      <c r="M1923" s="128">
        <v>0</v>
      </c>
      <c r="N1923" s="127" t="s">
        <v>584</v>
      </c>
      <c r="O1923" s="127" t="s">
        <v>457</v>
      </c>
      <c r="P1923" s="128">
        <v>-801179.16</v>
      </c>
      <c r="Q1923" s="128">
        <v>0</v>
      </c>
      <c r="R1923" s="128">
        <v>0</v>
      </c>
      <c r="S1923" s="128">
        <v>0</v>
      </c>
      <c r="T1923" s="128">
        <v>-801179.16</v>
      </c>
      <c r="U1923" s="128">
        <v>0</v>
      </c>
      <c r="V1923" s="128">
        <v>-801179.16</v>
      </c>
      <c r="W1923" s="128">
        <v>0</v>
      </c>
      <c r="X1923" s="128">
        <v>0</v>
      </c>
      <c r="Y1923" s="128">
        <v>0</v>
      </c>
      <c r="Z1923" s="128">
        <v>-801179.16</v>
      </c>
      <c r="AA1923" s="128">
        <v>0</v>
      </c>
      <c r="AB1923" s="126">
        <f t="shared" si="204"/>
        <v>8.0117915999999997E-2</v>
      </c>
      <c r="AC1923" s="122" t="s">
        <v>1838</v>
      </c>
      <c r="AD1923" s="123">
        <f t="shared" si="205"/>
        <v>6.3995435970000001</v>
      </c>
    </row>
    <row r="1924" spans="1:30" ht="12.75" hidden="1" customHeight="1">
      <c r="A1924" s="125" t="str">
        <f t="shared" si="201"/>
        <v>LIC08Management Fees-DDP</v>
      </c>
      <c r="B1924" s="125">
        <f>+IFERROR(VLOOKUP(L1924,'TB mapping'!A:D,4,0),0)</f>
        <v>6.1</v>
      </c>
      <c r="C1924" s="125">
        <f>+IFERROR(VLOOKUP(L1924,'TB mapping'!A:C,3,0),0)</f>
        <v>6.3</v>
      </c>
      <c r="D1924" s="125" t="str">
        <f t="shared" si="202"/>
        <v>LIC086.1</v>
      </c>
      <c r="E1924" s="125" t="str">
        <f t="shared" si="203"/>
        <v>LIC086.3</v>
      </c>
      <c r="F1924" s="158" t="str">
        <f>+VLOOKUP(H1924,'code mapping'!A:C,3,0)</f>
        <v>LIC08</v>
      </c>
      <c r="G1924" s="127" t="s">
        <v>453</v>
      </c>
      <c r="H1924" s="127" t="s">
        <v>746</v>
      </c>
      <c r="I1924" s="127" t="s">
        <v>228</v>
      </c>
      <c r="J1924" s="128">
        <v>555100</v>
      </c>
      <c r="K1924" s="127" t="s">
        <v>579</v>
      </c>
      <c r="L1924" s="151">
        <v>555330</v>
      </c>
      <c r="M1924" s="128">
        <v>0</v>
      </c>
      <c r="N1924" s="127" t="s">
        <v>585</v>
      </c>
      <c r="O1924" s="127" t="s">
        <v>457</v>
      </c>
      <c r="P1924" s="128">
        <v>-1434924.5</v>
      </c>
      <c r="Q1924" s="128">
        <v>0</v>
      </c>
      <c r="R1924" s="128">
        <v>0</v>
      </c>
      <c r="S1924" s="128">
        <v>0</v>
      </c>
      <c r="T1924" s="128">
        <v>-1434924.5</v>
      </c>
      <c r="U1924" s="128">
        <v>0</v>
      </c>
      <c r="V1924" s="128">
        <v>-1434924.5</v>
      </c>
      <c r="W1924" s="128">
        <v>0</v>
      </c>
      <c r="X1924" s="128">
        <v>0</v>
      </c>
      <c r="Y1924" s="128">
        <v>0</v>
      </c>
      <c r="Z1924" s="128">
        <v>-1434924.5</v>
      </c>
      <c r="AA1924" s="128">
        <v>0</v>
      </c>
      <c r="AB1924" s="126">
        <f t="shared" si="204"/>
        <v>0.14349244999999999</v>
      </c>
      <c r="AC1924" s="122" t="s">
        <v>1838</v>
      </c>
      <c r="AD1924" s="123">
        <f t="shared" si="205"/>
        <v>6.3995435970000001</v>
      </c>
    </row>
    <row r="1925" spans="1:30" ht="12.75" hidden="1" customHeight="1">
      <c r="A1925" s="125" t="str">
        <f t="shared" si="201"/>
        <v>LIC08Dividend Distribution - RD</v>
      </c>
      <c r="B1925" s="125">
        <f>+IFERROR(VLOOKUP(L1925,'TB mapping'!A:D,4,0),0)</f>
        <v>0</v>
      </c>
      <c r="C1925" s="125" t="str">
        <f>+IFERROR(VLOOKUP(L1925,'TB mapping'!A:C,3,0),0)</f>
        <v>ignore</v>
      </c>
      <c r="D1925" s="125" t="str">
        <f t="shared" si="202"/>
        <v>LIC080</v>
      </c>
      <c r="E1925" s="125" t="str">
        <f t="shared" si="203"/>
        <v>LIC08ignore</v>
      </c>
      <c r="F1925" s="158" t="str">
        <f>+VLOOKUP(H1925,'code mapping'!A:C,3,0)</f>
        <v>LIC08</v>
      </c>
      <c r="G1925" s="127" t="s">
        <v>453</v>
      </c>
      <c r="H1925" s="127" t="s">
        <v>746</v>
      </c>
      <c r="I1925" s="127" t="s">
        <v>228</v>
      </c>
      <c r="J1925" s="128">
        <v>555300</v>
      </c>
      <c r="K1925" s="127" t="s">
        <v>586</v>
      </c>
      <c r="L1925" s="151">
        <v>553143</v>
      </c>
      <c r="M1925" s="128">
        <v>0</v>
      </c>
      <c r="N1925" s="127" t="s">
        <v>587</v>
      </c>
      <c r="O1925" s="127" t="s">
        <v>457</v>
      </c>
      <c r="P1925" s="128">
        <v>-77942847.379999995</v>
      </c>
      <c r="Q1925" s="128">
        <v>0</v>
      </c>
      <c r="R1925" s="128">
        <v>0</v>
      </c>
      <c r="S1925" s="128">
        <v>0</v>
      </c>
      <c r="T1925" s="128">
        <v>-77942847.379999995</v>
      </c>
      <c r="U1925" s="128">
        <v>0</v>
      </c>
      <c r="V1925" s="128">
        <v>-77942847.379999995</v>
      </c>
      <c r="W1925" s="128">
        <v>0</v>
      </c>
      <c r="X1925" s="128">
        <v>0</v>
      </c>
      <c r="Y1925" s="128">
        <v>0</v>
      </c>
      <c r="Z1925" s="128">
        <v>-77942847.379999995</v>
      </c>
      <c r="AA1925" s="128">
        <v>0</v>
      </c>
      <c r="AB1925" s="126">
        <f t="shared" si="204"/>
        <v>7.7942847379999991</v>
      </c>
      <c r="AC1925" s="122" t="s">
        <v>1838</v>
      </c>
      <c r="AD1925" s="123">
        <f t="shared" ref="AD1925:AD1969" si="206">SUMIF(C:C,C1925,AB:AB)</f>
        <v>-291.7660984179999</v>
      </c>
    </row>
    <row r="1926" spans="1:30" ht="12.75" hidden="1" customHeight="1">
      <c r="A1926" s="125" t="str">
        <f t="shared" si="201"/>
        <v>LIC08Dividend Distribution-DDP</v>
      </c>
      <c r="B1926" s="125">
        <f>+IFERROR(VLOOKUP(L1926,'TB mapping'!A:D,4,0),0)</f>
        <v>0</v>
      </c>
      <c r="C1926" s="125" t="str">
        <f>+IFERROR(VLOOKUP(L1926,'TB mapping'!A:C,3,0),0)</f>
        <v>ignore</v>
      </c>
      <c r="D1926" s="125" t="str">
        <f t="shared" si="202"/>
        <v>LIC080</v>
      </c>
      <c r="E1926" s="125" t="str">
        <f t="shared" si="203"/>
        <v>LIC08ignore</v>
      </c>
      <c r="F1926" s="158" t="str">
        <f>+VLOOKUP(H1926,'code mapping'!A:C,3,0)</f>
        <v>LIC08</v>
      </c>
      <c r="G1926" s="127" t="s">
        <v>453</v>
      </c>
      <c r="H1926" s="127" t="s">
        <v>746</v>
      </c>
      <c r="I1926" s="127" t="s">
        <v>228</v>
      </c>
      <c r="J1926" s="128">
        <v>555300</v>
      </c>
      <c r="K1926" s="127" t="s">
        <v>586</v>
      </c>
      <c r="L1926" s="151">
        <v>554346</v>
      </c>
      <c r="M1926" s="128">
        <v>0</v>
      </c>
      <c r="N1926" s="127" t="s">
        <v>605</v>
      </c>
      <c r="O1926" s="127" t="s">
        <v>457</v>
      </c>
      <c r="P1926" s="128">
        <v>-20904868.73</v>
      </c>
      <c r="Q1926" s="128">
        <v>0</v>
      </c>
      <c r="R1926" s="128">
        <v>0</v>
      </c>
      <c r="S1926" s="128">
        <v>0</v>
      </c>
      <c r="T1926" s="128">
        <v>-20904868.73</v>
      </c>
      <c r="U1926" s="128">
        <v>0</v>
      </c>
      <c r="V1926" s="128">
        <v>-20904868.73</v>
      </c>
      <c r="W1926" s="128">
        <v>0</v>
      </c>
      <c r="X1926" s="128">
        <v>0</v>
      </c>
      <c r="Y1926" s="128">
        <v>0</v>
      </c>
      <c r="Z1926" s="128">
        <v>-20904868.73</v>
      </c>
      <c r="AA1926" s="128">
        <v>0</v>
      </c>
      <c r="AB1926" s="126">
        <f t="shared" si="204"/>
        <v>2.0904868730000001</v>
      </c>
      <c r="AC1926" s="122" t="s">
        <v>1838</v>
      </c>
      <c r="AD1926" s="123">
        <f t="shared" si="206"/>
        <v>-291.7660984179999</v>
      </c>
    </row>
    <row r="1927" spans="1:30" ht="12.75" hidden="1" customHeight="1">
      <c r="A1927" s="125" t="str">
        <f t="shared" si="201"/>
        <v>LIC171Investment - Equities</v>
      </c>
      <c r="B1927" s="125">
        <f>+IFERROR(VLOOKUP(L1927,'TB mapping'!A:D,4,0),0)</f>
        <v>0</v>
      </c>
      <c r="C1927" s="125">
        <f>+IFERROR(VLOOKUP(L1927,'TB mapping'!A:C,3,0),0)</f>
        <v>0</v>
      </c>
      <c r="D1927" s="125" t="str">
        <f t="shared" si="202"/>
        <v>LIC1710</v>
      </c>
      <c r="E1927" s="125" t="str">
        <f t="shared" si="203"/>
        <v>LIC1710</v>
      </c>
      <c r="F1927" s="158" t="str">
        <f>+VLOOKUP(H1927,'code mapping'!A:C,3,0)</f>
        <v>LIC171</v>
      </c>
      <c r="G1927" s="127" t="s">
        <v>453</v>
      </c>
      <c r="H1927" s="127" t="s">
        <v>750</v>
      </c>
      <c r="I1927" s="127" t="s">
        <v>751</v>
      </c>
      <c r="J1927" s="128">
        <v>101000</v>
      </c>
      <c r="K1927" s="127" t="s">
        <v>591</v>
      </c>
      <c r="L1927" s="151">
        <v>101100</v>
      </c>
      <c r="M1927" s="128">
        <v>0</v>
      </c>
      <c r="N1927" s="127" t="s">
        <v>592</v>
      </c>
      <c r="O1927" s="127" t="s">
        <v>457</v>
      </c>
      <c r="P1927" s="128">
        <v>-605948662.72000003</v>
      </c>
      <c r="Q1927" s="128">
        <v>0</v>
      </c>
      <c r="R1927" s="128">
        <v>0</v>
      </c>
      <c r="S1927" s="128">
        <v>0</v>
      </c>
      <c r="T1927" s="128">
        <v>-605948662.72000003</v>
      </c>
      <c r="U1927" s="128">
        <v>0</v>
      </c>
      <c r="V1927" s="128">
        <v>-605948662.72000003</v>
      </c>
      <c r="W1927" s="128">
        <v>0</v>
      </c>
      <c r="X1927" s="128">
        <v>0</v>
      </c>
      <c r="Y1927" s="128">
        <v>0</v>
      </c>
      <c r="Z1927" s="128">
        <v>-605948662.72000003</v>
      </c>
      <c r="AA1927" s="128">
        <v>0</v>
      </c>
      <c r="AB1927" s="126">
        <f t="shared" si="204"/>
        <v>60.594866272000004</v>
      </c>
      <c r="AC1927" s="122" t="s">
        <v>1838</v>
      </c>
      <c r="AD1927" s="123">
        <f t="shared" si="206"/>
        <v>1983.9723217250009</v>
      </c>
    </row>
    <row r="1928" spans="1:30" ht="12.75" hidden="1" customHeight="1">
      <c r="A1928" s="125" t="str">
        <f t="shared" si="201"/>
        <v>LIC171Investment Mutual Fund</v>
      </c>
      <c r="B1928" s="125">
        <f>+IFERROR(VLOOKUP(L1928,'TB mapping'!A:D,4,0),0)</f>
        <v>0</v>
      </c>
      <c r="C1928" s="125">
        <f>+IFERROR(VLOOKUP(L1928,'TB mapping'!A:C,3,0),0)</f>
        <v>0</v>
      </c>
      <c r="D1928" s="125" t="str">
        <f t="shared" si="202"/>
        <v>LIC1710</v>
      </c>
      <c r="E1928" s="125" t="str">
        <f t="shared" si="203"/>
        <v>LIC1710</v>
      </c>
      <c r="F1928" s="158" t="str">
        <f>+VLOOKUP(H1928,'code mapping'!A:C,3,0)</f>
        <v>LIC171</v>
      </c>
      <c r="G1928" s="127" t="s">
        <v>453</v>
      </c>
      <c r="H1928" s="127" t="s">
        <v>750</v>
      </c>
      <c r="I1928" s="127" t="s">
        <v>751</v>
      </c>
      <c r="J1928" s="128">
        <v>105000</v>
      </c>
      <c r="K1928" s="127" t="s">
        <v>460</v>
      </c>
      <c r="L1928" s="151">
        <v>105100</v>
      </c>
      <c r="M1928" s="128">
        <v>0</v>
      </c>
      <c r="N1928" s="127" t="s">
        <v>461</v>
      </c>
      <c r="O1928" s="127" t="s">
        <v>457</v>
      </c>
      <c r="P1928" s="128">
        <v>-0.01</v>
      </c>
      <c r="Q1928" s="128">
        <v>0</v>
      </c>
      <c r="R1928" s="128">
        <v>0</v>
      </c>
      <c r="S1928" s="128">
        <v>0</v>
      </c>
      <c r="T1928" s="128">
        <v>-0.01</v>
      </c>
      <c r="U1928" s="128">
        <v>0</v>
      </c>
      <c r="V1928" s="128">
        <v>-0.01</v>
      </c>
      <c r="W1928" s="128">
        <v>0</v>
      </c>
      <c r="X1928" s="128">
        <v>0</v>
      </c>
      <c r="Y1928" s="128">
        <v>0</v>
      </c>
      <c r="Z1928" s="128">
        <v>-0.01</v>
      </c>
      <c r="AA1928" s="128">
        <v>0</v>
      </c>
      <c r="AB1928" s="126">
        <f t="shared" si="204"/>
        <v>1.0000000000000001E-9</v>
      </c>
      <c r="AC1928" s="122" t="s">
        <v>1838</v>
      </c>
      <c r="AD1928" s="123">
        <f t="shared" si="206"/>
        <v>1983.9723217250009</v>
      </c>
    </row>
    <row r="1929" spans="1:30" ht="12.75" hidden="1" customHeight="1">
      <c r="A1929" s="125" t="str">
        <f t="shared" si="201"/>
        <v>LIC171Investment - CBLO</v>
      </c>
      <c r="B1929" s="125">
        <f>+IFERROR(VLOOKUP(L1929,'TB mapping'!A:D,4,0),0)</f>
        <v>0</v>
      </c>
      <c r="C1929" s="125">
        <f>+IFERROR(VLOOKUP(L1929,'TB mapping'!A:C,3,0),0)</f>
        <v>0</v>
      </c>
      <c r="D1929" s="125" t="str">
        <f t="shared" si="202"/>
        <v>LIC1710</v>
      </c>
      <c r="E1929" s="125" t="str">
        <f t="shared" si="203"/>
        <v>LIC1710</v>
      </c>
      <c r="F1929" s="158" t="str">
        <f>+VLOOKUP(H1929,'code mapping'!A:C,3,0)</f>
        <v>LIC171</v>
      </c>
      <c r="G1929" s="127" t="s">
        <v>453</v>
      </c>
      <c r="H1929" s="127" t="s">
        <v>750</v>
      </c>
      <c r="I1929" s="127" t="s">
        <v>751</v>
      </c>
      <c r="J1929" s="128">
        <v>110000</v>
      </c>
      <c r="K1929" s="127" t="s">
        <v>462</v>
      </c>
      <c r="L1929" s="151">
        <v>110100</v>
      </c>
      <c r="M1929" s="128">
        <v>0</v>
      </c>
      <c r="N1929" s="127" t="s">
        <v>463</v>
      </c>
      <c r="O1929" s="127" t="s">
        <v>457</v>
      </c>
      <c r="P1929" s="128">
        <v>-44528735.609999999</v>
      </c>
      <c r="Q1929" s="128">
        <v>0</v>
      </c>
      <c r="R1929" s="128">
        <v>0</v>
      </c>
      <c r="S1929" s="128">
        <v>0</v>
      </c>
      <c r="T1929" s="128">
        <v>-44528735.609999999</v>
      </c>
      <c r="U1929" s="128">
        <v>0</v>
      </c>
      <c r="V1929" s="128">
        <v>-44528735.609999999</v>
      </c>
      <c r="W1929" s="128">
        <v>0</v>
      </c>
      <c r="X1929" s="128">
        <v>0</v>
      </c>
      <c r="Y1929" s="128">
        <v>0</v>
      </c>
      <c r="Z1929" s="128">
        <v>-44528735.609999999</v>
      </c>
      <c r="AA1929" s="128">
        <v>0</v>
      </c>
      <c r="AB1929" s="126">
        <f t="shared" si="204"/>
        <v>4.4528735609999996</v>
      </c>
      <c r="AC1929" s="122" t="s">
        <v>1838</v>
      </c>
      <c r="AD1929" s="123">
        <f t="shared" si="206"/>
        <v>1983.9723217250009</v>
      </c>
    </row>
    <row r="1930" spans="1:30" ht="12.75" hidden="1" customHeight="1">
      <c r="A1930" s="125" t="str">
        <f t="shared" si="201"/>
        <v>LIC171Margin Deposit For CCIL</v>
      </c>
      <c r="B1930" s="125">
        <f>+IFERROR(VLOOKUP(L1930,'TB mapping'!A:D,4,0),0)</f>
        <v>0</v>
      </c>
      <c r="C1930" s="125">
        <f>+IFERROR(VLOOKUP(L1930,'TB mapping'!A:C,3,0),0)</f>
        <v>0</v>
      </c>
      <c r="D1930" s="125" t="str">
        <f t="shared" si="202"/>
        <v>LIC1710</v>
      </c>
      <c r="E1930" s="125" t="str">
        <f t="shared" si="203"/>
        <v>LIC1710</v>
      </c>
      <c r="F1930" s="158" t="str">
        <f>+VLOOKUP(H1930,'code mapping'!A:C,3,0)</f>
        <v>LIC171</v>
      </c>
      <c r="G1930" s="127" t="s">
        <v>453</v>
      </c>
      <c r="H1930" s="127" t="s">
        <v>750</v>
      </c>
      <c r="I1930" s="127" t="s">
        <v>751</v>
      </c>
      <c r="J1930" s="128">
        <v>110000</v>
      </c>
      <c r="K1930" s="127" t="s">
        <v>462</v>
      </c>
      <c r="L1930" s="151">
        <v>110116</v>
      </c>
      <c r="M1930" s="128">
        <v>0</v>
      </c>
      <c r="N1930" s="127" t="s">
        <v>465</v>
      </c>
      <c r="O1930" s="127" t="s">
        <v>457</v>
      </c>
      <c r="P1930" s="128">
        <v>-43871.15</v>
      </c>
      <c r="Q1930" s="128">
        <v>0</v>
      </c>
      <c r="R1930" s="128">
        <v>0</v>
      </c>
      <c r="S1930" s="128">
        <v>0</v>
      </c>
      <c r="T1930" s="128">
        <v>-43871.15</v>
      </c>
      <c r="U1930" s="128">
        <v>0</v>
      </c>
      <c r="V1930" s="128">
        <v>-43871.15</v>
      </c>
      <c r="W1930" s="128">
        <v>0</v>
      </c>
      <c r="X1930" s="128">
        <v>0</v>
      </c>
      <c r="Y1930" s="128">
        <v>0</v>
      </c>
      <c r="Z1930" s="128">
        <v>-43871.15</v>
      </c>
      <c r="AA1930" s="128">
        <v>0</v>
      </c>
      <c r="AB1930" s="126">
        <f t="shared" si="204"/>
        <v>4.3871150000000005E-3</v>
      </c>
      <c r="AC1930" s="122" t="s">
        <v>1838</v>
      </c>
      <c r="AD1930" s="123">
        <f t="shared" si="206"/>
        <v>1983.9723217250009</v>
      </c>
    </row>
    <row r="1931" spans="1:30" ht="12.75" hidden="1" customHeight="1">
      <c r="A1931" s="125" t="str">
        <f t="shared" si="201"/>
        <v>LIC171Dividend Receivable</v>
      </c>
      <c r="B1931" s="125">
        <f>+IFERROR(VLOOKUP(L1931,'TB mapping'!A:D,4,0),0)</f>
        <v>0</v>
      </c>
      <c r="C1931" s="125">
        <f>+IFERROR(VLOOKUP(L1931,'TB mapping'!A:C,3,0),0)</f>
        <v>0</v>
      </c>
      <c r="D1931" s="125" t="str">
        <f t="shared" si="202"/>
        <v>LIC1710</v>
      </c>
      <c r="E1931" s="125" t="str">
        <f t="shared" si="203"/>
        <v>LIC1710</v>
      </c>
      <c r="F1931" s="158" t="str">
        <f>+VLOOKUP(H1931,'code mapping'!A:C,3,0)</f>
        <v>LIC171</v>
      </c>
      <c r="G1931" s="127" t="s">
        <v>453</v>
      </c>
      <c r="H1931" s="127" t="s">
        <v>750</v>
      </c>
      <c r="I1931" s="127" t="s">
        <v>751</v>
      </c>
      <c r="J1931" s="128">
        <v>132000</v>
      </c>
      <c r="K1931" s="127" t="s">
        <v>466</v>
      </c>
      <c r="L1931" s="151">
        <v>132100</v>
      </c>
      <c r="M1931" s="128">
        <v>0</v>
      </c>
      <c r="N1931" s="127" t="s">
        <v>593</v>
      </c>
      <c r="O1931" s="127" t="s">
        <v>457</v>
      </c>
      <c r="P1931" s="128">
        <v>-93390</v>
      </c>
      <c r="Q1931" s="128">
        <v>0</v>
      </c>
      <c r="R1931" s="128">
        <v>0</v>
      </c>
      <c r="S1931" s="128">
        <v>0</v>
      </c>
      <c r="T1931" s="128">
        <v>-93390</v>
      </c>
      <c r="U1931" s="128">
        <v>0</v>
      </c>
      <c r="V1931" s="128">
        <v>-93390</v>
      </c>
      <c r="W1931" s="128">
        <v>0</v>
      </c>
      <c r="X1931" s="128">
        <v>0</v>
      </c>
      <c r="Y1931" s="128">
        <v>0</v>
      </c>
      <c r="Z1931" s="128">
        <v>-93390</v>
      </c>
      <c r="AA1931" s="128">
        <v>0</v>
      </c>
      <c r="AB1931" s="126">
        <f t="shared" si="204"/>
        <v>9.3390000000000001E-3</v>
      </c>
      <c r="AC1931" s="122" t="s">
        <v>1838</v>
      </c>
      <c r="AD1931" s="123">
        <f t="shared" si="206"/>
        <v>1983.9723217250009</v>
      </c>
    </row>
    <row r="1932" spans="1:30" ht="12.75" hidden="1" customHeight="1">
      <c r="A1932" s="125" t="str">
        <f t="shared" si="201"/>
        <v>LIC171Sub. Rec. Control Account</v>
      </c>
      <c r="B1932" s="125">
        <f>+IFERROR(VLOOKUP(L1932,'TB mapping'!A:D,4,0),0)</f>
        <v>0</v>
      </c>
      <c r="C1932" s="125">
        <f>+IFERROR(VLOOKUP(L1932,'TB mapping'!A:C,3,0),0)</f>
        <v>0</v>
      </c>
      <c r="D1932" s="125" t="str">
        <f t="shared" si="202"/>
        <v>LIC1710</v>
      </c>
      <c r="E1932" s="125" t="str">
        <f t="shared" si="203"/>
        <v>LIC1710</v>
      </c>
      <c r="F1932" s="158" t="str">
        <f>+VLOOKUP(H1932,'code mapping'!A:C,3,0)</f>
        <v>LIC171</v>
      </c>
      <c r="G1932" s="127" t="s">
        <v>453</v>
      </c>
      <c r="H1932" s="127" t="s">
        <v>750</v>
      </c>
      <c r="I1932" s="127" t="s">
        <v>751</v>
      </c>
      <c r="J1932" s="128">
        <v>132000</v>
      </c>
      <c r="K1932" s="127" t="s">
        <v>466</v>
      </c>
      <c r="L1932" s="151">
        <v>132121</v>
      </c>
      <c r="M1932" s="128">
        <v>0</v>
      </c>
      <c r="N1932" s="127" t="s">
        <v>467</v>
      </c>
      <c r="O1932" s="127" t="s">
        <v>457</v>
      </c>
      <c r="P1932" s="128">
        <v>-1334883.52</v>
      </c>
      <c r="Q1932" s="128">
        <v>0</v>
      </c>
      <c r="R1932" s="128">
        <v>0</v>
      </c>
      <c r="S1932" s="128">
        <v>0</v>
      </c>
      <c r="T1932" s="128">
        <v>-1334883.52</v>
      </c>
      <c r="U1932" s="128">
        <v>0</v>
      </c>
      <c r="V1932" s="128">
        <v>-1334883.52</v>
      </c>
      <c r="W1932" s="128">
        <v>0</v>
      </c>
      <c r="X1932" s="128">
        <v>0</v>
      </c>
      <c r="Y1932" s="128">
        <v>0</v>
      </c>
      <c r="Z1932" s="128">
        <v>-1334883.52</v>
      </c>
      <c r="AA1932" s="128">
        <v>0</v>
      </c>
      <c r="AB1932" s="126">
        <f t="shared" si="204"/>
        <v>0.133488352</v>
      </c>
      <c r="AC1932" s="122" t="s">
        <v>1838</v>
      </c>
      <c r="AD1932" s="123">
        <f t="shared" si="206"/>
        <v>1983.9723217250009</v>
      </c>
    </row>
    <row r="1933" spans="1:30" ht="12.75" hidden="1" customHeight="1">
      <c r="A1933" s="125" t="str">
        <f t="shared" si="201"/>
        <v>LIC171Switch in Receivable Ct</v>
      </c>
      <c r="B1933" s="125">
        <f>+IFERROR(VLOOKUP(L1933,'TB mapping'!A:D,4,0),0)</f>
        <v>0</v>
      </c>
      <c r="C1933" s="125">
        <f>+IFERROR(VLOOKUP(L1933,'TB mapping'!A:C,3,0),0)</f>
        <v>0</v>
      </c>
      <c r="D1933" s="125" t="str">
        <f t="shared" si="202"/>
        <v>LIC1710</v>
      </c>
      <c r="E1933" s="125" t="str">
        <f t="shared" si="203"/>
        <v>LIC1710</v>
      </c>
      <c r="F1933" s="158" t="str">
        <f>+VLOOKUP(H1933,'code mapping'!A:C,3,0)</f>
        <v>LIC171</v>
      </c>
      <c r="G1933" s="127" t="s">
        <v>453</v>
      </c>
      <c r="H1933" s="127" t="s">
        <v>750</v>
      </c>
      <c r="I1933" s="127" t="s">
        <v>751</v>
      </c>
      <c r="J1933" s="128">
        <v>132000</v>
      </c>
      <c r="K1933" s="127" t="s">
        <v>466</v>
      </c>
      <c r="L1933" s="151">
        <v>132124</v>
      </c>
      <c r="M1933" s="128">
        <v>0</v>
      </c>
      <c r="N1933" s="127" t="s">
        <v>468</v>
      </c>
      <c r="O1933" s="127" t="s">
        <v>457</v>
      </c>
      <c r="P1933" s="128">
        <v>-232226.33</v>
      </c>
      <c r="Q1933" s="128">
        <v>0</v>
      </c>
      <c r="R1933" s="128">
        <v>0</v>
      </c>
      <c r="S1933" s="128">
        <v>0</v>
      </c>
      <c r="T1933" s="128">
        <v>-232226.33</v>
      </c>
      <c r="U1933" s="128">
        <v>0</v>
      </c>
      <c r="V1933" s="128">
        <v>-232226.33</v>
      </c>
      <c r="W1933" s="128">
        <v>0</v>
      </c>
      <c r="X1933" s="128">
        <v>0</v>
      </c>
      <c r="Y1933" s="128">
        <v>0</v>
      </c>
      <c r="Z1933" s="128">
        <v>-232226.33</v>
      </c>
      <c r="AA1933" s="128">
        <v>0</v>
      </c>
      <c r="AB1933" s="126">
        <f t="shared" si="204"/>
        <v>2.3222632999999999E-2</v>
      </c>
      <c r="AC1933" s="122" t="s">
        <v>1838</v>
      </c>
      <c r="AD1933" s="123">
        <f t="shared" si="206"/>
        <v>1983.9723217250009</v>
      </c>
    </row>
    <row r="1934" spans="1:30" ht="12.75" hidden="1" customHeight="1">
      <c r="A1934" s="125" t="str">
        <f t="shared" si="201"/>
        <v>LIC171Receivable from AMC</v>
      </c>
      <c r="B1934" s="125">
        <f>+IFERROR(VLOOKUP(L1934,'TB mapping'!A:D,4,0),0)</f>
        <v>0</v>
      </c>
      <c r="C1934" s="125">
        <f>+IFERROR(VLOOKUP(L1934,'TB mapping'!A:C,3,0),0)</f>
        <v>0</v>
      </c>
      <c r="D1934" s="125" t="str">
        <f t="shared" si="202"/>
        <v>LIC1710</v>
      </c>
      <c r="E1934" s="125" t="str">
        <f t="shared" si="203"/>
        <v>LIC1710</v>
      </c>
      <c r="F1934" s="158" t="str">
        <f>+VLOOKUP(H1934,'code mapping'!A:C,3,0)</f>
        <v>LIC171</v>
      </c>
      <c r="G1934" s="127" t="s">
        <v>453</v>
      </c>
      <c r="H1934" s="127" t="s">
        <v>750</v>
      </c>
      <c r="I1934" s="127" t="s">
        <v>751</v>
      </c>
      <c r="J1934" s="128">
        <v>132000</v>
      </c>
      <c r="K1934" s="127" t="s">
        <v>466</v>
      </c>
      <c r="L1934" s="151">
        <v>152400</v>
      </c>
      <c r="M1934" s="128">
        <v>0</v>
      </c>
      <c r="N1934" s="127" t="s">
        <v>471</v>
      </c>
      <c r="O1934" s="127" t="s">
        <v>457</v>
      </c>
      <c r="P1934" s="128">
        <v>-82</v>
      </c>
      <c r="Q1934" s="128">
        <v>0</v>
      </c>
      <c r="R1934" s="128">
        <v>0</v>
      </c>
      <c r="S1934" s="128">
        <v>0</v>
      </c>
      <c r="T1934" s="128">
        <v>-82</v>
      </c>
      <c r="U1934" s="128">
        <v>0</v>
      </c>
      <c r="V1934" s="128">
        <v>-82</v>
      </c>
      <c r="W1934" s="128">
        <v>0</v>
      </c>
      <c r="X1934" s="128">
        <v>0</v>
      </c>
      <c r="Y1934" s="128">
        <v>0</v>
      </c>
      <c r="Z1934" s="128">
        <v>-82</v>
      </c>
      <c r="AA1934" s="128">
        <v>0</v>
      </c>
      <c r="AB1934" s="126">
        <f t="shared" si="204"/>
        <v>8.1999999999999994E-6</v>
      </c>
      <c r="AC1934" s="122" t="s">
        <v>1838</v>
      </c>
      <c r="AD1934" s="123">
        <f t="shared" si="206"/>
        <v>1983.9723217250009</v>
      </c>
    </row>
    <row r="1935" spans="1:30" ht="12.75" hidden="1" customHeight="1">
      <c r="A1935" s="125" t="str">
        <f t="shared" si="201"/>
        <v>LIC171CCIL Settlement A/C</v>
      </c>
      <c r="B1935" s="125">
        <f>+IFERROR(VLOOKUP(L1935,'TB mapping'!A:D,4,0),0)</f>
        <v>0</v>
      </c>
      <c r="C1935" s="125">
        <f>+IFERROR(VLOOKUP(L1935,'TB mapping'!A:C,3,0),0)</f>
        <v>0</v>
      </c>
      <c r="D1935" s="125" t="str">
        <f t="shared" si="202"/>
        <v>LIC1710</v>
      </c>
      <c r="E1935" s="125" t="str">
        <f t="shared" si="203"/>
        <v>LIC1710</v>
      </c>
      <c r="F1935" s="158" t="str">
        <f>+VLOOKUP(H1935,'code mapping'!A:C,3,0)</f>
        <v>LIC171</v>
      </c>
      <c r="G1935" s="127" t="s">
        <v>453</v>
      </c>
      <c r="H1935" s="127" t="s">
        <v>750</v>
      </c>
      <c r="I1935" s="127" t="s">
        <v>751</v>
      </c>
      <c r="J1935" s="128">
        <v>140000</v>
      </c>
      <c r="K1935" s="127" t="s">
        <v>472</v>
      </c>
      <c r="L1935" s="151">
        <v>132237</v>
      </c>
      <c r="M1935" s="128">
        <v>0</v>
      </c>
      <c r="N1935" s="127" t="s">
        <v>473</v>
      </c>
      <c r="O1935" s="127" t="s">
        <v>457</v>
      </c>
      <c r="P1935" s="128">
        <v>-0.18</v>
      </c>
      <c r="Q1935" s="128">
        <v>0</v>
      </c>
      <c r="R1935" s="128">
        <v>0</v>
      </c>
      <c r="S1935" s="128">
        <v>0</v>
      </c>
      <c r="T1935" s="128">
        <v>-0.18</v>
      </c>
      <c r="U1935" s="128">
        <v>0</v>
      </c>
      <c r="V1935" s="128">
        <v>-0.18</v>
      </c>
      <c r="W1935" s="128">
        <v>0</v>
      </c>
      <c r="X1935" s="128">
        <v>0</v>
      </c>
      <c r="Y1935" s="128">
        <v>0</v>
      </c>
      <c r="Z1935" s="128">
        <v>-0.18</v>
      </c>
      <c r="AA1935" s="128">
        <v>0</v>
      </c>
      <c r="AB1935" s="126">
        <f t="shared" si="204"/>
        <v>1.7999999999999999E-8</v>
      </c>
      <c r="AC1935" s="122" t="s">
        <v>1838</v>
      </c>
      <c r="AD1935" s="123">
        <f t="shared" si="206"/>
        <v>1983.9723217250009</v>
      </c>
    </row>
    <row r="1936" spans="1:30" ht="12.75" hidden="1" customHeight="1">
      <c r="A1936" s="125" t="str">
        <f t="shared" si="201"/>
        <v>LIC171HDFC Current Account</v>
      </c>
      <c r="B1936" s="125">
        <f>+IFERROR(VLOOKUP(L1936,'TB mapping'!A:D,4,0),0)</f>
        <v>0</v>
      </c>
      <c r="C1936" s="125">
        <f>+IFERROR(VLOOKUP(L1936,'TB mapping'!A:C,3,0),0)</f>
        <v>0</v>
      </c>
      <c r="D1936" s="125" t="str">
        <f t="shared" si="202"/>
        <v>LIC1710</v>
      </c>
      <c r="E1936" s="125" t="str">
        <f t="shared" si="203"/>
        <v>LIC1710</v>
      </c>
      <c r="F1936" s="158" t="str">
        <f>+VLOOKUP(H1936,'code mapping'!A:C,3,0)</f>
        <v>LIC171</v>
      </c>
      <c r="G1936" s="127" t="s">
        <v>453</v>
      </c>
      <c r="H1936" s="127" t="s">
        <v>750</v>
      </c>
      <c r="I1936" s="127" t="s">
        <v>751</v>
      </c>
      <c r="J1936" s="128">
        <v>140000</v>
      </c>
      <c r="K1936" s="127" t="s">
        <v>472</v>
      </c>
      <c r="L1936" s="151">
        <v>140330</v>
      </c>
      <c r="M1936" s="128">
        <v>0</v>
      </c>
      <c r="N1936" s="127" t="s">
        <v>475</v>
      </c>
      <c r="O1936" s="127" t="s">
        <v>457</v>
      </c>
      <c r="P1936" s="128">
        <v>0</v>
      </c>
      <c r="Q1936" s="128">
        <v>0.69</v>
      </c>
      <c r="R1936" s="128">
        <v>0</v>
      </c>
      <c r="S1936" s="128">
        <v>0</v>
      </c>
      <c r="T1936" s="128">
        <v>0</v>
      </c>
      <c r="U1936" s="128">
        <v>0.69</v>
      </c>
      <c r="V1936" s="128">
        <v>0</v>
      </c>
      <c r="W1936" s="128">
        <v>0.69</v>
      </c>
      <c r="X1936" s="128">
        <v>0</v>
      </c>
      <c r="Y1936" s="128">
        <v>0</v>
      </c>
      <c r="Z1936" s="128">
        <v>0</v>
      </c>
      <c r="AA1936" s="128">
        <v>0.69</v>
      </c>
      <c r="AB1936" s="126">
        <f t="shared" si="204"/>
        <v>-6.8999999999999996E-8</v>
      </c>
      <c r="AC1936" s="122" t="s">
        <v>1838</v>
      </c>
      <c r="AD1936" s="123">
        <f t="shared" si="206"/>
        <v>1983.9723217250009</v>
      </c>
    </row>
    <row r="1937" spans="1:30" ht="12.75" hidden="1" customHeight="1">
      <c r="A1937" s="125" t="str">
        <f t="shared" si="201"/>
        <v>LIC171HDFC Bank Ltd</v>
      </c>
      <c r="B1937" s="125">
        <f>+IFERROR(VLOOKUP(L1937,'TB mapping'!A:D,4,0),0)</f>
        <v>0</v>
      </c>
      <c r="C1937" s="125">
        <f>+IFERROR(VLOOKUP(L1937,'TB mapping'!A:C,3,0),0)</f>
        <v>0</v>
      </c>
      <c r="D1937" s="125" t="str">
        <f t="shared" si="202"/>
        <v>LIC1710</v>
      </c>
      <c r="E1937" s="125" t="str">
        <f t="shared" si="203"/>
        <v>LIC1710</v>
      </c>
      <c r="F1937" s="158" t="str">
        <f>+VLOOKUP(H1937,'code mapping'!A:C,3,0)</f>
        <v>LIC171</v>
      </c>
      <c r="G1937" s="127" t="s">
        <v>453</v>
      </c>
      <c r="H1937" s="127" t="s">
        <v>750</v>
      </c>
      <c r="I1937" s="127" t="s">
        <v>751</v>
      </c>
      <c r="J1937" s="128">
        <v>140000</v>
      </c>
      <c r="K1937" s="127" t="s">
        <v>472</v>
      </c>
      <c r="L1937" s="151">
        <v>140372</v>
      </c>
      <c r="M1937" s="128">
        <v>0</v>
      </c>
      <c r="N1937" s="127" t="s">
        <v>476</v>
      </c>
      <c r="O1937" s="127" t="s">
        <v>457</v>
      </c>
      <c r="P1937" s="128">
        <v>0</v>
      </c>
      <c r="Q1937" s="128">
        <v>6.92</v>
      </c>
      <c r="R1937" s="128">
        <v>0</v>
      </c>
      <c r="S1937" s="128">
        <v>0</v>
      </c>
      <c r="T1937" s="128">
        <v>0</v>
      </c>
      <c r="U1937" s="128">
        <v>6.92</v>
      </c>
      <c r="V1937" s="128">
        <v>0</v>
      </c>
      <c r="W1937" s="128">
        <v>6.92</v>
      </c>
      <c r="X1937" s="128">
        <v>0</v>
      </c>
      <c r="Y1937" s="128">
        <v>0</v>
      </c>
      <c r="Z1937" s="128">
        <v>0</v>
      </c>
      <c r="AA1937" s="128">
        <v>6.92</v>
      </c>
      <c r="AB1937" s="126">
        <f t="shared" si="204"/>
        <v>-6.92E-7</v>
      </c>
      <c r="AC1937" s="122" t="s">
        <v>1838</v>
      </c>
      <c r="AD1937" s="123">
        <f t="shared" si="206"/>
        <v>1983.9723217250009</v>
      </c>
    </row>
    <row r="1938" spans="1:30" ht="12.75" hidden="1" customHeight="1">
      <c r="A1938" s="125" t="str">
        <f t="shared" si="201"/>
        <v>LIC171Standard Chartered Bank- India</v>
      </c>
      <c r="B1938" s="125">
        <f>+IFERROR(VLOOKUP(L1938,'TB mapping'!A:D,4,0),0)</f>
        <v>0</v>
      </c>
      <c r="C1938" s="125">
        <f>+IFERROR(VLOOKUP(L1938,'TB mapping'!A:C,3,0),0)</f>
        <v>0</v>
      </c>
      <c r="D1938" s="125" t="str">
        <f t="shared" si="202"/>
        <v>LIC1710</v>
      </c>
      <c r="E1938" s="125" t="str">
        <f t="shared" si="203"/>
        <v>LIC1710</v>
      </c>
      <c r="F1938" s="158" t="str">
        <f>+VLOOKUP(H1938,'code mapping'!A:C,3,0)</f>
        <v>LIC171</v>
      </c>
      <c r="G1938" s="127" t="s">
        <v>453</v>
      </c>
      <c r="H1938" s="127" t="s">
        <v>750</v>
      </c>
      <c r="I1938" s="127" t="s">
        <v>751</v>
      </c>
      <c r="J1938" s="128">
        <v>140000</v>
      </c>
      <c r="K1938" s="127" t="s">
        <v>472</v>
      </c>
      <c r="L1938" s="151">
        <v>140500</v>
      </c>
      <c r="M1938" s="128">
        <v>0</v>
      </c>
      <c r="N1938" s="127" t="s">
        <v>477</v>
      </c>
      <c r="O1938" s="127" t="s">
        <v>457</v>
      </c>
      <c r="P1938" s="128">
        <v>-29881.99</v>
      </c>
      <c r="Q1938" s="128">
        <v>0</v>
      </c>
      <c r="R1938" s="128">
        <v>0</v>
      </c>
      <c r="S1938" s="128">
        <v>0</v>
      </c>
      <c r="T1938" s="128">
        <v>-29881.99</v>
      </c>
      <c r="U1938" s="128">
        <v>0</v>
      </c>
      <c r="V1938" s="128">
        <v>-29881.99</v>
      </c>
      <c r="W1938" s="128">
        <v>0</v>
      </c>
      <c r="X1938" s="128">
        <v>0</v>
      </c>
      <c r="Y1938" s="128">
        <v>0</v>
      </c>
      <c r="Z1938" s="128">
        <v>-29881.99</v>
      </c>
      <c r="AA1938" s="128">
        <v>0</v>
      </c>
      <c r="AB1938" s="126">
        <f t="shared" si="204"/>
        <v>2.988199E-3</v>
      </c>
      <c r="AC1938" s="122" t="s">
        <v>1838</v>
      </c>
      <c r="AD1938" s="123">
        <f t="shared" si="206"/>
        <v>1983.9723217250009</v>
      </c>
    </row>
    <row r="1939" spans="1:30" ht="12.75" hidden="1" customHeight="1">
      <c r="A1939" s="125" t="str">
        <f t="shared" si="201"/>
        <v>LIC171Amort Receivable - CBLO</v>
      </c>
      <c r="B1939" s="125">
        <f>+IFERROR(VLOOKUP(L1939,'TB mapping'!A:D,4,0),0)</f>
        <v>0</v>
      </c>
      <c r="C1939" s="125">
        <f>+IFERROR(VLOOKUP(L1939,'TB mapping'!A:C,3,0),0)</f>
        <v>0</v>
      </c>
      <c r="D1939" s="125" t="str">
        <f t="shared" si="202"/>
        <v>LIC1710</v>
      </c>
      <c r="E1939" s="125" t="str">
        <f t="shared" si="203"/>
        <v>LIC1710</v>
      </c>
      <c r="F1939" s="158" t="str">
        <f>+VLOOKUP(H1939,'code mapping'!A:C,3,0)</f>
        <v>LIC171</v>
      </c>
      <c r="G1939" s="127" t="s">
        <v>453</v>
      </c>
      <c r="H1939" s="127" t="s">
        <v>750</v>
      </c>
      <c r="I1939" s="127" t="s">
        <v>751</v>
      </c>
      <c r="J1939" s="128">
        <v>152000</v>
      </c>
      <c r="K1939" s="127" t="s">
        <v>478</v>
      </c>
      <c r="L1939" s="151">
        <v>152232</v>
      </c>
      <c r="M1939" s="128">
        <v>0</v>
      </c>
      <c r="N1939" s="127" t="s">
        <v>482</v>
      </c>
      <c r="O1939" s="127" t="s">
        <v>457</v>
      </c>
      <c r="P1939" s="128">
        <v>-19920.830000000002</v>
      </c>
      <c r="Q1939" s="128">
        <v>0</v>
      </c>
      <c r="R1939" s="128">
        <v>0</v>
      </c>
      <c r="S1939" s="128">
        <v>0</v>
      </c>
      <c r="T1939" s="128">
        <v>-19920.830000000002</v>
      </c>
      <c r="U1939" s="128">
        <v>0</v>
      </c>
      <c r="V1939" s="128">
        <v>-19920.830000000002</v>
      </c>
      <c r="W1939" s="128">
        <v>0</v>
      </c>
      <c r="X1939" s="128">
        <v>0</v>
      </c>
      <c r="Y1939" s="128">
        <v>0</v>
      </c>
      <c r="Z1939" s="128">
        <v>-19920.830000000002</v>
      </c>
      <c r="AA1939" s="128">
        <v>0</v>
      </c>
      <c r="AB1939" s="126">
        <f t="shared" si="204"/>
        <v>1.992083E-3</v>
      </c>
      <c r="AC1939" s="122" t="s">
        <v>1838</v>
      </c>
      <c r="AD1939" s="123">
        <f t="shared" si="206"/>
        <v>1983.9723217250009</v>
      </c>
    </row>
    <row r="1940" spans="1:30" ht="12.75" hidden="1" customHeight="1">
      <c r="A1940" s="125" t="str">
        <f t="shared" si="201"/>
        <v>LIC171Prov Unr P/L - Equities</v>
      </c>
      <c r="B1940" s="125">
        <f>+IFERROR(VLOOKUP(L1940,'TB mapping'!A:D,4,0),0)</f>
        <v>0</v>
      </c>
      <c r="C1940" s="125">
        <f>+IFERROR(VLOOKUP(L1940,'TB mapping'!A:C,3,0),0)</f>
        <v>0</v>
      </c>
      <c r="D1940" s="125" t="str">
        <f t="shared" si="202"/>
        <v>LIC1710</v>
      </c>
      <c r="E1940" s="125" t="str">
        <f t="shared" si="203"/>
        <v>LIC1710</v>
      </c>
      <c r="F1940" s="158" t="str">
        <f>+VLOOKUP(H1940,'code mapping'!A:C,3,0)</f>
        <v>LIC171</v>
      </c>
      <c r="G1940" s="127" t="s">
        <v>453</v>
      </c>
      <c r="H1940" s="127" t="s">
        <v>750</v>
      </c>
      <c r="I1940" s="127" t="s">
        <v>751</v>
      </c>
      <c r="J1940" s="128">
        <v>160000</v>
      </c>
      <c r="K1940" s="127" t="s">
        <v>483</v>
      </c>
      <c r="L1940" s="151">
        <v>161100</v>
      </c>
      <c r="M1940" s="128">
        <v>0</v>
      </c>
      <c r="N1940" s="127" t="s">
        <v>595</v>
      </c>
      <c r="O1940" s="127" t="s">
        <v>457</v>
      </c>
      <c r="P1940" s="128">
        <v>-10607842.08</v>
      </c>
      <c r="Q1940" s="128">
        <v>0</v>
      </c>
      <c r="R1940" s="128">
        <v>0</v>
      </c>
      <c r="S1940" s="128">
        <v>0</v>
      </c>
      <c r="T1940" s="128">
        <v>-10607842.08</v>
      </c>
      <c r="U1940" s="128">
        <v>0</v>
      </c>
      <c r="V1940" s="128">
        <v>-10607842.08</v>
      </c>
      <c r="W1940" s="128">
        <v>0</v>
      </c>
      <c r="X1940" s="128">
        <v>0</v>
      </c>
      <c r="Y1940" s="128">
        <v>0</v>
      </c>
      <c r="Z1940" s="128">
        <v>-10607842.08</v>
      </c>
      <c r="AA1940" s="128">
        <v>0</v>
      </c>
      <c r="AB1940" s="126">
        <f t="shared" si="204"/>
        <v>1.0607842080000001</v>
      </c>
      <c r="AC1940" s="122" t="s">
        <v>1838</v>
      </c>
      <c r="AD1940" s="123">
        <f t="shared" si="206"/>
        <v>1983.9723217250009</v>
      </c>
    </row>
    <row r="1941" spans="1:30" ht="12.75" hidden="1" customHeight="1">
      <c r="A1941" s="125" t="str">
        <f t="shared" si="201"/>
        <v>LIC171Payable - Withhold Brokerage</v>
      </c>
      <c r="B1941" s="125">
        <f>+IFERROR(VLOOKUP(L1941,'TB mapping'!A:D,4,0),0)</f>
        <v>0</v>
      </c>
      <c r="C1941" s="125">
        <f>+IFERROR(VLOOKUP(L1941,'TB mapping'!A:C,3,0),0)</f>
        <v>0</v>
      </c>
      <c r="D1941" s="125" t="str">
        <f t="shared" si="202"/>
        <v>LIC1710</v>
      </c>
      <c r="E1941" s="125" t="str">
        <f t="shared" si="203"/>
        <v>LIC1710</v>
      </c>
      <c r="F1941" s="158" t="str">
        <f>+VLOOKUP(H1941,'code mapping'!A:C,3,0)</f>
        <v>LIC171</v>
      </c>
      <c r="G1941" s="127" t="s">
        <v>453</v>
      </c>
      <c r="H1941" s="127" t="s">
        <v>750</v>
      </c>
      <c r="I1941" s="127" t="s">
        <v>751</v>
      </c>
      <c r="J1941" s="128">
        <v>212000</v>
      </c>
      <c r="K1941" s="127" t="s">
        <v>487</v>
      </c>
      <c r="L1941" s="151">
        <v>210164</v>
      </c>
      <c r="M1941" s="128">
        <v>0</v>
      </c>
      <c r="N1941" s="127" t="s">
        <v>488</v>
      </c>
      <c r="O1941" s="127" t="s">
        <v>457</v>
      </c>
      <c r="P1941" s="128">
        <v>-20116.75</v>
      </c>
      <c r="Q1941" s="128">
        <v>0</v>
      </c>
      <c r="R1941" s="128">
        <v>0</v>
      </c>
      <c r="S1941" s="128">
        <v>0</v>
      </c>
      <c r="T1941" s="128">
        <v>-20116.75</v>
      </c>
      <c r="U1941" s="128">
        <v>0</v>
      </c>
      <c r="V1941" s="128">
        <v>-20116.75</v>
      </c>
      <c r="W1941" s="128">
        <v>0</v>
      </c>
      <c r="X1941" s="128">
        <v>0</v>
      </c>
      <c r="Y1941" s="128">
        <v>0</v>
      </c>
      <c r="Z1941" s="128">
        <v>-20116.75</v>
      </c>
      <c r="AA1941" s="128">
        <v>0</v>
      </c>
      <c r="AB1941" s="126">
        <f t="shared" si="204"/>
        <v>2.0116750000000001E-3</v>
      </c>
      <c r="AC1941" s="122" t="s">
        <v>1838</v>
      </c>
      <c r="AD1941" s="123">
        <f t="shared" si="206"/>
        <v>1983.9723217250009</v>
      </c>
    </row>
    <row r="1942" spans="1:30" ht="12.75" hidden="1" customHeight="1">
      <c r="A1942" s="125" t="str">
        <f t="shared" si="201"/>
        <v>LIC171CGST Payable</v>
      </c>
      <c r="B1942" s="125">
        <f>+IFERROR(VLOOKUP(L1942,'TB mapping'!A:D,4,0),0)</f>
        <v>0</v>
      </c>
      <c r="C1942" s="125">
        <f>+IFERROR(VLOOKUP(L1942,'TB mapping'!A:C,3,0),0)</f>
        <v>0</v>
      </c>
      <c r="D1942" s="125" t="str">
        <f t="shared" si="202"/>
        <v>LIC1710</v>
      </c>
      <c r="E1942" s="125" t="str">
        <f t="shared" si="203"/>
        <v>LIC1710</v>
      </c>
      <c r="F1942" s="158" t="str">
        <f>+VLOOKUP(H1942,'code mapping'!A:C,3,0)</f>
        <v>LIC171</v>
      </c>
      <c r="G1942" s="127" t="s">
        <v>453</v>
      </c>
      <c r="H1942" s="127" t="s">
        <v>750</v>
      </c>
      <c r="I1942" s="127" t="s">
        <v>751</v>
      </c>
      <c r="J1942" s="128">
        <v>212000</v>
      </c>
      <c r="K1942" s="127" t="s">
        <v>487</v>
      </c>
      <c r="L1942" s="151">
        <v>212112</v>
      </c>
      <c r="M1942" s="128">
        <v>0</v>
      </c>
      <c r="N1942" s="127" t="s">
        <v>490</v>
      </c>
      <c r="O1942" s="127" t="s">
        <v>457</v>
      </c>
      <c r="P1942" s="128">
        <v>0</v>
      </c>
      <c r="Q1942" s="128">
        <v>1411.32</v>
      </c>
      <c r="R1942" s="128">
        <v>0</v>
      </c>
      <c r="S1942" s="128">
        <v>0</v>
      </c>
      <c r="T1942" s="128">
        <v>0</v>
      </c>
      <c r="U1942" s="128">
        <v>1411.32</v>
      </c>
      <c r="V1942" s="128">
        <v>0</v>
      </c>
      <c r="W1942" s="128">
        <v>1411.32</v>
      </c>
      <c r="X1942" s="128">
        <v>0</v>
      </c>
      <c r="Y1942" s="128">
        <v>0</v>
      </c>
      <c r="Z1942" s="128">
        <v>0</v>
      </c>
      <c r="AA1942" s="128">
        <v>1411.32</v>
      </c>
      <c r="AB1942" s="126">
        <f t="shared" si="204"/>
        <v>-1.41132E-4</v>
      </c>
      <c r="AC1942" s="122" t="s">
        <v>1838</v>
      </c>
      <c r="AD1942" s="123">
        <f t="shared" si="206"/>
        <v>1983.9723217250009</v>
      </c>
    </row>
    <row r="1943" spans="1:30" ht="12.75" hidden="1" customHeight="1">
      <c r="A1943" s="125" t="str">
        <f t="shared" si="201"/>
        <v>LIC171SGST Payable</v>
      </c>
      <c r="B1943" s="125">
        <f>+IFERROR(VLOOKUP(L1943,'TB mapping'!A:D,4,0),0)</f>
        <v>0</v>
      </c>
      <c r="C1943" s="125">
        <f>+IFERROR(VLOOKUP(L1943,'TB mapping'!A:C,3,0),0)</f>
        <v>0</v>
      </c>
      <c r="D1943" s="125" t="str">
        <f t="shared" si="202"/>
        <v>LIC1710</v>
      </c>
      <c r="E1943" s="125" t="str">
        <f t="shared" si="203"/>
        <v>LIC1710</v>
      </c>
      <c r="F1943" s="158" t="str">
        <f>+VLOOKUP(H1943,'code mapping'!A:C,3,0)</f>
        <v>LIC171</v>
      </c>
      <c r="G1943" s="127" t="s">
        <v>453</v>
      </c>
      <c r="H1943" s="127" t="s">
        <v>750</v>
      </c>
      <c r="I1943" s="127" t="s">
        <v>751</v>
      </c>
      <c r="J1943" s="128">
        <v>212000</v>
      </c>
      <c r="K1943" s="127" t="s">
        <v>487</v>
      </c>
      <c r="L1943" s="151">
        <v>212113</v>
      </c>
      <c r="M1943" s="128">
        <v>0</v>
      </c>
      <c r="N1943" s="127" t="s">
        <v>491</v>
      </c>
      <c r="O1943" s="127" t="s">
        <v>457</v>
      </c>
      <c r="P1943" s="128">
        <v>0</v>
      </c>
      <c r="Q1943" s="128">
        <v>1411.32</v>
      </c>
      <c r="R1943" s="128">
        <v>0</v>
      </c>
      <c r="S1943" s="128">
        <v>0</v>
      </c>
      <c r="T1943" s="128">
        <v>0</v>
      </c>
      <c r="U1943" s="128">
        <v>1411.32</v>
      </c>
      <c r="V1943" s="128">
        <v>0</v>
      </c>
      <c r="W1943" s="128">
        <v>1411.32</v>
      </c>
      <c r="X1943" s="128">
        <v>0</v>
      </c>
      <c r="Y1943" s="128">
        <v>0</v>
      </c>
      <c r="Z1943" s="128">
        <v>0</v>
      </c>
      <c r="AA1943" s="128">
        <v>1411.32</v>
      </c>
      <c r="AB1943" s="126">
        <f t="shared" si="204"/>
        <v>-1.41132E-4</v>
      </c>
      <c r="AC1943" s="122" t="s">
        <v>1838</v>
      </c>
      <c r="AD1943" s="123">
        <f t="shared" si="206"/>
        <v>1983.9723217250009</v>
      </c>
    </row>
    <row r="1944" spans="1:30" ht="12.75" hidden="1" customHeight="1">
      <c r="A1944" s="125" t="str">
        <f t="shared" si="201"/>
        <v>LIC171IGST Payable</v>
      </c>
      <c r="B1944" s="125">
        <f>+IFERROR(VLOOKUP(L1944,'TB mapping'!A:D,4,0),0)</f>
        <v>0</v>
      </c>
      <c r="C1944" s="125">
        <f>+IFERROR(VLOOKUP(L1944,'TB mapping'!A:C,3,0),0)</f>
        <v>0</v>
      </c>
      <c r="D1944" s="125" t="str">
        <f t="shared" si="202"/>
        <v>LIC1710</v>
      </c>
      <c r="E1944" s="125" t="str">
        <f t="shared" si="203"/>
        <v>LIC1710</v>
      </c>
      <c r="F1944" s="158" t="str">
        <f>+VLOOKUP(H1944,'code mapping'!A:C,3,0)</f>
        <v>LIC171</v>
      </c>
      <c r="G1944" s="127" t="s">
        <v>453</v>
      </c>
      <c r="H1944" s="127" t="s">
        <v>750</v>
      </c>
      <c r="I1944" s="127" t="s">
        <v>751</v>
      </c>
      <c r="J1944" s="128">
        <v>212000</v>
      </c>
      <c r="K1944" s="127" t="s">
        <v>487</v>
      </c>
      <c r="L1944" s="151">
        <v>212114</v>
      </c>
      <c r="M1944" s="128">
        <v>0</v>
      </c>
      <c r="N1944" s="127" t="s">
        <v>492</v>
      </c>
      <c r="O1944" s="127" t="s">
        <v>457</v>
      </c>
      <c r="P1944" s="128">
        <v>0</v>
      </c>
      <c r="Q1944" s="128">
        <v>10587.1</v>
      </c>
      <c r="R1944" s="128">
        <v>0</v>
      </c>
      <c r="S1944" s="128">
        <v>0</v>
      </c>
      <c r="T1944" s="128">
        <v>0</v>
      </c>
      <c r="U1944" s="128">
        <v>10587.1</v>
      </c>
      <c r="V1944" s="128">
        <v>0</v>
      </c>
      <c r="W1944" s="128">
        <v>10587.1</v>
      </c>
      <c r="X1944" s="128">
        <v>0</v>
      </c>
      <c r="Y1944" s="128">
        <v>0</v>
      </c>
      <c r="Z1944" s="128">
        <v>0</v>
      </c>
      <c r="AA1944" s="128">
        <v>10587.1</v>
      </c>
      <c r="AB1944" s="126">
        <f t="shared" si="204"/>
        <v>-1.05871E-3</v>
      </c>
      <c r="AC1944" s="122" t="s">
        <v>1838</v>
      </c>
      <c r="AD1944" s="123">
        <f t="shared" si="206"/>
        <v>1983.9723217250009</v>
      </c>
    </row>
    <row r="1945" spans="1:30" ht="12.75" hidden="1" customHeight="1">
      <c r="A1945" s="125" t="str">
        <f t="shared" si="201"/>
        <v>LIC171Redemption Payable Ct</v>
      </c>
      <c r="B1945" s="125">
        <f>+IFERROR(VLOOKUP(L1945,'TB mapping'!A:D,4,0),0)</f>
        <v>0</v>
      </c>
      <c r="C1945" s="125">
        <f>+IFERROR(VLOOKUP(L1945,'TB mapping'!A:C,3,0),0)</f>
        <v>0</v>
      </c>
      <c r="D1945" s="125" t="str">
        <f t="shared" si="202"/>
        <v>LIC1710</v>
      </c>
      <c r="E1945" s="125" t="str">
        <f t="shared" si="203"/>
        <v>LIC1710</v>
      </c>
      <c r="F1945" s="158" t="str">
        <f>+VLOOKUP(H1945,'code mapping'!A:C,3,0)</f>
        <v>LIC171</v>
      </c>
      <c r="G1945" s="127" t="s">
        <v>453</v>
      </c>
      <c r="H1945" s="127" t="s">
        <v>750</v>
      </c>
      <c r="I1945" s="127" t="s">
        <v>751</v>
      </c>
      <c r="J1945" s="128">
        <v>212000</v>
      </c>
      <c r="K1945" s="127" t="s">
        <v>487</v>
      </c>
      <c r="L1945" s="151">
        <v>212121</v>
      </c>
      <c r="M1945" s="128">
        <v>0</v>
      </c>
      <c r="N1945" s="127" t="s">
        <v>493</v>
      </c>
      <c r="O1945" s="127" t="s">
        <v>457</v>
      </c>
      <c r="P1945" s="128">
        <v>0</v>
      </c>
      <c r="Q1945" s="128">
        <v>1695506.07</v>
      </c>
      <c r="R1945" s="128">
        <v>0</v>
      </c>
      <c r="S1945" s="128">
        <v>0</v>
      </c>
      <c r="T1945" s="128">
        <v>0</v>
      </c>
      <c r="U1945" s="128">
        <v>1695506.07</v>
      </c>
      <c r="V1945" s="128">
        <v>0</v>
      </c>
      <c r="W1945" s="128">
        <v>1695506.07</v>
      </c>
      <c r="X1945" s="128">
        <v>0</v>
      </c>
      <c r="Y1945" s="128">
        <v>0</v>
      </c>
      <c r="Z1945" s="128">
        <v>0</v>
      </c>
      <c r="AA1945" s="128">
        <v>1695506.07</v>
      </c>
      <c r="AB1945" s="126">
        <f t="shared" si="204"/>
        <v>-0.16955060700000002</v>
      </c>
      <c r="AC1945" s="122" t="s">
        <v>1838</v>
      </c>
      <c r="AD1945" s="123">
        <f t="shared" si="206"/>
        <v>1983.9723217250009</v>
      </c>
    </row>
    <row r="1946" spans="1:30" ht="12.75" hidden="1" customHeight="1">
      <c r="A1946" s="125" t="str">
        <f t="shared" si="201"/>
        <v>LIC171Switch Out Payable Ct</v>
      </c>
      <c r="B1946" s="125">
        <f>+IFERROR(VLOOKUP(L1946,'TB mapping'!A:D,4,0),0)</f>
        <v>0</v>
      </c>
      <c r="C1946" s="125">
        <f>+IFERROR(VLOOKUP(L1946,'TB mapping'!A:C,3,0),0)</f>
        <v>0</v>
      </c>
      <c r="D1946" s="125" t="str">
        <f t="shared" si="202"/>
        <v>LIC1710</v>
      </c>
      <c r="E1946" s="125" t="str">
        <f t="shared" si="203"/>
        <v>LIC1710</v>
      </c>
      <c r="F1946" s="158" t="str">
        <f>+VLOOKUP(H1946,'code mapping'!A:C,3,0)</f>
        <v>LIC171</v>
      </c>
      <c r="G1946" s="127" t="s">
        <v>453</v>
      </c>
      <c r="H1946" s="127" t="s">
        <v>750</v>
      </c>
      <c r="I1946" s="127" t="s">
        <v>751</v>
      </c>
      <c r="J1946" s="128">
        <v>212000</v>
      </c>
      <c r="K1946" s="127" t="s">
        <v>487</v>
      </c>
      <c r="L1946" s="151">
        <v>212124</v>
      </c>
      <c r="M1946" s="128">
        <v>0</v>
      </c>
      <c r="N1946" s="127" t="s">
        <v>494</v>
      </c>
      <c r="O1946" s="127" t="s">
        <v>457</v>
      </c>
      <c r="P1946" s="128">
        <v>0</v>
      </c>
      <c r="Q1946" s="128">
        <v>3445249.47</v>
      </c>
      <c r="R1946" s="128">
        <v>0</v>
      </c>
      <c r="S1946" s="128">
        <v>0</v>
      </c>
      <c r="T1946" s="128">
        <v>0</v>
      </c>
      <c r="U1946" s="128">
        <v>3445249.47</v>
      </c>
      <c r="V1946" s="128">
        <v>0</v>
      </c>
      <c r="W1946" s="128">
        <v>3445249.47</v>
      </c>
      <c r="X1946" s="128">
        <v>0</v>
      </c>
      <c r="Y1946" s="128">
        <v>0</v>
      </c>
      <c r="Z1946" s="128">
        <v>0</v>
      </c>
      <c r="AA1946" s="128">
        <v>3445249.47</v>
      </c>
      <c r="AB1946" s="126">
        <f t="shared" si="204"/>
        <v>-0.34452494700000003</v>
      </c>
      <c r="AC1946" s="122" t="s">
        <v>1838</v>
      </c>
      <c r="AD1946" s="123">
        <f t="shared" si="206"/>
        <v>1983.9723217250009</v>
      </c>
    </row>
    <row r="1947" spans="1:30" ht="12.75" hidden="1" customHeight="1">
      <c r="A1947" s="125" t="str">
        <f t="shared" si="201"/>
        <v>LIC171Due to Broker - Equity</v>
      </c>
      <c r="B1947" s="125">
        <f>+IFERROR(VLOOKUP(L1947,'TB mapping'!A:D,4,0),0)</f>
        <v>0</v>
      </c>
      <c r="C1947" s="125">
        <f>+IFERROR(VLOOKUP(L1947,'TB mapping'!A:C,3,0),0)</f>
        <v>0</v>
      </c>
      <c r="D1947" s="125" t="str">
        <f t="shared" si="202"/>
        <v>LIC1710</v>
      </c>
      <c r="E1947" s="125" t="str">
        <f t="shared" si="203"/>
        <v>LIC1710</v>
      </c>
      <c r="F1947" s="158" t="str">
        <f>+VLOOKUP(H1947,'code mapping'!A:C,3,0)</f>
        <v>LIC171</v>
      </c>
      <c r="G1947" s="127" t="s">
        <v>453</v>
      </c>
      <c r="H1947" s="127" t="s">
        <v>750</v>
      </c>
      <c r="I1947" s="127" t="s">
        <v>751</v>
      </c>
      <c r="J1947" s="128">
        <v>212000</v>
      </c>
      <c r="K1947" s="127" t="s">
        <v>487</v>
      </c>
      <c r="L1947" s="151">
        <v>212150</v>
      </c>
      <c r="M1947" s="128">
        <v>0</v>
      </c>
      <c r="N1947" s="127" t="s">
        <v>747</v>
      </c>
      <c r="O1947" s="127" t="s">
        <v>457</v>
      </c>
      <c r="P1947" s="128">
        <v>0</v>
      </c>
      <c r="Q1947" s="128">
        <v>4164842.84</v>
      </c>
      <c r="R1947" s="128">
        <v>0</v>
      </c>
      <c r="S1947" s="128">
        <v>0</v>
      </c>
      <c r="T1947" s="128">
        <v>0</v>
      </c>
      <c r="U1947" s="128">
        <v>4164842.84</v>
      </c>
      <c r="V1947" s="128">
        <v>0</v>
      </c>
      <c r="W1947" s="128">
        <v>4164842.84</v>
      </c>
      <c r="X1947" s="128">
        <v>0</v>
      </c>
      <c r="Y1947" s="128">
        <v>0</v>
      </c>
      <c r="Z1947" s="128">
        <v>0</v>
      </c>
      <c r="AA1947" s="128">
        <v>4164842.84</v>
      </c>
      <c r="AB1947" s="126">
        <f t="shared" si="204"/>
        <v>-0.41648428399999998</v>
      </c>
      <c r="AC1947" s="122" t="s">
        <v>1838</v>
      </c>
      <c r="AD1947" s="123">
        <f t="shared" si="206"/>
        <v>1983.9723217250009</v>
      </c>
    </row>
    <row r="1948" spans="1:30" ht="12.75" hidden="1" customHeight="1">
      <c r="A1948" s="125" t="str">
        <f t="shared" si="201"/>
        <v>LIC171Audit Fee-Payable</v>
      </c>
      <c r="B1948" s="125">
        <f>+IFERROR(VLOOKUP(L1948,'TB mapping'!A:D,4,0),0)</f>
        <v>0</v>
      </c>
      <c r="C1948" s="125">
        <f>+IFERROR(VLOOKUP(L1948,'TB mapping'!A:C,3,0),0)</f>
        <v>0</v>
      </c>
      <c r="D1948" s="125" t="str">
        <f t="shared" si="202"/>
        <v>LIC1710</v>
      </c>
      <c r="E1948" s="125" t="str">
        <f t="shared" si="203"/>
        <v>LIC1710</v>
      </c>
      <c r="F1948" s="158" t="str">
        <f>+VLOOKUP(H1948,'code mapping'!A:C,3,0)</f>
        <v>LIC171</v>
      </c>
      <c r="G1948" s="127" t="s">
        <v>453</v>
      </c>
      <c r="H1948" s="127" t="s">
        <v>750</v>
      </c>
      <c r="I1948" s="127" t="s">
        <v>751</v>
      </c>
      <c r="J1948" s="128">
        <v>212000</v>
      </c>
      <c r="K1948" s="127" t="s">
        <v>487</v>
      </c>
      <c r="L1948" s="151">
        <v>212194</v>
      </c>
      <c r="M1948" s="128">
        <v>0</v>
      </c>
      <c r="N1948" s="127" t="s">
        <v>496</v>
      </c>
      <c r="O1948" s="127" t="s">
        <v>457</v>
      </c>
      <c r="P1948" s="128">
        <v>-573.06000000000006</v>
      </c>
      <c r="Q1948" s="128">
        <v>0</v>
      </c>
      <c r="R1948" s="128">
        <v>0</v>
      </c>
      <c r="S1948" s="128">
        <v>0</v>
      </c>
      <c r="T1948" s="128">
        <v>-573.06000000000006</v>
      </c>
      <c r="U1948" s="128">
        <v>0</v>
      </c>
      <c r="V1948" s="128">
        <v>-573.06000000000006</v>
      </c>
      <c r="W1948" s="128">
        <v>0</v>
      </c>
      <c r="X1948" s="128">
        <v>0</v>
      </c>
      <c r="Y1948" s="128">
        <v>0</v>
      </c>
      <c r="Z1948" s="128">
        <v>-573.06000000000006</v>
      </c>
      <c r="AA1948" s="128">
        <v>0</v>
      </c>
      <c r="AB1948" s="126">
        <f t="shared" si="204"/>
        <v>5.7306000000000003E-5</v>
      </c>
      <c r="AC1948" s="122" t="s">
        <v>1838</v>
      </c>
      <c r="AD1948" s="123">
        <f t="shared" si="206"/>
        <v>1983.9723217250009</v>
      </c>
    </row>
    <row r="1949" spans="1:30" ht="12.75" hidden="1" customHeight="1">
      <c r="A1949" s="125" t="str">
        <f t="shared" si="201"/>
        <v>LIC171Other Exp- Payable</v>
      </c>
      <c r="B1949" s="125">
        <f>+IFERROR(VLOOKUP(L1949,'TB mapping'!A:D,4,0),0)</f>
        <v>0</v>
      </c>
      <c r="C1949" s="125">
        <f>+IFERROR(VLOOKUP(L1949,'TB mapping'!A:C,3,0),0)</f>
        <v>0</v>
      </c>
      <c r="D1949" s="125" t="str">
        <f t="shared" si="202"/>
        <v>LIC1710</v>
      </c>
      <c r="E1949" s="125" t="str">
        <f t="shared" si="203"/>
        <v>LIC1710</v>
      </c>
      <c r="F1949" s="158" t="str">
        <f>+VLOOKUP(H1949,'code mapping'!A:C,3,0)</f>
        <v>LIC171</v>
      </c>
      <c r="G1949" s="127" t="s">
        <v>453</v>
      </c>
      <c r="H1949" s="127" t="s">
        <v>750</v>
      </c>
      <c r="I1949" s="127" t="s">
        <v>751</v>
      </c>
      <c r="J1949" s="128">
        <v>212000</v>
      </c>
      <c r="K1949" s="127" t="s">
        <v>487</v>
      </c>
      <c r="L1949" s="151">
        <v>212220</v>
      </c>
      <c r="M1949" s="128">
        <v>0</v>
      </c>
      <c r="N1949" s="127" t="s">
        <v>497</v>
      </c>
      <c r="O1949" s="127" t="s">
        <v>457</v>
      </c>
      <c r="P1949" s="128">
        <v>0</v>
      </c>
      <c r="Q1949" s="128">
        <v>789886.62</v>
      </c>
      <c r="R1949" s="128">
        <v>0</v>
      </c>
      <c r="S1949" s="128">
        <v>0</v>
      </c>
      <c r="T1949" s="128">
        <v>0</v>
      </c>
      <c r="U1949" s="128">
        <v>789886.62</v>
      </c>
      <c r="V1949" s="128">
        <v>0</v>
      </c>
      <c r="W1949" s="128">
        <v>789886.62</v>
      </c>
      <c r="X1949" s="128">
        <v>0</v>
      </c>
      <c r="Y1949" s="128">
        <v>0</v>
      </c>
      <c r="Z1949" s="128">
        <v>0</v>
      </c>
      <c r="AA1949" s="128">
        <v>789886.62</v>
      </c>
      <c r="AB1949" s="126">
        <f t="shared" si="204"/>
        <v>-7.8988662000000001E-2</v>
      </c>
      <c r="AC1949" s="122" t="s">
        <v>1838</v>
      </c>
      <c r="AD1949" s="123">
        <f t="shared" si="206"/>
        <v>1983.9723217250009</v>
      </c>
    </row>
    <row r="1950" spans="1:30" ht="12.75" hidden="1" customHeight="1">
      <c r="A1950" s="125" t="str">
        <f t="shared" si="201"/>
        <v>LIC171Expense Allocation-Liab'ity Ac</v>
      </c>
      <c r="B1950" s="125">
        <f>+IFERROR(VLOOKUP(L1950,'TB mapping'!A:D,4,0),0)</f>
        <v>0</v>
      </c>
      <c r="C1950" s="125">
        <f>+IFERROR(VLOOKUP(L1950,'TB mapping'!A:C,3,0),0)</f>
        <v>0</v>
      </c>
      <c r="D1950" s="125" t="str">
        <f t="shared" si="202"/>
        <v>LIC1710</v>
      </c>
      <c r="E1950" s="125" t="str">
        <f t="shared" si="203"/>
        <v>LIC1710</v>
      </c>
      <c r="F1950" s="158" t="str">
        <f>+VLOOKUP(H1950,'code mapping'!A:C,3,0)</f>
        <v>LIC171</v>
      </c>
      <c r="G1950" s="127" t="s">
        <v>453</v>
      </c>
      <c r="H1950" s="127" t="s">
        <v>750</v>
      </c>
      <c r="I1950" s="127" t="s">
        <v>751</v>
      </c>
      <c r="J1950" s="128">
        <v>212000</v>
      </c>
      <c r="K1950" s="127" t="s">
        <v>487</v>
      </c>
      <c r="L1950" s="151">
        <v>212223</v>
      </c>
      <c r="M1950" s="128">
        <v>0</v>
      </c>
      <c r="N1950" s="127" t="s">
        <v>498</v>
      </c>
      <c r="O1950" s="127" t="s">
        <v>457</v>
      </c>
      <c r="P1950" s="128">
        <v>-472861.84</v>
      </c>
      <c r="Q1950" s="128">
        <v>0</v>
      </c>
      <c r="R1950" s="128">
        <v>0</v>
      </c>
      <c r="S1950" s="128">
        <v>0</v>
      </c>
      <c r="T1950" s="128">
        <v>-472861.84</v>
      </c>
      <c r="U1950" s="128">
        <v>0</v>
      </c>
      <c r="V1950" s="128">
        <v>-472861.84</v>
      </c>
      <c r="W1950" s="128">
        <v>0</v>
      </c>
      <c r="X1950" s="128">
        <v>0</v>
      </c>
      <c r="Y1950" s="128">
        <v>0</v>
      </c>
      <c r="Z1950" s="128">
        <v>-472861.84</v>
      </c>
      <c r="AA1950" s="128">
        <v>0</v>
      </c>
      <c r="AB1950" s="126">
        <f t="shared" si="204"/>
        <v>4.7286184000000002E-2</v>
      </c>
      <c r="AC1950" s="122" t="s">
        <v>1838</v>
      </c>
      <c r="AD1950" s="123">
        <f t="shared" si="206"/>
        <v>1983.9723217250009</v>
      </c>
    </row>
    <row r="1951" spans="1:30" ht="12.75" hidden="1" customHeight="1">
      <c r="A1951" s="125" t="str">
        <f t="shared" si="201"/>
        <v>LIC171Exp- Additional TER Payable</v>
      </c>
      <c r="B1951" s="125">
        <f>+IFERROR(VLOOKUP(L1951,'TB mapping'!A:D,4,0),0)</f>
        <v>0</v>
      </c>
      <c r="C1951" s="125">
        <f>+IFERROR(VLOOKUP(L1951,'TB mapping'!A:C,3,0),0)</f>
        <v>0</v>
      </c>
      <c r="D1951" s="125" t="str">
        <f t="shared" si="202"/>
        <v>LIC1710</v>
      </c>
      <c r="E1951" s="125" t="str">
        <f t="shared" si="203"/>
        <v>LIC1710</v>
      </c>
      <c r="F1951" s="158" t="str">
        <f>+VLOOKUP(H1951,'code mapping'!A:C,3,0)</f>
        <v>LIC171</v>
      </c>
      <c r="G1951" s="127" t="s">
        <v>453</v>
      </c>
      <c r="H1951" s="127" t="s">
        <v>750</v>
      </c>
      <c r="I1951" s="127" t="s">
        <v>751</v>
      </c>
      <c r="J1951" s="128">
        <v>212000</v>
      </c>
      <c r="K1951" s="127" t="s">
        <v>487</v>
      </c>
      <c r="L1951" s="151">
        <v>212227</v>
      </c>
      <c r="M1951" s="128">
        <v>0</v>
      </c>
      <c r="N1951" s="127" t="s">
        <v>627</v>
      </c>
      <c r="O1951" s="127" t="s">
        <v>457</v>
      </c>
      <c r="P1951" s="128">
        <v>0</v>
      </c>
      <c r="Q1951" s="128">
        <v>132421.9</v>
      </c>
      <c r="R1951" s="128">
        <v>0</v>
      </c>
      <c r="S1951" s="128">
        <v>0</v>
      </c>
      <c r="T1951" s="128">
        <v>0</v>
      </c>
      <c r="U1951" s="128">
        <v>132421.9</v>
      </c>
      <c r="V1951" s="128">
        <v>0</v>
      </c>
      <c r="W1951" s="128">
        <v>132421.9</v>
      </c>
      <c r="X1951" s="128">
        <v>0</v>
      </c>
      <c r="Y1951" s="128">
        <v>0</v>
      </c>
      <c r="Z1951" s="128">
        <v>0</v>
      </c>
      <c r="AA1951" s="128">
        <v>132421.9</v>
      </c>
      <c r="AB1951" s="126">
        <f t="shared" si="204"/>
        <v>-1.3242189999999999E-2</v>
      </c>
      <c r="AC1951" s="122" t="s">
        <v>1838</v>
      </c>
      <c r="AD1951" s="123">
        <f t="shared" si="206"/>
        <v>1983.9723217250009</v>
      </c>
    </row>
    <row r="1952" spans="1:30" ht="12.75" hidden="1" customHeight="1">
      <c r="A1952" s="125" t="str">
        <f t="shared" si="201"/>
        <v>LIC171STT Payable</v>
      </c>
      <c r="B1952" s="125">
        <f>+IFERROR(VLOOKUP(L1952,'TB mapping'!A:D,4,0),0)</f>
        <v>0</v>
      </c>
      <c r="C1952" s="125">
        <f>+IFERROR(VLOOKUP(L1952,'TB mapping'!A:C,3,0),0)</f>
        <v>0</v>
      </c>
      <c r="D1952" s="125" t="str">
        <f t="shared" si="202"/>
        <v>LIC1710</v>
      </c>
      <c r="E1952" s="125" t="str">
        <f t="shared" si="203"/>
        <v>LIC1710</v>
      </c>
      <c r="F1952" s="158" t="str">
        <f>+VLOOKUP(H1952,'code mapping'!A:C,3,0)</f>
        <v>LIC171</v>
      </c>
      <c r="G1952" s="127" t="s">
        <v>453</v>
      </c>
      <c r="H1952" s="127" t="s">
        <v>750</v>
      </c>
      <c r="I1952" s="127" t="s">
        <v>751</v>
      </c>
      <c r="J1952" s="128">
        <v>212000</v>
      </c>
      <c r="K1952" s="127" t="s">
        <v>487</v>
      </c>
      <c r="L1952" s="151">
        <v>212231</v>
      </c>
      <c r="M1952" s="128">
        <v>0</v>
      </c>
      <c r="N1952" s="127" t="s">
        <v>748</v>
      </c>
      <c r="O1952" s="127" t="s">
        <v>457</v>
      </c>
      <c r="P1952" s="128">
        <v>0</v>
      </c>
      <c r="Q1952" s="128">
        <v>753.17</v>
      </c>
      <c r="R1952" s="128">
        <v>0</v>
      </c>
      <c r="S1952" s="128">
        <v>0</v>
      </c>
      <c r="T1952" s="128">
        <v>0</v>
      </c>
      <c r="U1952" s="128">
        <v>753.17</v>
      </c>
      <c r="V1952" s="128">
        <v>0</v>
      </c>
      <c r="W1952" s="128">
        <v>753.17</v>
      </c>
      <c r="X1952" s="128">
        <v>0</v>
      </c>
      <c r="Y1952" s="128">
        <v>0</v>
      </c>
      <c r="Z1952" s="128">
        <v>0</v>
      </c>
      <c r="AA1952" s="128">
        <v>753.17</v>
      </c>
      <c r="AB1952" s="126">
        <f t="shared" si="204"/>
        <v>-7.5316999999999997E-5</v>
      </c>
      <c r="AC1952" s="122" t="s">
        <v>1838</v>
      </c>
      <c r="AD1952" s="123">
        <f t="shared" si="206"/>
        <v>1983.9723217250009</v>
      </c>
    </row>
    <row r="1953" spans="1:30" ht="12.75" hidden="1" customHeight="1">
      <c r="A1953" s="125" t="str">
        <f t="shared" si="201"/>
        <v>LIC171Investor Education Payable</v>
      </c>
      <c r="B1953" s="125">
        <f>+IFERROR(VLOOKUP(L1953,'TB mapping'!A:D,4,0),0)</f>
        <v>0</v>
      </c>
      <c r="C1953" s="125">
        <f>+IFERROR(VLOOKUP(L1953,'TB mapping'!A:C,3,0),0)</f>
        <v>0</v>
      </c>
      <c r="D1953" s="125" t="str">
        <f t="shared" si="202"/>
        <v>LIC1710</v>
      </c>
      <c r="E1953" s="125" t="str">
        <f t="shared" si="203"/>
        <v>LIC1710</v>
      </c>
      <c r="F1953" s="158" t="str">
        <f>+VLOOKUP(H1953,'code mapping'!A:C,3,0)</f>
        <v>LIC171</v>
      </c>
      <c r="G1953" s="127" t="s">
        <v>453</v>
      </c>
      <c r="H1953" s="127" t="s">
        <v>750</v>
      </c>
      <c r="I1953" s="127" t="s">
        <v>751</v>
      </c>
      <c r="J1953" s="128">
        <v>212000</v>
      </c>
      <c r="K1953" s="127" t="s">
        <v>487</v>
      </c>
      <c r="L1953" s="151">
        <v>212240</v>
      </c>
      <c r="M1953" s="128">
        <v>0</v>
      </c>
      <c r="N1953" s="127" t="s">
        <v>500</v>
      </c>
      <c r="O1953" s="127" t="s">
        <v>457</v>
      </c>
      <c r="P1953" s="128">
        <v>0</v>
      </c>
      <c r="Q1953" s="128">
        <v>5741.54</v>
      </c>
      <c r="R1953" s="128">
        <v>0</v>
      </c>
      <c r="S1953" s="128">
        <v>0</v>
      </c>
      <c r="T1953" s="128">
        <v>0</v>
      </c>
      <c r="U1953" s="128">
        <v>5741.54</v>
      </c>
      <c r="V1953" s="128">
        <v>0</v>
      </c>
      <c r="W1953" s="128">
        <v>5741.54</v>
      </c>
      <c r="X1953" s="128">
        <v>0</v>
      </c>
      <c r="Y1953" s="128">
        <v>0</v>
      </c>
      <c r="Z1953" s="128">
        <v>0</v>
      </c>
      <c r="AA1953" s="128">
        <v>5741.54</v>
      </c>
      <c r="AB1953" s="126">
        <f t="shared" si="204"/>
        <v>-5.7415400000000001E-4</v>
      </c>
      <c r="AC1953" s="122" t="s">
        <v>1838</v>
      </c>
      <c r="AD1953" s="123">
        <f t="shared" si="206"/>
        <v>1983.9723217250009</v>
      </c>
    </row>
    <row r="1954" spans="1:30" ht="12.75" hidden="1" customHeight="1">
      <c r="A1954" s="125" t="str">
        <f t="shared" si="201"/>
        <v>LIC171Transaction Charges Payable</v>
      </c>
      <c r="B1954" s="125">
        <f>+IFERROR(VLOOKUP(L1954,'TB mapping'!A:D,4,0),0)</f>
        <v>0</v>
      </c>
      <c r="C1954" s="125">
        <f>+IFERROR(VLOOKUP(L1954,'TB mapping'!A:C,3,0),0)</f>
        <v>0</v>
      </c>
      <c r="D1954" s="125" t="str">
        <f t="shared" si="202"/>
        <v>LIC1710</v>
      </c>
      <c r="E1954" s="125" t="str">
        <f t="shared" si="203"/>
        <v>LIC1710</v>
      </c>
      <c r="F1954" s="158" t="str">
        <f>+VLOOKUP(H1954,'code mapping'!A:C,3,0)</f>
        <v>LIC171</v>
      </c>
      <c r="G1954" s="127" t="s">
        <v>453</v>
      </c>
      <c r="H1954" s="127" t="s">
        <v>750</v>
      </c>
      <c r="I1954" s="127" t="s">
        <v>751</v>
      </c>
      <c r="J1954" s="128">
        <v>212000</v>
      </c>
      <c r="K1954" s="127" t="s">
        <v>487</v>
      </c>
      <c r="L1954" s="151">
        <v>212247</v>
      </c>
      <c r="M1954" s="128">
        <v>0</v>
      </c>
      <c r="N1954" s="127" t="s">
        <v>501</v>
      </c>
      <c r="O1954" s="127" t="s">
        <v>457</v>
      </c>
      <c r="P1954" s="128">
        <v>0</v>
      </c>
      <c r="Q1954" s="128">
        <v>2850</v>
      </c>
      <c r="R1954" s="128">
        <v>0</v>
      </c>
      <c r="S1954" s="128">
        <v>0</v>
      </c>
      <c r="T1954" s="128">
        <v>0</v>
      </c>
      <c r="U1954" s="128">
        <v>2850</v>
      </c>
      <c r="V1954" s="128">
        <v>0</v>
      </c>
      <c r="W1954" s="128">
        <v>2850</v>
      </c>
      <c r="X1954" s="128">
        <v>0</v>
      </c>
      <c r="Y1954" s="128">
        <v>0</v>
      </c>
      <c r="Z1954" s="128">
        <v>0</v>
      </c>
      <c r="AA1954" s="128">
        <v>2850</v>
      </c>
      <c r="AB1954" s="126">
        <f t="shared" si="204"/>
        <v>-2.8499999999999999E-4</v>
      </c>
      <c r="AC1954" s="122" t="s">
        <v>1838</v>
      </c>
      <c r="AD1954" s="123">
        <f t="shared" si="206"/>
        <v>1983.9723217250009</v>
      </c>
    </row>
    <row r="1955" spans="1:30" ht="12.75" hidden="1" customHeight="1">
      <c r="A1955" s="125" t="str">
        <f t="shared" si="201"/>
        <v>LIC171Brokerage &amp; Dist Exp Payable</v>
      </c>
      <c r="B1955" s="125">
        <f>+IFERROR(VLOOKUP(L1955,'TB mapping'!A:D,4,0),0)</f>
        <v>0</v>
      </c>
      <c r="C1955" s="125">
        <f>+IFERROR(VLOOKUP(L1955,'TB mapping'!A:C,3,0),0)</f>
        <v>0</v>
      </c>
      <c r="D1955" s="125" t="str">
        <f t="shared" si="202"/>
        <v>LIC1710</v>
      </c>
      <c r="E1955" s="125" t="str">
        <f t="shared" si="203"/>
        <v>LIC1710</v>
      </c>
      <c r="F1955" s="158" t="str">
        <f>+VLOOKUP(H1955,'code mapping'!A:C,3,0)</f>
        <v>LIC171</v>
      </c>
      <c r="G1955" s="127" t="s">
        <v>453</v>
      </c>
      <c r="H1955" s="127" t="s">
        <v>750</v>
      </c>
      <c r="I1955" s="127" t="s">
        <v>751</v>
      </c>
      <c r="J1955" s="128">
        <v>212000</v>
      </c>
      <c r="K1955" s="127" t="s">
        <v>487</v>
      </c>
      <c r="L1955" s="151">
        <v>212255</v>
      </c>
      <c r="M1955" s="128">
        <v>0</v>
      </c>
      <c r="N1955" s="127" t="s">
        <v>503</v>
      </c>
      <c r="O1955" s="127" t="s">
        <v>457</v>
      </c>
      <c r="P1955" s="128">
        <v>0</v>
      </c>
      <c r="Q1955" s="128">
        <v>2192953.71</v>
      </c>
      <c r="R1955" s="128">
        <v>0</v>
      </c>
      <c r="S1955" s="128">
        <v>0</v>
      </c>
      <c r="T1955" s="128">
        <v>0</v>
      </c>
      <c r="U1955" s="128">
        <v>2192953.71</v>
      </c>
      <c r="V1955" s="128">
        <v>0</v>
      </c>
      <c r="W1955" s="128">
        <v>2192953.71</v>
      </c>
      <c r="X1955" s="128">
        <v>0</v>
      </c>
      <c r="Y1955" s="128">
        <v>0</v>
      </c>
      <c r="Z1955" s="128">
        <v>0</v>
      </c>
      <c r="AA1955" s="128">
        <v>2192953.71</v>
      </c>
      <c r="AB1955" s="126">
        <f t="shared" si="204"/>
        <v>-0.21929537099999999</v>
      </c>
      <c r="AC1955" s="122" t="s">
        <v>1838</v>
      </c>
      <c r="AD1955" s="123">
        <f t="shared" si="206"/>
        <v>1983.9723217250009</v>
      </c>
    </row>
    <row r="1956" spans="1:30" ht="12.75" hidden="1" customHeight="1">
      <c r="A1956" s="125" t="str">
        <f t="shared" si="201"/>
        <v>LIC171Upfront Brk &amp; Trail Paid-Liab</v>
      </c>
      <c r="B1956" s="125">
        <f>+IFERROR(VLOOKUP(L1956,'TB mapping'!A:D,4,0),0)</f>
        <v>0</v>
      </c>
      <c r="C1956" s="125">
        <f>+IFERROR(VLOOKUP(L1956,'TB mapping'!A:C,3,0),0)</f>
        <v>0</v>
      </c>
      <c r="D1956" s="125" t="str">
        <f t="shared" si="202"/>
        <v>LIC1710</v>
      </c>
      <c r="E1956" s="125" t="str">
        <f t="shared" si="203"/>
        <v>LIC1710</v>
      </c>
      <c r="F1956" s="158" t="str">
        <f>+VLOOKUP(H1956,'code mapping'!A:C,3,0)</f>
        <v>LIC171</v>
      </c>
      <c r="G1956" s="127" t="s">
        <v>453</v>
      </c>
      <c r="H1956" s="127" t="s">
        <v>750</v>
      </c>
      <c r="I1956" s="127" t="s">
        <v>751</v>
      </c>
      <c r="J1956" s="128">
        <v>212000</v>
      </c>
      <c r="K1956" s="127" t="s">
        <v>487</v>
      </c>
      <c r="L1956" s="151">
        <v>212257</v>
      </c>
      <c r="M1956" s="128">
        <v>0</v>
      </c>
      <c r="N1956" s="127" t="s">
        <v>504</v>
      </c>
      <c r="O1956" s="127" t="s">
        <v>457</v>
      </c>
      <c r="P1956" s="128">
        <v>0</v>
      </c>
      <c r="Q1956" s="128">
        <v>2766.32</v>
      </c>
      <c r="R1956" s="128">
        <v>0</v>
      </c>
      <c r="S1956" s="128">
        <v>0</v>
      </c>
      <c r="T1956" s="128">
        <v>0</v>
      </c>
      <c r="U1956" s="128">
        <v>2766.32</v>
      </c>
      <c r="V1956" s="128">
        <v>0</v>
      </c>
      <c r="W1956" s="128">
        <v>2766.32</v>
      </c>
      <c r="X1956" s="128">
        <v>0</v>
      </c>
      <c r="Y1956" s="128">
        <v>0</v>
      </c>
      <c r="Z1956" s="128">
        <v>0</v>
      </c>
      <c r="AA1956" s="128">
        <v>2766.32</v>
      </c>
      <c r="AB1956" s="126">
        <f t="shared" si="204"/>
        <v>-2.7663200000000002E-4</v>
      </c>
      <c r="AC1956" s="122" t="s">
        <v>1838</v>
      </c>
      <c r="AD1956" s="123">
        <f t="shared" si="206"/>
        <v>1983.9723217250009</v>
      </c>
    </row>
    <row r="1957" spans="1:30" ht="12.75" hidden="1" customHeight="1">
      <c r="A1957" s="125" t="str">
        <f t="shared" si="201"/>
        <v>LIC171Payable CGST on Mfees</v>
      </c>
      <c r="B1957" s="125">
        <f>+IFERROR(VLOOKUP(L1957,'TB mapping'!A:D,4,0),0)</f>
        <v>0</v>
      </c>
      <c r="C1957" s="125">
        <f>+IFERROR(VLOOKUP(L1957,'TB mapping'!A:C,3,0),0)</f>
        <v>0</v>
      </c>
      <c r="D1957" s="125" t="str">
        <f t="shared" si="202"/>
        <v>LIC1710</v>
      </c>
      <c r="E1957" s="125" t="str">
        <f t="shared" si="203"/>
        <v>LIC1710</v>
      </c>
      <c r="F1957" s="158" t="str">
        <f>+VLOOKUP(H1957,'code mapping'!A:C,3,0)</f>
        <v>LIC171</v>
      </c>
      <c r="G1957" s="127" t="s">
        <v>453</v>
      </c>
      <c r="H1957" s="127" t="s">
        <v>750</v>
      </c>
      <c r="I1957" s="127" t="s">
        <v>751</v>
      </c>
      <c r="J1957" s="128">
        <v>212000</v>
      </c>
      <c r="K1957" s="127" t="s">
        <v>487</v>
      </c>
      <c r="L1957" s="151">
        <v>212271</v>
      </c>
      <c r="M1957" s="128">
        <v>0</v>
      </c>
      <c r="N1957" s="127" t="s">
        <v>505</v>
      </c>
      <c r="O1957" s="127" t="s">
        <v>457</v>
      </c>
      <c r="P1957" s="128">
        <v>0</v>
      </c>
      <c r="Q1957" s="128">
        <v>9750.1</v>
      </c>
      <c r="R1957" s="128">
        <v>0</v>
      </c>
      <c r="S1957" s="128">
        <v>0</v>
      </c>
      <c r="T1957" s="128">
        <v>0</v>
      </c>
      <c r="U1957" s="128">
        <v>9750.1</v>
      </c>
      <c r="V1957" s="128">
        <v>0</v>
      </c>
      <c r="W1957" s="128">
        <v>9750.1</v>
      </c>
      <c r="X1957" s="128">
        <v>0</v>
      </c>
      <c r="Y1957" s="128">
        <v>0</v>
      </c>
      <c r="Z1957" s="128">
        <v>0</v>
      </c>
      <c r="AA1957" s="128">
        <v>9750.1</v>
      </c>
      <c r="AB1957" s="126">
        <f t="shared" si="204"/>
        <v>-9.7501E-4</v>
      </c>
      <c r="AC1957" s="122" t="s">
        <v>1838</v>
      </c>
      <c r="AD1957" s="123">
        <f t="shared" si="206"/>
        <v>1983.9723217250009</v>
      </c>
    </row>
    <row r="1958" spans="1:30" ht="12.75" hidden="1" customHeight="1">
      <c r="A1958" s="125" t="str">
        <f t="shared" si="201"/>
        <v>LIC171Payable SGST on Mfees</v>
      </c>
      <c r="B1958" s="125">
        <f>+IFERROR(VLOOKUP(L1958,'TB mapping'!A:D,4,0),0)</f>
        <v>0</v>
      </c>
      <c r="C1958" s="125">
        <f>+IFERROR(VLOOKUP(L1958,'TB mapping'!A:C,3,0),0)</f>
        <v>0</v>
      </c>
      <c r="D1958" s="125" t="str">
        <f t="shared" si="202"/>
        <v>LIC1710</v>
      </c>
      <c r="E1958" s="125" t="str">
        <f t="shared" si="203"/>
        <v>LIC1710</v>
      </c>
      <c r="F1958" s="158" t="str">
        <f>+VLOOKUP(H1958,'code mapping'!A:C,3,0)</f>
        <v>LIC171</v>
      </c>
      <c r="G1958" s="127" t="s">
        <v>453</v>
      </c>
      <c r="H1958" s="127" t="s">
        <v>750</v>
      </c>
      <c r="I1958" s="127" t="s">
        <v>751</v>
      </c>
      <c r="J1958" s="128">
        <v>212000</v>
      </c>
      <c r="K1958" s="127" t="s">
        <v>487</v>
      </c>
      <c r="L1958" s="151">
        <v>212272</v>
      </c>
      <c r="M1958" s="128">
        <v>0</v>
      </c>
      <c r="N1958" s="127" t="s">
        <v>506</v>
      </c>
      <c r="O1958" s="127" t="s">
        <v>457</v>
      </c>
      <c r="P1958" s="128">
        <v>0</v>
      </c>
      <c r="Q1958" s="128">
        <v>9750.1</v>
      </c>
      <c r="R1958" s="128">
        <v>0</v>
      </c>
      <c r="S1958" s="128">
        <v>0</v>
      </c>
      <c r="T1958" s="128">
        <v>0</v>
      </c>
      <c r="U1958" s="128">
        <v>9750.1</v>
      </c>
      <c r="V1958" s="128">
        <v>0</v>
      </c>
      <c r="W1958" s="128">
        <v>9750.1</v>
      </c>
      <c r="X1958" s="128">
        <v>0</v>
      </c>
      <c r="Y1958" s="128">
        <v>0</v>
      </c>
      <c r="Z1958" s="128">
        <v>0</v>
      </c>
      <c r="AA1958" s="128">
        <v>9750.1</v>
      </c>
      <c r="AB1958" s="126">
        <f t="shared" si="204"/>
        <v>-9.7501E-4</v>
      </c>
      <c r="AC1958" s="122" t="s">
        <v>1838</v>
      </c>
      <c r="AD1958" s="123">
        <f t="shared" si="206"/>
        <v>1983.9723217250009</v>
      </c>
    </row>
    <row r="1959" spans="1:30" ht="12.75" hidden="1" customHeight="1">
      <c r="A1959" s="125" t="str">
        <f t="shared" si="201"/>
        <v>LIC171Payable -Inv Educ Fund-AMFI</v>
      </c>
      <c r="B1959" s="125">
        <f>+IFERROR(VLOOKUP(L1959,'TB mapping'!A:D,4,0),0)</f>
        <v>0</v>
      </c>
      <c r="C1959" s="125">
        <f>+IFERROR(VLOOKUP(L1959,'TB mapping'!A:C,3,0),0)</f>
        <v>0</v>
      </c>
      <c r="D1959" s="125" t="str">
        <f t="shared" si="202"/>
        <v>LIC1710</v>
      </c>
      <c r="E1959" s="125" t="str">
        <f t="shared" si="203"/>
        <v>LIC1710</v>
      </c>
      <c r="F1959" s="158" t="str">
        <f>+VLOOKUP(H1959,'code mapping'!A:C,3,0)</f>
        <v>LIC171</v>
      </c>
      <c r="G1959" s="127" t="s">
        <v>453</v>
      </c>
      <c r="H1959" s="127" t="s">
        <v>750</v>
      </c>
      <c r="I1959" s="127" t="s">
        <v>751</v>
      </c>
      <c r="J1959" s="128">
        <v>212000</v>
      </c>
      <c r="K1959" s="127" t="s">
        <v>487</v>
      </c>
      <c r="L1959" s="151">
        <v>213166</v>
      </c>
      <c r="M1959" s="128">
        <v>0</v>
      </c>
      <c r="N1959" s="127" t="s">
        <v>507</v>
      </c>
      <c r="O1959" s="127" t="s">
        <v>457</v>
      </c>
      <c r="P1959" s="128">
        <v>0</v>
      </c>
      <c r="Q1959" s="128">
        <v>5741.54</v>
      </c>
      <c r="R1959" s="128">
        <v>0</v>
      </c>
      <c r="S1959" s="128">
        <v>0</v>
      </c>
      <c r="T1959" s="128">
        <v>0</v>
      </c>
      <c r="U1959" s="128">
        <v>5741.54</v>
      </c>
      <c r="V1959" s="128">
        <v>0</v>
      </c>
      <c r="W1959" s="128">
        <v>5741.54</v>
      </c>
      <c r="X1959" s="128">
        <v>0</v>
      </c>
      <c r="Y1959" s="128">
        <v>0</v>
      </c>
      <c r="Z1959" s="128">
        <v>0</v>
      </c>
      <c r="AA1959" s="128">
        <v>5741.54</v>
      </c>
      <c r="AB1959" s="126">
        <f t="shared" si="204"/>
        <v>-5.7415400000000001E-4</v>
      </c>
      <c r="AC1959" s="122" t="s">
        <v>1838</v>
      </c>
      <c r="AD1959" s="123">
        <f t="shared" si="206"/>
        <v>1983.9723217250009</v>
      </c>
    </row>
    <row r="1960" spans="1:30" ht="12.75" hidden="1" customHeight="1">
      <c r="A1960" s="125" t="str">
        <f t="shared" si="201"/>
        <v>LIC171Management Fee Payable</v>
      </c>
      <c r="B1960" s="125">
        <f>+IFERROR(VLOOKUP(L1960,'TB mapping'!A:D,4,0),0)</f>
        <v>0</v>
      </c>
      <c r="C1960" s="125">
        <f>+IFERROR(VLOOKUP(L1960,'TB mapping'!A:C,3,0),0)</f>
        <v>0</v>
      </c>
      <c r="D1960" s="125" t="str">
        <f t="shared" si="202"/>
        <v>LIC1710</v>
      </c>
      <c r="E1960" s="125" t="str">
        <f t="shared" si="203"/>
        <v>LIC1710</v>
      </c>
      <c r="F1960" s="158" t="str">
        <f>+VLOOKUP(H1960,'code mapping'!A:C,3,0)</f>
        <v>LIC171</v>
      </c>
      <c r="G1960" s="127" t="s">
        <v>453</v>
      </c>
      <c r="H1960" s="127" t="s">
        <v>750</v>
      </c>
      <c r="I1960" s="127" t="s">
        <v>751</v>
      </c>
      <c r="J1960" s="128">
        <v>213000</v>
      </c>
      <c r="K1960" s="127" t="s">
        <v>508</v>
      </c>
      <c r="L1960" s="151">
        <v>213500</v>
      </c>
      <c r="M1960" s="128">
        <v>0</v>
      </c>
      <c r="N1960" s="127" t="s">
        <v>509</v>
      </c>
      <c r="O1960" s="127" t="s">
        <v>457</v>
      </c>
      <c r="P1960" s="128">
        <v>0</v>
      </c>
      <c r="Q1960" s="128">
        <v>108320.78</v>
      </c>
      <c r="R1960" s="128">
        <v>0</v>
      </c>
      <c r="S1960" s="128">
        <v>0</v>
      </c>
      <c r="T1960" s="128">
        <v>0</v>
      </c>
      <c r="U1960" s="128">
        <v>108320.78</v>
      </c>
      <c r="V1960" s="128">
        <v>0</v>
      </c>
      <c r="W1960" s="128">
        <v>108320.78</v>
      </c>
      <c r="X1960" s="128">
        <v>0</v>
      </c>
      <c r="Y1960" s="128">
        <v>0</v>
      </c>
      <c r="Z1960" s="128">
        <v>0</v>
      </c>
      <c r="AA1960" s="128">
        <v>108320.78</v>
      </c>
      <c r="AB1960" s="126">
        <f t="shared" si="204"/>
        <v>-1.0832078E-2</v>
      </c>
      <c r="AC1960" s="122" t="s">
        <v>1838</v>
      </c>
      <c r="AD1960" s="123">
        <f t="shared" si="206"/>
        <v>1983.9723217250009</v>
      </c>
    </row>
    <row r="1961" spans="1:30" ht="12.75" hidden="1" customHeight="1">
      <c r="A1961" s="125" t="str">
        <f t="shared" si="201"/>
        <v>LIC171Other Adjustment A/c.</v>
      </c>
      <c r="B1961" s="125">
        <f>+IFERROR(VLOOKUP(L1961,'TB mapping'!A:D,4,0),0)</f>
        <v>0</v>
      </c>
      <c r="C1961" s="125">
        <f>+IFERROR(VLOOKUP(L1961,'TB mapping'!A:C,3,0),0)</f>
        <v>0</v>
      </c>
      <c r="D1961" s="125" t="str">
        <f t="shared" si="202"/>
        <v>LIC1710</v>
      </c>
      <c r="E1961" s="125" t="str">
        <f t="shared" si="203"/>
        <v>LIC1710</v>
      </c>
      <c r="F1961" s="158" t="str">
        <f>+VLOOKUP(H1961,'code mapping'!A:C,3,0)</f>
        <v>LIC171</v>
      </c>
      <c r="G1961" s="127" t="s">
        <v>453</v>
      </c>
      <c r="H1961" s="127" t="s">
        <v>750</v>
      </c>
      <c r="I1961" s="127" t="s">
        <v>751</v>
      </c>
      <c r="J1961" s="128">
        <v>220000</v>
      </c>
      <c r="K1961" s="127" t="s">
        <v>510</v>
      </c>
      <c r="L1961" s="151">
        <v>190000</v>
      </c>
      <c r="M1961" s="128">
        <v>0</v>
      </c>
      <c r="N1961" s="127" t="s">
        <v>511</v>
      </c>
      <c r="O1961" s="127" t="s">
        <v>457</v>
      </c>
      <c r="P1961" s="128">
        <v>-0.47</v>
      </c>
      <c r="Q1961" s="128">
        <v>0</v>
      </c>
      <c r="R1961" s="128">
        <v>0</v>
      </c>
      <c r="S1961" s="128">
        <v>0</v>
      </c>
      <c r="T1961" s="128">
        <v>-0.47</v>
      </c>
      <c r="U1961" s="128">
        <v>0</v>
      </c>
      <c r="V1961" s="128">
        <v>-0.47</v>
      </c>
      <c r="W1961" s="128">
        <v>0</v>
      </c>
      <c r="X1961" s="128">
        <v>0</v>
      </c>
      <c r="Y1961" s="128">
        <v>0</v>
      </c>
      <c r="Z1961" s="128">
        <v>-0.47</v>
      </c>
      <c r="AA1961" s="128">
        <v>0</v>
      </c>
      <c r="AB1961" s="126">
        <f t="shared" si="204"/>
        <v>4.6999999999999997E-8</v>
      </c>
      <c r="AC1961" s="122" t="s">
        <v>1838</v>
      </c>
      <c r="AD1961" s="123">
        <f t="shared" si="206"/>
        <v>1983.9723217250009</v>
      </c>
    </row>
    <row r="1962" spans="1:30" ht="12.75" hidden="1" customHeight="1">
      <c r="A1962" s="125" t="str">
        <f t="shared" si="201"/>
        <v>LIC171Prov For Withholding Brokerage</v>
      </c>
      <c r="B1962" s="125">
        <f>+IFERROR(VLOOKUP(L1962,'TB mapping'!A:D,4,0),0)</f>
        <v>0</v>
      </c>
      <c r="C1962" s="125">
        <f>+IFERROR(VLOOKUP(L1962,'TB mapping'!A:C,3,0),0)</f>
        <v>0</v>
      </c>
      <c r="D1962" s="125" t="str">
        <f t="shared" si="202"/>
        <v>LIC1710</v>
      </c>
      <c r="E1962" s="125" t="str">
        <f t="shared" si="203"/>
        <v>LIC1710</v>
      </c>
      <c r="F1962" s="158" t="str">
        <f>+VLOOKUP(H1962,'code mapping'!A:C,3,0)</f>
        <v>LIC171</v>
      </c>
      <c r="G1962" s="127" t="s">
        <v>453</v>
      </c>
      <c r="H1962" s="127" t="s">
        <v>750</v>
      </c>
      <c r="I1962" s="127" t="s">
        <v>751</v>
      </c>
      <c r="J1962" s="128">
        <v>220000</v>
      </c>
      <c r="K1962" s="127" t="s">
        <v>510</v>
      </c>
      <c r="L1962" s="151">
        <v>210162</v>
      </c>
      <c r="M1962" s="128">
        <v>0</v>
      </c>
      <c r="N1962" s="127" t="s">
        <v>512</v>
      </c>
      <c r="O1962" s="127" t="s">
        <v>457</v>
      </c>
      <c r="P1962" s="128">
        <v>0</v>
      </c>
      <c r="Q1962" s="128">
        <v>1075.45</v>
      </c>
      <c r="R1962" s="128">
        <v>0</v>
      </c>
      <c r="S1962" s="128">
        <v>0</v>
      </c>
      <c r="T1962" s="128">
        <v>0</v>
      </c>
      <c r="U1962" s="128">
        <v>1075.45</v>
      </c>
      <c r="V1962" s="128">
        <v>0</v>
      </c>
      <c r="W1962" s="128">
        <v>1075.45</v>
      </c>
      <c r="X1962" s="128">
        <v>0</v>
      </c>
      <c r="Y1962" s="128">
        <v>0</v>
      </c>
      <c r="Z1962" s="128">
        <v>0</v>
      </c>
      <c r="AA1962" s="128">
        <v>1075.45</v>
      </c>
      <c r="AB1962" s="126">
        <f t="shared" si="204"/>
        <v>-1.07545E-4</v>
      </c>
      <c r="AC1962" s="122" t="s">
        <v>1838</v>
      </c>
      <c r="AD1962" s="123">
        <f t="shared" si="206"/>
        <v>1983.9723217250009</v>
      </c>
    </row>
    <row r="1963" spans="1:30" ht="12.75" hidden="1" customHeight="1">
      <c r="A1963" s="125" t="str">
        <f t="shared" si="201"/>
        <v>LIC171Prov  Withholding Brok 2016-17</v>
      </c>
      <c r="B1963" s="125">
        <f>+IFERROR(VLOOKUP(L1963,'TB mapping'!A:D,4,0),0)</f>
        <v>0</v>
      </c>
      <c r="C1963" s="125">
        <f>+IFERROR(VLOOKUP(L1963,'TB mapping'!A:C,3,0),0)</f>
        <v>0</v>
      </c>
      <c r="D1963" s="125" t="str">
        <f t="shared" si="202"/>
        <v>LIC1710</v>
      </c>
      <c r="E1963" s="125" t="str">
        <f t="shared" si="203"/>
        <v>LIC1710</v>
      </c>
      <c r="F1963" s="158" t="str">
        <f>+VLOOKUP(H1963,'code mapping'!A:C,3,0)</f>
        <v>LIC171</v>
      </c>
      <c r="G1963" s="127" t="s">
        <v>453</v>
      </c>
      <c r="H1963" s="127" t="s">
        <v>750</v>
      </c>
      <c r="I1963" s="127" t="s">
        <v>751</v>
      </c>
      <c r="J1963" s="128">
        <v>220000</v>
      </c>
      <c r="K1963" s="127" t="s">
        <v>510</v>
      </c>
      <c r="L1963" s="151">
        <v>210163</v>
      </c>
      <c r="M1963" s="128">
        <v>0</v>
      </c>
      <c r="N1963" s="127" t="s">
        <v>513</v>
      </c>
      <c r="O1963" s="127" t="s">
        <v>457</v>
      </c>
      <c r="P1963" s="128">
        <v>0</v>
      </c>
      <c r="Q1963" s="128">
        <v>63071.96</v>
      </c>
      <c r="R1963" s="128">
        <v>0</v>
      </c>
      <c r="S1963" s="128">
        <v>0</v>
      </c>
      <c r="T1963" s="128">
        <v>0</v>
      </c>
      <c r="U1963" s="128">
        <v>63071.96</v>
      </c>
      <c r="V1963" s="128">
        <v>0</v>
      </c>
      <c r="W1963" s="128">
        <v>63071.96</v>
      </c>
      <c r="X1963" s="128">
        <v>0</v>
      </c>
      <c r="Y1963" s="128">
        <v>0</v>
      </c>
      <c r="Z1963" s="128">
        <v>0</v>
      </c>
      <c r="AA1963" s="128">
        <v>63071.96</v>
      </c>
      <c r="AB1963" s="126">
        <f t="shared" si="204"/>
        <v>-6.3071960000000002E-3</v>
      </c>
      <c r="AC1963" s="122" t="s">
        <v>1838</v>
      </c>
      <c r="AD1963" s="123">
        <f t="shared" si="206"/>
        <v>1983.9723217250009</v>
      </c>
    </row>
    <row r="1964" spans="1:30" ht="12.75" hidden="1" customHeight="1">
      <c r="A1964" s="125" t="str">
        <f t="shared" si="201"/>
        <v>LIC171Unit Capital</v>
      </c>
      <c r="B1964" s="125">
        <f>+IFERROR(VLOOKUP(L1964,'TB mapping'!A:D,4,0),0)</f>
        <v>0</v>
      </c>
      <c r="C1964" s="125">
        <f>+IFERROR(VLOOKUP(L1964,'TB mapping'!A:C,3,0),0)</f>
        <v>0</v>
      </c>
      <c r="D1964" s="125" t="str">
        <f t="shared" si="202"/>
        <v>LIC1710</v>
      </c>
      <c r="E1964" s="125" t="str">
        <f t="shared" si="203"/>
        <v>LIC1710</v>
      </c>
      <c r="F1964" s="158" t="str">
        <f>+VLOOKUP(H1964,'code mapping'!A:C,3,0)</f>
        <v>LIC171</v>
      </c>
      <c r="G1964" s="127" t="s">
        <v>453</v>
      </c>
      <c r="H1964" s="127" t="s">
        <v>750</v>
      </c>
      <c r="I1964" s="127" t="s">
        <v>751</v>
      </c>
      <c r="J1964" s="128">
        <v>301000</v>
      </c>
      <c r="K1964" s="127" t="s">
        <v>514</v>
      </c>
      <c r="L1964" s="151">
        <v>310000</v>
      </c>
      <c r="M1964" s="128">
        <v>0</v>
      </c>
      <c r="N1964" s="127" t="s">
        <v>515</v>
      </c>
      <c r="O1964" s="127" t="s">
        <v>457</v>
      </c>
      <c r="P1964" s="128">
        <v>0</v>
      </c>
      <c r="Q1964" s="128">
        <v>619713252</v>
      </c>
      <c r="R1964" s="128">
        <v>0</v>
      </c>
      <c r="S1964" s="128">
        <v>0</v>
      </c>
      <c r="T1964" s="128">
        <v>0</v>
      </c>
      <c r="U1964" s="128">
        <v>619713252</v>
      </c>
      <c r="V1964" s="128">
        <v>0</v>
      </c>
      <c r="W1964" s="128">
        <v>619713252</v>
      </c>
      <c r="X1964" s="128">
        <v>0</v>
      </c>
      <c r="Y1964" s="128">
        <v>0</v>
      </c>
      <c r="Z1964" s="128">
        <v>0</v>
      </c>
      <c r="AA1964" s="128">
        <v>619713252</v>
      </c>
      <c r="AB1964" s="126">
        <f t="shared" si="204"/>
        <v>-61.971325200000003</v>
      </c>
      <c r="AC1964" s="122" t="s">
        <v>1838</v>
      </c>
      <c r="AD1964" s="123">
        <f t="shared" si="206"/>
        <v>1983.9723217250009</v>
      </c>
    </row>
    <row r="1965" spans="1:30" ht="12.75" hidden="1" customHeight="1">
      <c r="A1965" s="125" t="str">
        <f t="shared" si="201"/>
        <v>LIC171Unit Premium Reserve- RG</v>
      </c>
      <c r="B1965" s="125">
        <f>+IFERROR(VLOOKUP(L1965,'TB mapping'!A:D,4,0),0)</f>
        <v>0</v>
      </c>
      <c r="C1965" s="125">
        <f>+IFERROR(VLOOKUP(L1965,'TB mapping'!A:C,3,0),0)</f>
        <v>0</v>
      </c>
      <c r="D1965" s="125" t="str">
        <f t="shared" si="202"/>
        <v>LIC1710</v>
      </c>
      <c r="E1965" s="125" t="str">
        <f t="shared" si="203"/>
        <v>LIC1710</v>
      </c>
      <c r="F1965" s="158" t="str">
        <f>+VLOOKUP(H1965,'code mapping'!A:C,3,0)</f>
        <v>LIC171</v>
      </c>
      <c r="G1965" s="127" t="s">
        <v>453</v>
      </c>
      <c r="H1965" s="127" t="s">
        <v>750</v>
      </c>
      <c r="I1965" s="127" t="s">
        <v>751</v>
      </c>
      <c r="J1965" s="128">
        <v>303000</v>
      </c>
      <c r="K1965" s="127" t="s">
        <v>516</v>
      </c>
      <c r="L1965" s="151">
        <v>303201</v>
      </c>
      <c r="M1965" s="128">
        <v>0</v>
      </c>
      <c r="N1965" s="127" t="s">
        <v>517</v>
      </c>
      <c r="O1965" s="127" t="s">
        <v>457</v>
      </c>
      <c r="P1965" s="128">
        <v>0</v>
      </c>
      <c r="Q1965" s="128">
        <v>27547939.670000002</v>
      </c>
      <c r="R1965" s="128">
        <v>0</v>
      </c>
      <c r="S1965" s="128">
        <v>0</v>
      </c>
      <c r="T1965" s="128">
        <v>0</v>
      </c>
      <c r="U1965" s="128">
        <v>27547939.670000002</v>
      </c>
      <c r="V1965" s="128">
        <v>0</v>
      </c>
      <c r="W1965" s="128">
        <v>27547939.670000002</v>
      </c>
      <c r="X1965" s="128">
        <v>0</v>
      </c>
      <c r="Y1965" s="128">
        <v>0</v>
      </c>
      <c r="Z1965" s="128">
        <v>0</v>
      </c>
      <c r="AA1965" s="128">
        <v>27547939.670000002</v>
      </c>
      <c r="AB1965" s="126">
        <f t="shared" si="204"/>
        <v>-2.7547939670000003</v>
      </c>
      <c r="AC1965" s="122" t="s">
        <v>1838</v>
      </c>
      <c r="AD1965" s="123">
        <f t="shared" si="206"/>
        <v>1983.9723217250009</v>
      </c>
    </row>
    <row r="1966" spans="1:30" ht="12.75" hidden="1" customHeight="1">
      <c r="A1966" s="125" t="str">
        <f t="shared" si="201"/>
        <v>LIC171Unit Premium Reserve- RD</v>
      </c>
      <c r="B1966" s="125">
        <f>+IFERROR(VLOOKUP(L1966,'TB mapping'!A:D,4,0),0)</f>
        <v>0</v>
      </c>
      <c r="C1966" s="125">
        <f>+IFERROR(VLOOKUP(L1966,'TB mapping'!A:C,3,0),0)</f>
        <v>0</v>
      </c>
      <c r="D1966" s="125" t="str">
        <f t="shared" si="202"/>
        <v>LIC1710</v>
      </c>
      <c r="E1966" s="125" t="str">
        <f t="shared" si="203"/>
        <v>LIC1710</v>
      </c>
      <c r="F1966" s="158" t="str">
        <f>+VLOOKUP(H1966,'code mapping'!A:C,3,0)</f>
        <v>LIC171</v>
      </c>
      <c r="G1966" s="127" t="s">
        <v>453</v>
      </c>
      <c r="H1966" s="127" t="s">
        <v>750</v>
      </c>
      <c r="I1966" s="127" t="s">
        <v>751</v>
      </c>
      <c r="J1966" s="128">
        <v>303000</v>
      </c>
      <c r="K1966" s="127" t="s">
        <v>516</v>
      </c>
      <c r="L1966" s="151">
        <v>303202</v>
      </c>
      <c r="M1966" s="128">
        <v>0</v>
      </c>
      <c r="N1966" s="127" t="s">
        <v>518</v>
      </c>
      <c r="O1966" s="127" t="s">
        <v>457</v>
      </c>
      <c r="P1966" s="128">
        <v>0</v>
      </c>
      <c r="Q1966" s="128">
        <v>3071609.84</v>
      </c>
      <c r="R1966" s="128">
        <v>0</v>
      </c>
      <c r="S1966" s="128">
        <v>0</v>
      </c>
      <c r="T1966" s="128">
        <v>0</v>
      </c>
      <c r="U1966" s="128">
        <v>3071609.84</v>
      </c>
      <c r="V1966" s="128">
        <v>0</v>
      </c>
      <c r="W1966" s="128">
        <v>3071609.84</v>
      </c>
      <c r="X1966" s="128">
        <v>0</v>
      </c>
      <c r="Y1966" s="128">
        <v>0</v>
      </c>
      <c r="Z1966" s="128">
        <v>0</v>
      </c>
      <c r="AA1966" s="128">
        <v>3071609.84</v>
      </c>
      <c r="AB1966" s="126">
        <f t="shared" si="204"/>
        <v>-0.30716098399999997</v>
      </c>
      <c r="AC1966" s="122" t="s">
        <v>1838</v>
      </c>
      <c r="AD1966" s="123">
        <f t="shared" si="206"/>
        <v>1983.9723217250009</v>
      </c>
    </row>
    <row r="1967" spans="1:30" ht="12.75" hidden="1" customHeight="1">
      <c r="A1967" s="125" t="str">
        <f t="shared" si="201"/>
        <v>LIC171Unit Premium Reserve-GDP</v>
      </c>
      <c r="B1967" s="125">
        <f>+IFERROR(VLOOKUP(L1967,'TB mapping'!A:D,4,0),0)</f>
        <v>0</v>
      </c>
      <c r="C1967" s="125">
        <f>+IFERROR(VLOOKUP(L1967,'TB mapping'!A:C,3,0),0)</f>
        <v>0</v>
      </c>
      <c r="D1967" s="125" t="str">
        <f t="shared" si="202"/>
        <v>LIC1710</v>
      </c>
      <c r="E1967" s="125" t="str">
        <f t="shared" si="203"/>
        <v>LIC1710</v>
      </c>
      <c r="F1967" s="158" t="str">
        <f>+VLOOKUP(H1967,'code mapping'!A:C,3,0)</f>
        <v>LIC171</v>
      </c>
      <c r="G1967" s="127" t="s">
        <v>453</v>
      </c>
      <c r="H1967" s="127" t="s">
        <v>750</v>
      </c>
      <c r="I1967" s="127" t="s">
        <v>751</v>
      </c>
      <c r="J1967" s="128">
        <v>303000</v>
      </c>
      <c r="K1967" s="127" t="s">
        <v>516</v>
      </c>
      <c r="L1967" s="151">
        <v>303245</v>
      </c>
      <c r="M1967" s="128">
        <v>0</v>
      </c>
      <c r="N1967" s="127" t="s">
        <v>519</v>
      </c>
      <c r="O1967" s="127" t="s">
        <v>457</v>
      </c>
      <c r="P1967" s="128">
        <v>-16776425.060000001</v>
      </c>
      <c r="Q1967" s="128">
        <v>0</v>
      </c>
      <c r="R1967" s="128">
        <v>0</v>
      </c>
      <c r="S1967" s="128">
        <v>0</v>
      </c>
      <c r="T1967" s="128">
        <v>-16776425.060000001</v>
      </c>
      <c r="U1967" s="128">
        <v>0</v>
      </c>
      <c r="V1967" s="128">
        <v>-16776425.060000001</v>
      </c>
      <c r="W1967" s="128">
        <v>0</v>
      </c>
      <c r="X1967" s="128">
        <v>0</v>
      </c>
      <c r="Y1967" s="128">
        <v>0</v>
      </c>
      <c r="Z1967" s="128">
        <v>-16776425.060000001</v>
      </c>
      <c r="AA1967" s="128">
        <v>0</v>
      </c>
      <c r="AB1967" s="126">
        <f t="shared" si="204"/>
        <v>1.677642506</v>
      </c>
      <c r="AC1967" s="122" t="s">
        <v>1838</v>
      </c>
      <c r="AD1967" s="123">
        <f t="shared" si="206"/>
        <v>1983.9723217250009</v>
      </c>
    </row>
    <row r="1968" spans="1:30" ht="12.75" hidden="1" customHeight="1">
      <c r="A1968" s="125" t="str">
        <f t="shared" si="201"/>
        <v>LIC171Unit Premium Reserve-DDP</v>
      </c>
      <c r="B1968" s="125">
        <f>+IFERROR(VLOOKUP(L1968,'TB mapping'!A:D,4,0),0)</f>
        <v>0</v>
      </c>
      <c r="C1968" s="125">
        <f>+IFERROR(VLOOKUP(L1968,'TB mapping'!A:C,3,0),0)</f>
        <v>0</v>
      </c>
      <c r="D1968" s="125" t="str">
        <f t="shared" si="202"/>
        <v>LIC1710</v>
      </c>
      <c r="E1968" s="125" t="str">
        <f t="shared" si="203"/>
        <v>LIC1710</v>
      </c>
      <c r="F1968" s="158" t="str">
        <f>+VLOOKUP(H1968,'code mapping'!A:C,3,0)</f>
        <v>LIC171</v>
      </c>
      <c r="G1968" s="127" t="s">
        <v>453</v>
      </c>
      <c r="H1968" s="127" t="s">
        <v>750</v>
      </c>
      <c r="I1968" s="127" t="s">
        <v>751</v>
      </c>
      <c r="J1968" s="128">
        <v>303000</v>
      </c>
      <c r="K1968" s="127" t="s">
        <v>516</v>
      </c>
      <c r="L1968" s="151">
        <v>303246</v>
      </c>
      <c r="M1968" s="128">
        <v>0</v>
      </c>
      <c r="N1968" s="127" t="s">
        <v>520</v>
      </c>
      <c r="O1968" s="127" t="s">
        <v>457</v>
      </c>
      <c r="P1968" s="128">
        <v>0</v>
      </c>
      <c r="Q1968" s="128">
        <v>545613.47</v>
      </c>
      <c r="R1968" s="128">
        <v>0</v>
      </c>
      <c r="S1968" s="128">
        <v>0</v>
      </c>
      <c r="T1968" s="128">
        <v>0</v>
      </c>
      <c r="U1968" s="128">
        <v>545613.47</v>
      </c>
      <c r="V1968" s="128">
        <v>0</v>
      </c>
      <c r="W1968" s="128">
        <v>545613.47</v>
      </c>
      <c r="X1968" s="128">
        <v>0</v>
      </c>
      <c r="Y1968" s="128">
        <v>0</v>
      </c>
      <c r="Z1968" s="128">
        <v>0</v>
      </c>
      <c r="AA1968" s="128">
        <v>545613.47</v>
      </c>
      <c r="AB1968" s="126">
        <f t="shared" si="204"/>
        <v>-5.4561346999999996E-2</v>
      </c>
      <c r="AC1968" s="122" t="s">
        <v>1838</v>
      </c>
      <c r="AD1968" s="123">
        <f t="shared" si="206"/>
        <v>1983.9723217250009</v>
      </c>
    </row>
    <row r="1969" spans="1:30" ht="12.75" hidden="1" customHeight="1">
      <c r="A1969" s="125" t="str">
        <f t="shared" si="201"/>
        <v>LIC171Net Earnings</v>
      </c>
      <c r="B1969" s="125">
        <f>+IFERROR(VLOOKUP(L1969,'TB mapping'!A:D,4,0),0)</f>
        <v>0</v>
      </c>
      <c r="C1969" s="125">
        <f>+IFERROR(VLOOKUP(L1969,'TB mapping'!A:C,3,0),0)</f>
        <v>0</v>
      </c>
      <c r="D1969" s="125" t="str">
        <f t="shared" si="202"/>
        <v>LIC1710</v>
      </c>
      <c r="E1969" s="125" t="str">
        <f t="shared" si="203"/>
        <v>LIC1710</v>
      </c>
      <c r="F1969" s="158" t="str">
        <f>+VLOOKUP(H1969,'code mapping'!A:C,3,0)</f>
        <v>LIC171</v>
      </c>
      <c r="G1969" s="127" t="s">
        <v>453</v>
      </c>
      <c r="H1969" s="127" t="s">
        <v>750</v>
      </c>
      <c r="I1969" s="127" t="s">
        <v>751</v>
      </c>
      <c r="J1969" s="128">
        <v>303000</v>
      </c>
      <c r="K1969" s="127" t="s">
        <v>516</v>
      </c>
      <c r="L1969" s="151">
        <v>390000</v>
      </c>
      <c r="M1969" s="128">
        <v>0</v>
      </c>
      <c r="N1969" s="127" t="s">
        <v>521</v>
      </c>
      <c r="O1969" s="127" t="s">
        <v>457</v>
      </c>
      <c r="P1969" s="128">
        <v>-25915153.850000001</v>
      </c>
      <c r="Q1969" s="128">
        <v>0</v>
      </c>
      <c r="R1969" s="128">
        <v>0</v>
      </c>
      <c r="S1969" s="128">
        <v>0</v>
      </c>
      <c r="T1969" s="128">
        <v>-25915153.850000001</v>
      </c>
      <c r="U1969" s="128">
        <v>0</v>
      </c>
      <c r="V1969" s="128">
        <v>-25915153.850000001</v>
      </c>
      <c r="W1969" s="128">
        <v>0</v>
      </c>
      <c r="X1969" s="128">
        <v>0</v>
      </c>
      <c r="Y1969" s="128">
        <v>0</v>
      </c>
      <c r="Z1969" s="128">
        <v>-25915153.850000001</v>
      </c>
      <c r="AA1969" s="128">
        <v>0</v>
      </c>
      <c r="AB1969" s="126">
        <f t="shared" si="204"/>
        <v>2.5915153850000001</v>
      </c>
      <c r="AC1969" s="122" t="s">
        <v>1838</v>
      </c>
      <c r="AD1969" s="123">
        <f t="shared" si="206"/>
        <v>1983.9723217250009</v>
      </c>
    </row>
    <row r="1970" spans="1:30" ht="12.75" hidden="1" customHeight="1">
      <c r="A1970" s="125" t="str">
        <f t="shared" si="201"/>
        <v>LIC171R/L G/P - Equities</v>
      </c>
      <c r="B1970" s="125">
        <f>+IFERROR(VLOOKUP(L1970,'TB mapping'!A:D,4,0),0)</f>
        <v>0</v>
      </c>
      <c r="C1970" s="125">
        <f>+IFERROR(VLOOKUP(L1970,'TB mapping'!A:C,3,0),0)</f>
        <v>5.3</v>
      </c>
      <c r="D1970" s="125" t="str">
        <f t="shared" si="202"/>
        <v>LIC1710</v>
      </c>
      <c r="E1970" s="125" t="str">
        <f t="shared" si="203"/>
        <v>LIC1715.3</v>
      </c>
      <c r="F1970" s="158" t="str">
        <f>+VLOOKUP(H1970,'code mapping'!A:C,3,0)</f>
        <v>LIC171</v>
      </c>
      <c r="G1970" s="127" t="s">
        <v>453</v>
      </c>
      <c r="H1970" s="127" t="s">
        <v>750</v>
      </c>
      <c r="I1970" s="127" t="s">
        <v>751</v>
      </c>
      <c r="J1970" s="128">
        <v>410000</v>
      </c>
      <c r="K1970" s="127" t="s">
        <v>522</v>
      </c>
      <c r="L1970" s="151">
        <v>411100</v>
      </c>
      <c r="M1970" s="128">
        <v>0</v>
      </c>
      <c r="N1970" s="127" t="s">
        <v>596</v>
      </c>
      <c r="O1970" s="127" t="s">
        <v>457</v>
      </c>
      <c r="P1970" s="128">
        <v>0</v>
      </c>
      <c r="Q1970" s="128">
        <v>50764651.829999998</v>
      </c>
      <c r="R1970" s="128">
        <v>0</v>
      </c>
      <c r="S1970" s="128">
        <v>0</v>
      </c>
      <c r="T1970" s="128">
        <v>0</v>
      </c>
      <c r="U1970" s="128">
        <v>50764651.829999998</v>
      </c>
      <c r="V1970" s="128">
        <v>0</v>
      </c>
      <c r="W1970" s="128">
        <v>50764651.829999998</v>
      </c>
      <c r="X1970" s="128">
        <v>0</v>
      </c>
      <c r="Y1970" s="128">
        <v>0</v>
      </c>
      <c r="Z1970" s="128">
        <v>0</v>
      </c>
      <c r="AA1970" s="128">
        <v>50764651.829999998</v>
      </c>
      <c r="AB1970" s="126">
        <f t="shared" si="204"/>
        <v>-5.0764651829999998</v>
      </c>
      <c r="AC1970" s="122" t="s">
        <v>1838</v>
      </c>
      <c r="AD1970" s="123">
        <f>SUMIF(E:E,E1970,AB:AB)</f>
        <v>-4.3059438640000005</v>
      </c>
    </row>
    <row r="1971" spans="1:30" ht="12.75" hidden="1" customHeight="1">
      <c r="A1971" s="125" t="str">
        <f t="shared" si="201"/>
        <v>LIC171Profit on Sale-Mutual Fd Units</v>
      </c>
      <c r="B1971" s="125">
        <f>+IFERROR(VLOOKUP(L1971,'TB mapping'!A:D,4,0),0)</f>
        <v>0</v>
      </c>
      <c r="C1971" s="125">
        <f>+IFERROR(VLOOKUP(L1971,'TB mapping'!A:C,3,0),0)</f>
        <v>5.3</v>
      </c>
      <c r="D1971" s="125" t="str">
        <f t="shared" si="202"/>
        <v>LIC1710</v>
      </c>
      <c r="E1971" s="125" t="str">
        <f t="shared" si="203"/>
        <v>LIC1715.3</v>
      </c>
      <c r="F1971" s="158" t="str">
        <f>+VLOOKUP(H1971,'code mapping'!A:C,3,0)</f>
        <v>LIC171</v>
      </c>
      <c r="G1971" s="127" t="s">
        <v>453</v>
      </c>
      <c r="H1971" s="127" t="s">
        <v>750</v>
      </c>
      <c r="I1971" s="127" t="s">
        <v>751</v>
      </c>
      <c r="J1971" s="128">
        <v>410000</v>
      </c>
      <c r="K1971" s="127" t="s">
        <v>522</v>
      </c>
      <c r="L1971" s="151">
        <v>415102</v>
      </c>
      <c r="M1971" s="128">
        <v>0</v>
      </c>
      <c r="N1971" s="127" t="s">
        <v>526</v>
      </c>
      <c r="O1971" s="127" t="s">
        <v>457</v>
      </c>
      <c r="P1971" s="128">
        <v>0</v>
      </c>
      <c r="Q1971" s="128">
        <v>15850.22</v>
      </c>
      <c r="R1971" s="128">
        <v>0</v>
      </c>
      <c r="S1971" s="128">
        <v>0</v>
      </c>
      <c r="T1971" s="128">
        <v>0</v>
      </c>
      <c r="U1971" s="128">
        <v>15850.22</v>
      </c>
      <c r="V1971" s="128">
        <v>0</v>
      </c>
      <c r="W1971" s="128">
        <v>15850.22</v>
      </c>
      <c r="X1971" s="128">
        <v>0</v>
      </c>
      <c r="Y1971" s="128">
        <v>0</v>
      </c>
      <c r="Z1971" s="128">
        <v>0</v>
      </c>
      <c r="AA1971" s="128">
        <v>15850.22</v>
      </c>
      <c r="AB1971" s="126">
        <f t="shared" si="204"/>
        <v>-1.585022E-3</v>
      </c>
      <c r="AC1971" s="122" t="s">
        <v>1838</v>
      </c>
      <c r="AD1971" s="123">
        <f>SUMIF(E:E,E1971,AB:AB)</f>
        <v>-4.3059438640000005</v>
      </c>
    </row>
    <row r="1972" spans="1:30" ht="12.75" hidden="1" customHeight="1">
      <c r="A1972" s="125" t="str">
        <f t="shared" si="201"/>
        <v>LIC171UR/L G/P - Equities</v>
      </c>
      <c r="B1972" s="125">
        <f>+IFERROR(VLOOKUP(L1972,'TB mapping'!A:D,4,0),0)</f>
        <v>0</v>
      </c>
      <c r="C1972" s="125" t="str">
        <f>+IFERROR(VLOOKUP(L1972,'TB mapping'!A:C,3,0),0)</f>
        <v>Ignore</v>
      </c>
      <c r="D1972" s="125" t="str">
        <f t="shared" si="202"/>
        <v>LIC1710</v>
      </c>
      <c r="E1972" s="125" t="str">
        <f t="shared" si="203"/>
        <v>LIC171Ignore</v>
      </c>
      <c r="F1972" s="158" t="str">
        <f>+VLOOKUP(H1972,'code mapping'!A:C,3,0)</f>
        <v>LIC171</v>
      </c>
      <c r="G1972" s="127" t="s">
        <v>453</v>
      </c>
      <c r="H1972" s="127" t="s">
        <v>750</v>
      </c>
      <c r="I1972" s="127" t="s">
        <v>751</v>
      </c>
      <c r="J1972" s="128">
        <v>430000</v>
      </c>
      <c r="K1972" s="127" t="s">
        <v>528</v>
      </c>
      <c r="L1972" s="151">
        <v>431100</v>
      </c>
      <c r="M1972" s="128">
        <v>0</v>
      </c>
      <c r="N1972" s="127" t="s">
        <v>597</v>
      </c>
      <c r="O1972" s="127" t="s">
        <v>457</v>
      </c>
      <c r="P1972" s="128">
        <v>0</v>
      </c>
      <c r="Q1972" s="128">
        <v>10607842.08</v>
      </c>
      <c r="R1972" s="128">
        <v>0</v>
      </c>
      <c r="S1972" s="128">
        <v>0</v>
      </c>
      <c r="T1972" s="128">
        <v>0</v>
      </c>
      <c r="U1972" s="128">
        <v>10607842.08</v>
      </c>
      <c r="V1972" s="128">
        <v>0</v>
      </c>
      <c r="W1972" s="128">
        <v>10607842.08</v>
      </c>
      <c r="X1972" s="128">
        <v>0</v>
      </c>
      <c r="Y1972" s="128">
        <v>0</v>
      </c>
      <c r="Z1972" s="128">
        <v>0</v>
      </c>
      <c r="AA1972" s="128">
        <v>10607842.08</v>
      </c>
      <c r="AB1972" s="126">
        <f t="shared" si="204"/>
        <v>-1.0607842080000001</v>
      </c>
      <c r="AC1972" s="122" t="s">
        <v>1838</v>
      </c>
      <c r="AD1972" s="123">
        <f>SUMIF(C:C,C1972,AB:AB)</f>
        <v>-291.7660984179999</v>
      </c>
    </row>
    <row r="1973" spans="1:30" ht="12.75" hidden="1" customHeight="1">
      <c r="A1973" s="125" t="str">
        <f t="shared" si="201"/>
        <v>LIC171Dividend Income - Equities</v>
      </c>
      <c r="B1973" s="125">
        <f>+IFERROR(VLOOKUP(L1973,'TB mapping'!A:D,4,0),0)</f>
        <v>0</v>
      </c>
      <c r="C1973" s="125">
        <f>+IFERROR(VLOOKUP(L1973,'TB mapping'!A:C,3,0),0)</f>
        <v>5.0999999999999996</v>
      </c>
      <c r="D1973" s="125" t="str">
        <f t="shared" si="202"/>
        <v>LIC1710</v>
      </c>
      <c r="E1973" s="125" t="str">
        <f t="shared" si="203"/>
        <v>LIC1715.1</v>
      </c>
      <c r="F1973" s="158" t="str">
        <f>+VLOOKUP(H1973,'code mapping'!A:C,3,0)</f>
        <v>LIC171</v>
      </c>
      <c r="G1973" s="127" t="s">
        <v>453</v>
      </c>
      <c r="H1973" s="127" t="s">
        <v>750</v>
      </c>
      <c r="I1973" s="127" t="s">
        <v>751</v>
      </c>
      <c r="J1973" s="128">
        <v>450000</v>
      </c>
      <c r="K1973" s="127" t="s">
        <v>532</v>
      </c>
      <c r="L1973" s="151">
        <v>451100</v>
      </c>
      <c r="M1973" s="128">
        <v>0</v>
      </c>
      <c r="N1973" s="127" t="s">
        <v>598</v>
      </c>
      <c r="O1973" s="127" t="s">
        <v>457</v>
      </c>
      <c r="P1973" s="128">
        <v>0</v>
      </c>
      <c r="Q1973" s="128">
        <v>6201263.1500000004</v>
      </c>
      <c r="R1973" s="128">
        <v>0</v>
      </c>
      <c r="S1973" s="128">
        <v>0</v>
      </c>
      <c r="T1973" s="128">
        <v>0</v>
      </c>
      <c r="U1973" s="128">
        <v>6201263.1500000004</v>
      </c>
      <c r="V1973" s="128">
        <v>0</v>
      </c>
      <c r="W1973" s="128">
        <v>6201263.1500000004</v>
      </c>
      <c r="X1973" s="128">
        <v>0</v>
      </c>
      <c r="Y1973" s="128">
        <v>0</v>
      </c>
      <c r="Z1973" s="128">
        <v>0</v>
      </c>
      <c r="AA1973" s="128">
        <v>6201263.1500000004</v>
      </c>
      <c r="AB1973" s="126">
        <f t="shared" si="204"/>
        <v>-0.62012631500000004</v>
      </c>
      <c r="AC1973" s="122" t="s">
        <v>1838</v>
      </c>
      <c r="AD1973" s="123">
        <f t="shared" ref="AD1973:AD2009" si="207">SUMIF(E:E,E1973,AB:AB)</f>
        <v>-0.62012631500000004</v>
      </c>
    </row>
    <row r="1974" spans="1:30" ht="12.75" hidden="1" customHeight="1">
      <c r="A1974" s="125" t="str">
        <f t="shared" si="201"/>
        <v>LIC171Interest Income - CCIL Margin</v>
      </c>
      <c r="B1974" s="125">
        <f>+IFERROR(VLOOKUP(L1974,'TB mapping'!A:D,4,0),0)</f>
        <v>0</v>
      </c>
      <c r="C1974" s="125">
        <f>+IFERROR(VLOOKUP(L1974,'TB mapping'!A:C,3,0),0)</f>
        <v>5.2</v>
      </c>
      <c r="D1974" s="125" t="str">
        <f t="shared" si="202"/>
        <v>LIC1710</v>
      </c>
      <c r="E1974" s="125" t="str">
        <f t="shared" si="203"/>
        <v>LIC1715.2</v>
      </c>
      <c r="F1974" s="158" t="str">
        <f>+VLOOKUP(H1974,'code mapping'!A:C,3,0)</f>
        <v>LIC171</v>
      </c>
      <c r="G1974" s="127" t="s">
        <v>453</v>
      </c>
      <c r="H1974" s="127" t="s">
        <v>750</v>
      </c>
      <c r="I1974" s="127" t="s">
        <v>751</v>
      </c>
      <c r="J1974" s="128">
        <v>450000</v>
      </c>
      <c r="K1974" s="127" t="s">
        <v>532</v>
      </c>
      <c r="L1974" s="151">
        <v>452111</v>
      </c>
      <c r="M1974" s="128">
        <v>0</v>
      </c>
      <c r="N1974" s="127" t="s">
        <v>533</v>
      </c>
      <c r="O1974" s="127" t="s">
        <v>457</v>
      </c>
      <c r="P1974" s="128">
        <v>0</v>
      </c>
      <c r="Q1974" s="128">
        <v>692.03</v>
      </c>
      <c r="R1974" s="128">
        <v>0</v>
      </c>
      <c r="S1974" s="128">
        <v>0</v>
      </c>
      <c r="T1974" s="128">
        <v>0</v>
      </c>
      <c r="U1974" s="128">
        <v>692.03</v>
      </c>
      <c r="V1974" s="128">
        <v>0</v>
      </c>
      <c r="W1974" s="128">
        <v>692.03</v>
      </c>
      <c r="X1974" s="128">
        <v>0</v>
      </c>
      <c r="Y1974" s="128">
        <v>0</v>
      </c>
      <c r="Z1974" s="128">
        <v>0</v>
      </c>
      <c r="AA1974" s="128">
        <v>692.03</v>
      </c>
      <c r="AB1974" s="126">
        <f t="shared" si="204"/>
        <v>-6.9202999999999995E-5</v>
      </c>
      <c r="AC1974" s="122" t="s">
        <v>1838</v>
      </c>
      <c r="AD1974" s="123">
        <f t="shared" si="207"/>
        <v>-0.35334062399999999</v>
      </c>
    </row>
    <row r="1975" spans="1:30" ht="12.75" hidden="1" customHeight="1">
      <c r="A1975" s="125" t="str">
        <f t="shared" si="201"/>
        <v>LIC171Amort. Income - CBLO</v>
      </c>
      <c r="B1975" s="125">
        <f>+IFERROR(VLOOKUP(L1975,'TB mapping'!A:D,4,0),0)</f>
        <v>0</v>
      </c>
      <c r="C1975" s="125">
        <f>+IFERROR(VLOOKUP(L1975,'TB mapping'!A:C,3,0),0)</f>
        <v>5.2</v>
      </c>
      <c r="D1975" s="125" t="str">
        <f t="shared" si="202"/>
        <v>LIC1710</v>
      </c>
      <c r="E1975" s="125" t="str">
        <f t="shared" si="203"/>
        <v>LIC1715.2</v>
      </c>
      <c r="F1975" s="158" t="str">
        <f>+VLOOKUP(H1975,'code mapping'!A:C,3,0)</f>
        <v>LIC171</v>
      </c>
      <c r="G1975" s="127" t="s">
        <v>453</v>
      </c>
      <c r="H1975" s="127" t="s">
        <v>750</v>
      </c>
      <c r="I1975" s="127" t="s">
        <v>751</v>
      </c>
      <c r="J1975" s="128">
        <v>450000</v>
      </c>
      <c r="K1975" s="127" t="s">
        <v>532</v>
      </c>
      <c r="L1975" s="151">
        <v>452228</v>
      </c>
      <c r="M1975" s="128">
        <v>0</v>
      </c>
      <c r="N1975" s="127" t="s">
        <v>537</v>
      </c>
      <c r="O1975" s="127" t="s">
        <v>457</v>
      </c>
      <c r="P1975" s="128">
        <v>0</v>
      </c>
      <c r="Q1975" s="128">
        <v>3532714.21</v>
      </c>
      <c r="R1975" s="128">
        <v>0</v>
      </c>
      <c r="S1975" s="128">
        <v>0</v>
      </c>
      <c r="T1975" s="128">
        <v>0</v>
      </c>
      <c r="U1975" s="128">
        <v>3532714.21</v>
      </c>
      <c r="V1975" s="128">
        <v>0</v>
      </c>
      <c r="W1975" s="128">
        <v>3532714.21</v>
      </c>
      <c r="X1975" s="128">
        <v>0</v>
      </c>
      <c r="Y1975" s="128">
        <v>0</v>
      </c>
      <c r="Z1975" s="128">
        <v>0</v>
      </c>
      <c r="AA1975" s="128">
        <v>3532714.21</v>
      </c>
      <c r="AB1975" s="126">
        <f t="shared" si="204"/>
        <v>-0.35327142099999997</v>
      </c>
      <c r="AC1975" s="122" t="s">
        <v>1838</v>
      </c>
      <c r="AD1975" s="123">
        <f t="shared" si="207"/>
        <v>-0.35334062399999999</v>
      </c>
    </row>
    <row r="1976" spans="1:30" ht="12.75" hidden="1" customHeight="1">
      <c r="A1976" s="125" t="str">
        <f t="shared" si="201"/>
        <v>LIC171Load Income</v>
      </c>
      <c r="B1976" s="125">
        <f>+IFERROR(VLOOKUP(L1976,'TB mapping'!A:D,4,0),0)</f>
        <v>0</v>
      </c>
      <c r="C1976" s="125">
        <f>+IFERROR(VLOOKUP(L1976,'TB mapping'!A:C,3,0),0)</f>
        <v>5.5</v>
      </c>
      <c r="D1976" s="125" t="str">
        <f t="shared" si="202"/>
        <v>LIC1710</v>
      </c>
      <c r="E1976" s="125" t="str">
        <f t="shared" si="203"/>
        <v>LIC1715.5</v>
      </c>
      <c r="F1976" s="158" t="str">
        <f>+VLOOKUP(H1976,'code mapping'!A:C,3,0)</f>
        <v>LIC171</v>
      </c>
      <c r="G1976" s="127" t="s">
        <v>453</v>
      </c>
      <c r="H1976" s="127" t="s">
        <v>750</v>
      </c>
      <c r="I1976" s="127" t="s">
        <v>751</v>
      </c>
      <c r="J1976" s="128">
        <v>460000</v>
      </c>
      <c r="K1976" s="127" t="s">
        <v>539</v>
      </c>
      <c r="L1976" s="151">
        <v>455103</v>
      </c>
      <c r="M1976" s="128">
        <v>0</v>
      </c>
      <c r="N1976" s="127" t="s">
        <v>540</v>
      </c>
      <c r="O1976" s="127" t="s">
        <v>457</v>
      </c>
      <c r="P1976" s="128">
        <v>0</v>
      </c>
      <c r="Q1976" s="128">
        <v>1361002.18</v>
      </c>
      <c r="R1976" s="128">
        <v>0</v>
      </c>
      <c r="S1976" s="128">
        <v>0</v>
      </c>
      <c r="T1976" s="128">
        <v>0</v>
      </c>
      <c r="U1976" s="128">
        <v>1361002.18</v>
      </c>
      <c r="V1976" s="128">
        <v>0</v>
      </c>
      <c r="W1976" s="128">
        <v>1361002.18</v>
      </c>
      <c r="X1976" s="128">
        <v>0</v>
      </c>
      <c r="Y1976" s="128">
        <v>0</v>
      </c>
      <c r="Z1976" s="128">
        <v>0</v>
      </c>
      <c r="AA1976" s="128">
        <v>1361002.18</v>
      </c>
      <c r="AB1976" s="126">
        <f t="shared" si="204"/>
        <v>-0.136100218</v>
      </c>
      <c r="AC1976" s="122" t="s">
        <v>1838</v>
      </c>
      <c r="AD1976" s="123">
        <f t="shared" si="207"/>
        <v>-0.136128517</v>
      </c>
    </row>
    <row r="1977" spans="1:30" ht="12.75" hidden="1" customHeight="1">
      <c r="A1977" s="125" t="str">
        <f t="shared" ref="A1977:A2040" si="208">+F1977&amp;N1977</f>
        <v>LIC171Other Income</v>
      </c>
      <c r="B1977" s="125">
        <f>+IFERROR(VLOOKUP(L1977,'TB mapping'!A:D,4,0),0)</f>
        <v>0</v>
      </c>
      <c r="C1977" s="125">
        <f>+IFERROR(VLOOKUP(L1977,'TB mapping'!A:C,3,0),0)</f>
        <v>5.5</v>
      </c>
      <c r="D1977" s="125" t="str">
        <f t="shared" ref="D1977:D2040" si="209">+F1977&amp;B1977</f>
        <v>LIC1710</v>
      </c>
      <c r="E1977" s="125" t="str">
        <f t="shared" ref="E1977:E2040" si="210">+F1977&amp;C1977</f>
        <v>LIC1715.5</v>
      </c>
      <c r="F1977" s="158" t="str">
        <f>+VLOOKUP(H1977,'code mapping'!A:C,3,0)</f>
        <v>LIC171</v>
      </c>
      <c r="G1977" s="127" t="s">
        <v>453</v>
      </c>
      <c r="H1977" s="127" t="s">
        <v>750</v>
      </c>
      <c r="I1977" s="127" t="s">
        <v>751</v>
      </c>
      <c r="J1977" s="128">
        <v>460000</v>
      </c>
      <c r="K1977" s="127" t="s">
        <v>539</v>
      </c>
      <c r="L1977" s="151">
        <v>460000</v>
      </c>
      <c r="M1977" s="128">
        <v>0</v>
      </c>
      <c r="N1977" s="127" t="s">
        <v>541</v>
      </c>
      <c r="O1977" s="127" t="s">
        <v>457</v>
      </c>
      <c r="P1977" s="128">
        <v>0</v>
      </c>
      <c r="Q1977" s="128">
        <v>282.99</v>
      </c>
      <c r="R1977" s="128">
        <v>0</v>
      </c>
      <c r="S1977" s="128">
        <v>0</v>
      </c>
      <c r="T1977" s="128">
        <v>0</v>
      </c>
      <c r="U1977" s="128">
        <v>282.99</v>
      </c>
      <c r="V1977" s="128">
        <v>0</v>
      </c>
      <c r="W1977" s="128">
        <v>282.99</v>
      </c>
      <c r="X1977" s="128">
        <v>0</v>
      </c>
      <c r="Y1977" s="128">
        <v>0</v>
      </c>
      <c r="Z1977" s="128">
        <v>0</v>
      </c>
      <c r="AA1977" s="128">
        <v>282.99</v>
      </c>
      <c r="AB1977" s="126">
        <f t="shared" ref="AB1977:AB2040" si="211">SUM(-Z1977-AA1977)/10^7</f>
        <v>-2.8299000000000001E-5</v>
      </c>
      <c r="AC1977" s="122" t="s">
        <v>1838</v>
      </c>
      <c r="AD1977" s="123">
        <f t="shared" si="207"/>
        <v>-0.136128517</v>
      </c>
    </row>
    <row r="1978" spans="1:30" ht="12.75" hidden="1" customHeight="1">
      <c r="A1978" s="125" t="str">
        <f t="shared" si="208"/>
        <v>LIC171Interplan Adjustment- RG</v>
      </c>
      <c r="B1978" s="125">
        <f>+IFERROR(VLOOKUP(L1978,'TB mapping'!A:D,4,0),0)</f>
        <v>0</v>
      </c>
      <c r="C1978" s="125">
        <f>+IFERROR(VLOOKUP(L1978,'TB mapping'!A:C,3,0),0)</f>
        <v>5.5</v>
      </c>
      <c r="D1978" s="125" t="str">
        <f t="shared" si="209"/>
        <v>LIC1710</v>
      </c>
      <c r="E1978" s="125" t="str">
        <f t="shared" si="210"/>
        <v>LIC1715.5</v>
      </c>
      <c r="F1978" s="158" t="str">
        <f>+VLOOKUP(H1978,'code mapping'!A:C,3,0)</f>
        <v>LIC171</v>
      </c>
      <c r="G1978" s="127" t="s">
        <v>453</v>
      </c>
      <c r="H1978" s="127" t="s">
        <v>750</v>
      </c>
      <c r="I1978" s="127" t="s">
        <v>751</v>
      </c>
      <c r="J1978" s="128">
        <v>460000</v>
      </c>
      <c r="K1978" s="127" t="s">
        <v>539</v>
      </c>
      <c r="L1978" s="151">
        <v>460101</v>
      </c>
      <c r="M1978" s="128">
        <v>0</v>
      </c>
      <c r="N1978" s="127" t="s">
        <v>542</v>
      </c>
      <c r="O1978" s="127" t="s">
        <v>457</v>
      </c>
      <c r="P1978" s="128">
        <v>0</v>
      </c>
      <c r="Q1978" s="128">
        <v>2.3000000000000003</v>
      </c>
      <c r="R1978" s="128">
        <v>0</v>
      </c>
      <c r="S1978" s="128">
        <v>0</v>
      </c>
      <c r="T1978" s="128">
        <v>0</v>
      </c>
      <c r="U1978" s="128">
        <v>2.3000000000000003</v>
      </c>
      <c r="V1978" s="128">
        <v>0</v>
      </c>
      <c r="W1978" s="128">
        <v>2.3000000000000003</v>
      </c>
      <c r="X1978" s="128">
        <v>0</v>
      </c>
      <c r="Y1978" s="128">
        <v>0</v>
      </c>
      <c r="Z1978" s="128">
        <v>0</v>
      </c>
      <c r="AA1978" s="128">
        <v>2.3000000000000003</v>
      </c>
      <c r="AB1978" s="126">
        <f t="shared" si="211"/>
        <v>-2.3000000000000002E-7</v>
      </c>
      <c r="AC1978" s="122" t="s">
        <v>1838</v>
      </c>
      <c r="AD1978" s="123">
        <f t="shared" si="207"/>
        <v>-0.136128517</v>
      </c>
    </row>
    <row r="1979" spans="1:30" ht="12.75" hidden="1" customHeight="1">
      <c r="A1979" s="125" t="str">
        <f t="shared" si="208"/>
        <v>LIC171Interplan Adjustment- RD</v>
      </c>
      <c r="B1979" s="125">
        <f>+IFERROR(VLOOKUP(L1979,'TB mapping'!A:D,4,0),0)</f>
        <v>0</v>
      </c>
      <c r="C1979" s="125">
        <f>+IFERROR(VLOOKUP(L1979,'TB mapping'!A:C,3,0),0)</f>
        <v>5.5</v>
      </c>
      <c r="D1979" s="125" t="str">
        <f t="shared" si="209"/>
        <v>LIC1710</v>
      </c>
      <c r="E1979" s="125" t="str">
        <f t="shared" si="210"/>
        <v>LIC1715.5</v>
      </c>
      <c r="F1979" s="158" t="str">
        <f>+VLOOKUP(H1979,'code mapping'!A:C,3,0)</f>
        <v>LIC171</v>
      </c>
      <c r="G1979" s="127" t="s">
        <v>453</v>
      </c>
      <c r="H1979" s="127" t="s">
        <v>750</v>
      </c>
      <c r="I1979" s="127" t="s">
        <v>751</v>
      </c>
      <c r="J1979" s="128">
        <v>460000</v>
      </c>
      <c r="K1979" s="127" t="s">
        <v>539</v>
      </c>
      <c r="L1979" s="151">
        <v>460102</v>
      </c>
      <c r="M1979" s="128">
        <v>0</v>
      </c>
      <c r="N1979" s="127" t="s">
        <v>543</v>
      </c>
      <c r="O1979" s="127" t="s">
        <v>457</v>
      </c>
      <c r="P1979" s="128">
        <v>0</v>
      </c>
      <c r="Q1979" s="128">
        <v>0.8</v>
      </c>
      <c r="R1979" s="128">
        <v>0</v>
      </c>
      <c r="S1979" s="128">
        <v>0</v>
      </c>
      <c r="T1979" s="128">
        <v>0</v>
      </c>
      <c r="U1979" s="128">
        <v>0.8</v>
      </c>
      <c r="V1979" s="128">
        <v>0</v>
      </c>
      <c r="W1979" s="128">
        <v>0.8</v>
      </c>
      <c r="X1979" s="128">
        <v>0</v>
      </c>
      <c r="Y1979" s="128">
        <v>0</v>
      </c>
      <c r="Z1979" s="128">
        <v>0</v>
      </c>
      <c r="AA1979" s="128">
        <v>0.8</v>
      </c>
      <c r="AB1979" s="126">
        <f t="shared" si="211"/>
        <v>-8.0000000000000002E-8</v>
      </c>
      <c r="AC1979" s="122" t="s">
        <v>1838</v>
      </c>
      <c r="AD1979" s="123">
        <f t="shared" si="207"/>
        <v>-0.136128517</v>
      </c>
    </row>
    <row r="1980" spans="1:30" ht="12.75" hidden="1" customHeight="1">
      <c r="A1980" s="125" t="str">
        <f t="shared" si="208"/>
        <v>LIC171Interplan Adjustment- GDP</v>
      </c>
      <c r="B1980" s="125">
        <f>+IFERROR(VLOOKUP(L1980,'TB mapping'!A:D,4,0),0)</f>
        <v>0</v>
      </c>
      <c r="C1980" s="125">
        <f>+IFERROR(VLOOKUP(L1980,'TB mapping'!A:C,3,0),0)</f>
        <v>5.5</v>
      </c>
      <c r="D1980" s="125" t="str">
        <f t="shared" si="209"/>
        <v>LIC1710</v>
      </c>
      <c r="E1980" s="125" t="str">
        <f t="shared" si="210"/>
        <v>LIC1715.5</v>
      </c>
      <c r="F1980" s="158" t="str">
        <f>+VLOOKUP(H1980,'code mapping'!A:C,3,0)</f>
        <v>LIC171</v>
      </c>
      <c r="G1980" s="127" t="s">
        <v>453</v>
      </c>
      <c r="H1980" s="127" t="s">
        <v>750</v>
      </c>
      <c r="I1980" s="127" t="s">
        <v>751</v>
      </c>
      <c r="J1980" s="128">
        <v>460000</v>
      </c>
      <c r="K1980" s="127" t="s">
        <v>539</v>
      </c>
      <c r="L1980" s="151">
        <v>460143</v>
      </c>
      <c r="M1980" s="128">
        <v>0</v>
      </c>
      <c r="N1980" s="127" t="s">
        <v>544</v>
      </c>
      <c r="O1980" s="127" t="s">
        <v>457</v>
      </c>
      <c r="P1980" s="128">
        <v>-3.18</v>
      </c>
      <c r="Q1980" s="128">
        <v>0</v>
      </c>
      <c r="R1980" s="128">
        <v>0</v>
      </c>
      <c r="S1980" s="128">
        <v>0</v>
      </c>
      <c r="T1980" s="128">
        <v>-3.18</v>
      </c>
      <c r="U1980" s="128">
        <v>0</v>
      </c>
      <c r="V1980" s="128">
        <v>-3.18</v>
      </c>
      <c r="W1980" s="128">
        <v>0</v>
      </c>
      <c r="X1980" s="128">
        <v>0</v>
      </c>
      <c r="Y1980" s="128">
        <v>0</v>
      </c>
      <c r="Z1980" s="128">
        <v>-3.18</v>
      </c>
      <c r="AA1980" s="128">
        <v>0</v>
      </c>
      <c r="AB1980" s="126">
        <f t="shared" si="211"/>
        <v>3.1800000000000002E-7</v>
      </c>
      <c r="AC1980" s="122" t="s">
        <v>1838</v>
      </c>
      <c r="AD1980" s="123">
        <f t="shared" si="207"/>
        <v>-0.136128517</v>
      </c>
    </row>
    <row r="1981" spans="1:30" ht="12.75" hidden="1" customHeight="1">
      <c r="A1981" s="125" t="str">
        <f t="shared" si="208"/>
        <v>LIC171Interplan Adjustment- DDP</v>
      </c>
      <c r="B1981" s="125">
        <f>+IFERROR(VLOOKUP(L1981,'TB mapping'!A:D,4,0),0)</f>
        <v>0</v>
      </c>
      <c r="C1981" s="125">
        <f>+IFERROR(VLOOKUP(L1981,'TB mapping'!A:C,3,0),0)</f>
        <v>5.5</v>
      </c>
      <c r="D1981" s="125" t="str">
        <f t="shared" si="209"/>
        <v>LIC1710</v>
      </c>
      <c r="E1981" s="125" t="str">
        <f t="shared" si="210"/>
        <v>LIC1715.5</v>
      </c>
      <c r="F1981" s="158" t="str">
        <f>+VLOOKUP(H1981,'code mapping'!A:C,3,0)</f>
        <v>LIC171</v>
      </c>
      <c r="G1981" s="127" t="s">
        <v>453</v>
      </c>
      <c r="H1981" s="127" t="s">
        <v>750</v>
      </c>
      <c r="I1981" s="127" t="s">
        <v>751</v>
      </c>
      <c r="J1981" s="128">
        <v>460000</v>
      </c>
      <c r="K1981" s="127" t="s">
        <v>539</v>
      </c>
      <c r="L1981" s="151">
        <v>460144</v>
      </c>
      <c r="M1981" s="128">
        <v>0</v>
      </c>
      <c r="N1981" s="127" t="s">
        <v>545</v>
      </c>
      <c r="O1981" s="127" t="s">
        <v>457</v>
      </c>
      <c r="P1981" s="128">
        <v>0</v>
      </c>
      <c r="Q1981" s="128">
        <v>0.08</v>
      </c>
      <c r="R1981" s="128">
        <v>0</v>
      </c>
      <c r="S1981" s="128">
        <v>0</v>
      </c>
      <c r="T1981" s="128">
        <v>0</v>
      </c>
      <c r="U1981" s="128">
        <v>0.08</v>
      </c>
      <c r="V1981" s="128">
        <v>0</v>
      </c>
      <c r="W1981" s="128">
        <v>0.08</v>
      </c>
      <c r="X1981" s="128">
        <v>0</v>
      </c>
      <c r="Y1981" s="128">
        <v>0</v>
      </c>
      <c r="Z1981" s="128">
        <v>0</v>
      </c>
      <c r="AA1981" s="128">
        <v>0.08</v>
      </c>
      <c r="AB1981" s="126">
        <f t="shared" si="211"/>
        <v>-8.0000000000000005E-9</v>
      </c>
      <c r="AC1981" s="122" t="s">
        <v>1838</v>
      </c>
      <c r="AD1981" s="123">
        <f t="shared" si="207"/>
        <v>-0.136128517</v>
      </c>
    </row>
    <row r="1982" spans="1:30" ht="12.75" hidden="1" customHeight="1">
      <c r="A1982" s="125" t="str">
        <f t="shared" si="208"/>
        <v>LIC171R/L L/P - Equities</v>
      </c>
      <c r="B1982" s="125">
        <f>+IFERROR(VLOOKUP(L1982,'TB mapping'!A:D,4,0),0)</f>
        <v>0</v>
      </c>
      <c r="C1982" s="125">
        <f>+IFERROR(VLOOKUP(L1982,'TB mapping'!A:C,3,0),0)</f>
        <v>5.3</v>
      </c>
      <c r="D1982" s="125" t="str">
        <f t="shared" si="209"/>
        <v>LIC1710</v>
      </c>
      <c r="E1982" s="125" t="str">
        <f t="shared" si="210"/>
        <v>LIC1715.3</v>
      </c>
      <c r="F1982" s="158" t="str">
        <f>+VLOOKUP(H1982,'code mapping'!A:C,3,0)</f>
        <v>LIC171</v>
      </c>
      <c r="G1982" s="127" t="s">
        <v>453</v>
      </c>
      <c r="H1982" s="127" t="s">
        <v>750</v>
      </c>
      <c r="I1982" s="127" t="s">
        <v>751</v>
      </c>
      <c r="J1982" s="128">
        <v>510000</v>
      </c>
      <c r="K1982" s="127" t="s">
        <v>546</v>
      </c>
      <c r="L1982" s="151">
        <v>511100</v>
      </c>
      <c r="M1982" s="128">
        <v>0</v>
      </c>
      <c r="N1982" s="127" t="s">
        <v>599</v>
      </c>
      <c r="O1982" s="127" t="s">
        <v>457</v>
      </c>
      <c r="P1982" s="128">
        <v>-7721063.4100000001</v>
      </c>
      <c r="Q1982" s="128">
        <v>0</v>
      </c>
      <c r="R1982" s="128">
        <v>0</v>
      </c>
      <c r="S1982" s="128">
        <v>0</v>
      </c>
      <c r="T1982" s="128">
        <v>-7721063.4100000001</v>
      </c>
      <c r="U1982" s="128">
        <v>0</v>
      </c>
      <c r="V1982" s="128">
        <v>-7721063.4100000001</v>
      </c>
      <c r="W1982" s="128">
        <v>0</v>
      </c>
      <c r="X1982" s="128">
        <v>0</v>
      </c>
      <c r="Y1982" s="128">
        <v>0</v>
      </c>
      <c r="Z1982" s="128">
        <v>-7721063.4100000001</v>
      </c>
      <c r="AA1982" s="128">
        <v>0</v>
      </c>
      <c r="AB1982" s="126">
        <f t="shared" si="211"/>
        <v>0.77210634099999997</v>
      </c>
      <c r="AC1982" s="122" t="s">
        <v>1838</v>
      </c>
      <c r="AD1982" s="123">
        <f t="shared" si="207"/>
        <v>-4.3059438640000005</v>
      </c>
    </row>
    <row r="1983" spans="1:30" ht="12.75" hidden="1" customHeight="1">
      <c r="A1983" s="125" t="str">
        <f t="shared" si="208"/>
        <v>LIC171SEBI Fees</v>
      </c>
      <c r="B1983" s="125">
        <f>+IFERROR(VLOOKUP(L1983,'TB mapping'!A:D,4,0),0)</f>
        <v>0</v>
      </c>
      <c r="C1983" s="125">
        <f>+IFERROR(VLOOKUP(L1983,'TB mapping'!A:C,3,0),0)</f>
        <v>6.3</v>
      </c>
      <c r="D1983" s="125" t="str">
        <f t="shared" si="209"/>
        <v>LIC1710</v>
      </c>
      <c r="E1983" s="125" t="str">
        <f t="shared" si="210"/>
        <v>LIC1716.3</v>
      </c>
      <c r="F1983" s="158" t="str">
        <f>+VLOOKUP(H1983,'code mapping'!A:C,3,0)</f>
        <v>LIC171</v>
      </c>
      <c r="G1983" s="127" t="s">
        <v>453</v>
      </c>
      <c r="H1983" s="127" t="s">
        <v>750</v>
      </c>
      <c r="I1983" s="127" t="s">
        <v>751</v>
      </c>
      <c r="J1983" s="128">
        <v>550000</v>
      </c>
      <c r="K1983" s="127" t="s">
        <v>550</v>
      </c>
      <c r="L1983" s="151">
        <v>553007</v>
      </c>
      <c r="M1983" s="128">
        <v>0</v>
      </c>
      <c r="N1983" s="127" t="s">
        <v>551</v>
      </c>
      <c r="O1983" s="127" t="s">
        <v>457</v>
      </c>
      <c r="P1983" s="128">
        <v>-6774.23</v>
      </c>
      <c r="Q1983" s="128">
        <v>0</v>
      </c>
      <c r="R1983" s="128">
        <v>0</v>
      </c>
      <c r="S1983" s="128">
        <v>0</v>
      </c>
      <c r="T1983" s="128">
        <v>-6774.23</v>
      </c>
      <c r="U1983" s="128">
        <v>0</v>
      </c>
      <c r="V1983" s="128">
        <v>-6774.23</v>
      </c>
      <c r="W1983" s="128">
        <v>0</v>
      </c>
      <c r="X1983" s="128">
        <v>0</v>
      </c>
      <c r="Y1983" s="128">
        <v>0</v>
      </c>
      <c r="Z1983" s="128">
        <v>-6774.23</v>
      </c>
      <c r="AA1983" s="128">
        <v>0</v>
      </c>
      <c r="AB1983" s="126">
        <f t="shared" si="211"/>
        <v>6.7742299999999991E-4</v>
      </c>
      <c r="AC1983" s="122" t="s">
        <v>1838</v>
      </c>
      <c r="AD1983" s="123">
        <f t="shared" si="207"/>
        <v>2.2311121729999996</v>
      </c>
    </row>
    <row r="1984" spans="1:30" ht="12.75" hidden="1" customHeight="1">
      <c r="A1984" s="125" t="str">
        <f t="shared" si="208"/>
        <v>LIC171Audit Fee</v>
      </c>
      <c r="B1984" s="125">
        <f>+IFERROR(VLOOKUP(L1984,'TB mapping'!A:D,4,0),0)</f>
        <v>0</v>
      </c>
      <c r="C1984" s="125">
        <f>+IFERROR(VLOOKUP(L1984,'TB mapping'!A:C,3,0),0)</f>
        <v>6.3</v>
      </c>
      <c r="D1984" s="125" t="str">
        <f t="shared" si="209"/>
        <v>LIC1710</v>
      </c>
      <c r="E1984" s="125" t="str">
        <f t="shared" si="210"/>
        <v>LIC1716.3</v>
      </c>
      <c r="F1984" s="158" t="str">
        <f>+VLOOKUP(H1984,'code mapping'!A:C,3,0)</f>
        <v>LIC171</v>
      </c>
      <c r="G1984" s="127" t="s">
        <v>453</v>
      </c>
      <c r="H1984" s="127" t="s">
        <v>750</v>
      </c>
      <c r="I1984" s="127" t="s">
        <v>751</v>
      </c>
      <c r="J1984" s="128">
        <v>550000</v>
      </c>
      <c r="K1984" s="127" t="s">
        <v>550</v>
      </c>
      <c r="L1984" s="151">
        <v>553105</v>
      </c>
      <c r="M1984" s="128">
        <v>0</v>
      </c>
      <c r="N1984" s="127" t="s">
        <v>552</v>
      </c>
      <c r="O1984" s="127" t="s">
        <v>457</v>
      </c>
      <c r="P1984" s="128">
        <v>-22544.47</v>
      </c>
      <c r="Q1984" s="128">
        <v>0</v>
      </c>
      <c r="R1984" s="128">
        <v>0</v>
      </c>
      <c r="S1984" s="128">
        <v>0</v>
      </c>
      <c r="T1984" s="128">
        <v>-22544.47</v>
      </c>
      <c r="U1984" s="128">
        <v>0</v>
      </c>
      <c r="V1984" s="128">
        <v>-22544.47</v>
      </c>
      <c r="W1984" s="128">
        <v>0</v>
      </c>
      <c r="X1984" s="128">
        <v>0</v>
      </c>
      <c r="Y1984" s="128">
        <v>0</v>
      </c>
      <c r="Z1984" s="128">
        <v>-22544.47</v>
      </c>
      <c r="AA1984" s="128">
        <v>0</v>
      </c>
      <c r="AB1984" s="126">
        <f t="shared" si="211"/>
        <v>2.2544470000000001E-3</v>
      </c>
      <c r="AC1984" s="122" t="s">
        <v>1838</v>
      </c>
      <c r="AD1984" s="123">
        <f t="shared" si="207"/>
        <v>2.2311121729999996</v>
      </c>
    </row>
    <row r="1985" spans="1:30" ht="12.75" hidden="1" customHeight="1">
      <c r="A1985" s="125" t="str">
        <f t="shared" si="208"/>
        <v>LIC171Custody Fee</v>
      </c>
      <c r="B1985" s="125">
        <f>+IFERROR(VLOOKUP(L1985,'TB mapping'!A:D,4,0),0)</f>
        <v>0</v>
      </c>
      <c r="C1985" s="125">
        <f>+IFERROR(VLOOKUP(L1985,'TB mapping'!A:C,3,0),0)</f>
        <v>6.3</v>
      </c>
      <c r="D1985" s="125" t="str">
        <f t="shared" si="209"/>
        <v>LIC1710</v>
      </c>
      <c r="E1985" s="125" t="str">
        <f t="shared" si="210"/>
        <v>LIC1716.3</v>
      </c>
      <c r="F1985" s="158" t="str">
        <f>+VLOOKUP(H1985,'code mapping'!A:C,3,0)</f>
        <v>LIC171</v>
      </c>
      <c r="G1985" s="127" t="s">
        <v>453</v>
      </c>
      <c r="H1985" s="127" t="s">
        <v>750</v>
      </c>
      <c r="I1985" s="127" t="s">
        <v>751</v>
      </c>
      <c r="J1985" s="128">
        <v>550000</v>
      </c>
      <c r="K1985" s="127" t="s">
        <v>550</v>
      </c>
      <c r="L1985" s="151">
        <v>553107</v>
      </c>
      <c r="M1985" s="128">
        <v>0</v>
      </c>
      <c r="N1985" s="127" t="s">
        <v>553</v>
      </c>
      <c r="O1985" s="127" t="s">
        <v>457</v>
      </c>
      <c r="P1985" s="128">
        <v>-104647.51</v>
      </c>
      <c r="Q1985" s="128">
        <v>0</v>
      </c>
      <c r="R1985" s="128">
        <v>0</v>
      </c>
      <c r="S1985" s="128">
        <v>0</v>
      </c>
      <c r="T1985" s="128">
        <v>-104647.51</v>
      </c>
      <c r="U1985" s="128">
        <v>0</v>
      </c>
      <c r="V1985" s="128">
        <v>-104647.51</v>
      </c>
      <c r="W1985" s="128">
        <v>0</v>
      </c>
      <c r="X1985" s="128">
        <v>0</v>
      </c>
      <c r="Y1985" s="128">
        <v>0</v>
      </c>
      <c r="Z1985" s="128">
        <v>-104647.51</v>
      </c>
      <c r="AA1985" s="128">
        <v>0</v>
      </c>
      <c r="AB1985" s="126">
        <f t="shared" si="211"/>
        <v>1.0464751E-2</v>
      </c>
      <c r="AC1985" s="122" t="s">
        <v>1838</v>
      </c>
      <c r="AD1985" s="123">
        <f t="shared" si="207"/>
        <v>2.2311121729999996</v>
      </c>
    </row>
    <row r="1986" spans="1:30" ht="12.75" hidden="1" customHeight="1">
      <c r="A1986" s="125" t="str">
        <f t="shared" si="208"/>
        <v>LIC171Expense Allocation Account</v>
      </c>
      <c r="B1986" s="125">
        <f>+IFERROR(VLOOKUP(L1986,'TB mapping'!A:D,4,0),0)</f>
        <v>0</v>
      </c>
      <c r="C1986" s="125">
        <f>+IFERROR(VLOOKUP(L1986,'TB mapping'!A:C,3,0),0)</f>
        <v>6.3</v>
      </c>
      <c r="D1986" s="125" t="str">
        <f t="shared" si="209"/>
        <v>LIC1710</v>
      </c>
      <c r="E1986" s="125" t="str">
        <f t="shared" si="210"/>
        <v>LIC1716.3</v>
      </c>
      <c r="F1986" s="158" t="str">
        <f>+VLOOKUP(H1986,'code mapping'!A:C,3,0)</f>
        <v>LIC171</v>
      </c>
      <c r="G1986" s="127" t="s">
        <v>453</v>
      </c>
      <c r="H1986" s="127" t="s">
        <v>750</v>
      </c>
      <c r="I1986" s="127" t="s">
        <v>751</v>
      </c>
      <c r="J1986" s="128">
        <v>550000</v>
      </c>
      <c r="K1986" s="127" t="s">
        <v>550</v>
      </c>
      <c r="L1986" s="151">
        <v>553111</v>
      </c>
      <c r="M1986" s="128">
        <v>0</v>
      </c>
      <c r="N1986" s="127" t="s">
        <v>554</v>
      </c>
      <c r="O1986" s="127" t="s">
        <v>457</v>
      </c>
      <c r="P1986" s="128">
        <v>0</v>
      </c>
      <c r="Q1986" s="128">
        <v>472862.09</v>
      </c>
      <c r="R1986" s="128">
        <v>0</v>
      </c>
      <c r="S1986" s="128">
        <v>0</v>
      </c>
      <c r="T1986" s="128">
        <v>0</v>
      </c>
      <c r="U1986" s="128">
        <v>472862.09</v>
      </c>
      <c r="V1986" s="128">
        <v>0</v>
      </c>
      <c r="W1986" s="128">
        <v>472862.09</v>
      </c>
      <c r="X1986" s="128">
        <v>0</v>
      </c>
      <c r="Y1986" s="128">
        <v>0</v>
      </c>
      <c r="Z1986" s="128">
        <v>0</v>
      </c>
      <c r="AA1986" s="128">
        <v>472862.09</v>
      </c>
      <c r="AB1986" s="126">
        <f t="shared" si="211"/>
        <v>-4.7286209000000003E-2</v>
      </c>
      <c r="AC1986" s="122" t="s">
        <v>1838</v>
      </c>
      <c r="AD1986" s="123">
        <f t="shared" si="207"/>
        <v>2.2311121729999996</v>
      </c>
    </row>
    <row r="1987" spans="1:30" ht="12.75" hidden="1" customHeight="1">
      <c r="A1987" s="125" t="str">
        <f t="shared" si="208"/>
        <v>LIC171Trustee Fee</v>
      </c>
      <c r="B1987" s="125">
        <f>+IFERROR(VLOOKUP(L1987,'TB mapping'!A:D,4,0),0)</f>
        <v>6.2</v>
      </c>
      <c r="C1987" s="125">
        <f>+IFERROR(VLOOKUP(L1987,'TB mapping'!A:C,3,0),0)</f>
        <v>6.3</v>
      </c>
      <c r="D1987" s="125" t="str">
        <f t="shared" si="209"/>
        <v>LIC1716.2</v>
      </c>
      <c r="E1987" s="125" t="str">
        <f t="shared" si="210"/>
        <v>LIC1716.3</v>
      </c>
      <c r="F1987" s="158" t="str">
        <f>+VLOOKUP(H1987,'code mapping'!A:C,3,0)</f>
        <v>LIC171</v>
      </c>
      <c r="G1987" s="127" t="s">
        <v>453</v>
      </c>
      <c r="H1987" s="127" t="s">
        <v>750</v>
      </c>
      <c r="I1987" s="127" t="s">
        <v>751</v>
      </c>
      <c r="J1987" s="128">
        <v>550000</v>
      </c>
      <c r="K1987" s="127" t="s">
        <v>550</v>
      </c>
      <c r="L1987" s="151">
        <v>553131</v>
      </c>
      <c r="M1987" s="128">
        <v>0</v>
      </c>
      <c r="N1987" s="127" t="s">
        <v>555</v>
      </c>
      <c r="O1987" s="127" t="s">
        <v>457</v>
      </c>
      <c r="P1987" s="128">
        <v>-7376.24</v>
      </c>
      <c r="Q1987" s="128">
        <v>0</v>
      </c>
      <c r="R1987" s="128">
        <v>0</v>
      </c>
      <c r="S1987" s="128">
        <v>0</v>
      </c>
      <c r="T1987" s="128">
        <v>-7376.24</v>
      </c>
      <c r="U1987" s="128">
        <v>0</v>
      </c>
      <c r="V1987" s="128">
        <v>-7376.24</v>
      </c>
      <c r="W1987" s="128">
        <v>0</v>
      </c>
      <c r="X1987" s="128">
        <v>0</v>
      </c>
      <c r="Y1987" s="128">
        <v>0</v>
      </c>
      <c r="Z1987" s="128">
        <v>-7376.24</v>
      </c>
      <c r="AA1987" s="128">
        <v>0</v>
      </c>
      <c r="AB1987" s="126">
        <f t="shared" si="211"/>
        <v>7.3762399999999998E-4</v>
      </c>
      <c r="AC1987" s="122" t="s">
        <v>1838</v>
      </c>
      <c r="AD1987" s="123">
        <f t="shared" si="207"/>
        <v>2.2311121729999996</v>
      </c>
    </row>
    <row r="1988" spans="1:30" ht="12.75" hidden="1" customHeight="1">
      <c r="A1988" s="125" t="str">
        <f t="shared" si="208"/>
        <v>LIC171Bank Charges</v>
      </c>
      <c r="B1988" s="125">
        <f>+IFERROR(VLOOKUP(L1988,'TB mapping'!A:D,4,0),0)</f>
        <v>0</v>
      </c>
      <c r="C1988" s="125">
        <f>+IFERROR(VLOOKUP(L1988,'TB mapping'!A:C,3,0),0)</f>
        <v>6.3</v>
      </c>
      <c r="D1988" s="125" t="str">
        <f t="shared" si="209"/>
        <v>LIC1710</v>
      </c>
      <c r="E1988" s="125" t="str">
        <f t="shared" si="210"/>
        <v>LIC1716.3</v>
      </c>
      <c r="F1988" s="158" t="str">
        <f>+VLOOKUP(H1988,'code mapping'!A:C,3,0)</f>
        <v>LIC171</v>
      </c>
      <c r="G1988" s="127" t="s">
        <v>453</v>
      </c>
      <c r="H1988" s="127" t="s">
        <v>750</v>
      </c>
      <c r="I1988" s="127" t="s">
        <v>751</v>
      </c>
      <c r="J1988" s="128">
        <v>550000</v>
      </c>
      <c r="K1988" s="127" t="s">
        <v>550</v>
      </c>
      <c r="L1988" s="151">
        <v>553141</v>
      </c>
      <c r="M1988" s="128">
        <v>0</v>
      </c>
      <c r="N1988" s="127" t="s">
        <v>556</v>
      </c>
      <c r="O1988" s="127" t="s">
        <v>457</v>
      </c>
      <c r="P1988" s="128">
        <v>-66747.180000000008</v>
      </c>
      <c r="Q1988" s="128">
        <v>0</v>
      </c>
      <c r="R1988" s="128">
        <v>0</v>
      </c>
      <c r="S1988" s="128">
        <v>0</v>
      </c>
      <c r="T1988" s="128">
        <v>-66747.180000000008</v>
      </c>
      <c r="U1988" s="128">
        <v>0</v>
      </c>
      <c r="V1988" s="128">
        <v>-66747.180000000008</v>
      </c>
      <c r="W1988" s="128">
        <v>0</v>
      </c>
      <c r="X1988" s="128">
        <v>0</v>
      </c>
      <c r="Y1988" s="128">
        <v>0</v>
      </c>
      <c r="Z1988" s="128">
        <v>-66747.180000000008</v>
      </c>
      <c r="AA1988" s="128">
        <v>0</v>
      </c>
      <c r="AB1988" s="126">
        <f t="shared" si="211"/>
        <v>6.6747180000000005E-3</v>
      </c>
      <c r="AC1988" s="122" t="s">
        <v>1838</v>
      </c>
      <c r="AD1988" s="123">
        <f t="shared" si="207"/>
        <v>2.2311121729999996</v>
      </c>
    </row>
    <row r="1989" spans="1:30" ht="12.75" hidden="1" customHeight="1">
      <c r="A1989" s="125" t="str">
        <f t="shared" si="208"/>
        <v>LIC171Marketing Fees</v>
      </c>
      <c r="B1989" s="125">
        <f>+IFERROR(VLOOKUP(L1989,'TB mapping'!A:D,4,0),0)</f>
        <v>0</v>
      </c>
      <c r="C1989" s="125">
        <f>+IFERROR(VLOOKUP(L1989,'TB mapping'!A:C,3,0),0)</f>
        <v>6.3</v>
      </c>
      <c r="D1989" s="125" t="str">
        <f t="shared" si="209"/>
        <v>LIC1710</v>
      </c>
      <c r="E1989" s="125" t="str">
        <f t="shared" si="210"/>
        <v>LIC1716.3</v>
      </c>
      <c r="F1989" s="158" t="str">
        <f>+VLOOKUP(H1989,'code mapping'!A:C,3,0)</f>
        <v>LIC171</v>
      </c>
      <c r="G1989" s="127" t="s">
        <v>453</v>
      </c>
      <c r="H1989" s="127" t="s">
        <v>750</v>
      </c>
      <c r="I1989" s="127" t="s">
        <v>751</v>
      </c>
      <c r="J1989" s="128">
        <v>550000</v>
      </c>
      <c r="K1989" s="127" t="s">
        <v>550</v>
      </c>
      <c r="L1989" s="151">
        <v>553147</v>
      </c>
      <c r="M1989" s="128">
        <v>0</v>
      </c>
      <c r="N1989" s="127" t="s">
        <v>712</v>
      </c>
      <c r="O1989" s="127" t="s">
        <v>457</v>
      </c>
      <c r="P1989" s="128">
        <v>-7037.46</v>
      </c>
      <c r="Q1989" s="128">
        <v>0</v>
      </c>
      <c r="R1989" s="128">
        <v>0</v>
      </c>
      <c r="S1989" s="128">
        <v>0</v>
      </c>
      <c r="T1989" s="128">
        <v>-7037.46</v>
      </c>
      <c r="U1989" s="128">
        <v>0</v>
      </c>
      <c r="V1989" s="128">
        <v>-7037.46</v>
      </c>
      <c r="W1989" s="128">
        <v>0</v>
      </c>
      <c r="X1989" s="128">
        <v>0</v>
      </c>
      <c r="Y1989" s="128">
        <v>0</v>
      </c>
      <c r="Z1989" s="128">
        <v>-7037.46</v>
      </c>
      <c r="AA1989" s="128">
        <v>0</v>
      </c>
      <c r="AB1989" s="126">
        <f t="shared" si="211"/>
        <v>7.0374599999999999E-4</v>
      </c>
      <c r="AC1989" s="122" t="s">
        <v>1838</v>
      </c>
      <c r="AD1989" s="123">
        <f t="shared" si="207"/>
        <v>2.2311121729999996</v>
      </c>
    </row>
    <row r="1990" spans="1:30" ht="12.75" hidden="1" customHeight="1">
      <c r="A1990" s="125" t="str">
        <f t="shared" si="208"/>
        <v>LIC171Investor Education Fund Exps</v>
      </c>
      <c r="B1990" s="125">
        <f>+IFERROR(VLOOKUP(L1990,'TB mapping'!A:D,4,0),0)</f>
        <v>0</v>
      </c>
      <c r="C1990" s="125">
        <f>+IFERROR(VLOOKUP(L1990,'TB mapping'!A:C,3,0),0)</f>
        <v>6.3</v>
      </c>
      <c r="D1990" s="125" t="str">
        <f t="shared" si="209"/>
        <v>LIC1710</v>
      </c>
      <c r="E1990" s="125" t="str">
        <f t="shared" si="210"/>
        <v>LIC1716.3</v>
      </c>
      <c r="F1990" s="158" t="str">
        <f>+VLOOKUP(H1990,'code mapping'!A:C,3,0)</f>
        <v>LIC171</v>
      </c>
      <c r="G1990" s="127" t="s">
        <v>453</v>
      </c>
      <c r="H1990" s="127" t="s">
        <v>750</v>
      </c>
      <c r="I1990" s="127" t="s">
        <v>751</v>
      </c>
      <c r="J1990" s="128">
        <v>550000</v>
      </c>
      <c r="K1990" s="127" t="s">
        <v>550</v>
      </c>
      <c r="L1990" s="151">
        <v>553171</v>
      </c>
      <c r="M1990" s="128">
        <v>0</v>
      </c>
      <c r="N1990" s="127" t="s">
        <v>557</v>
      </c>
      <c r="O1990" s="127" t="s">
        <v>457</v>
      </c>
      <c r="P1990" s="128">
        <v>-75648.23</v>
      </c>
      <c r="Q1990" s="128">
        <v>0</v>
      </c>
      <c r="R1990" s="128">
        <v>0</v>
      </c>
      <c r="S1990" s="128">
        <v>0</v>
      </c>
      <c r="T1990" s="128">
        <v>-75648.23</v>
      </c>
      <c r="U1990" s="128">
        <v>0</v>
      </c>
      <c r="V1990" s="128">
        <v>-75648.23</v>
      </c>
      <c r="W1990" s="128">
        <v>0</v>
      </c>
      <c r="X1990" s="128">
        <v>0</v>
      </c>
      <c r="Y1990" s="128">
        <v>0</v>
      </c>
      <c r="Z1990" s="128">
        <v>-75648.23</v>
      </c>
      <c r="AA1990" s="128">
        <v>0</v>
      </c>
      <c r="AB1990" s="126">
        <f t="shared" si="211"/>
        <v>7.5648229999999992E-3</v>
      </c>
      <c r="AC1990" s="122" t="s">
        <v>1838</v>
      </c>
      <c r="AD1990" s="123">
        <f t="shared" si="207"/>
        <v>2.2311121729999996</v>
      </c>
    </row>
    <row r="1991" spans="1:30" ht="12.75" hidden="1" customHeight="1">
      <c r="A1991" s="125" t="str">
        <f t="shared" si="208"/>
        <v>LIC171Service Tax on Management Fees</v>
      </c>
      <c r="B1991" s="125">
        <f>+IFERROR(VLOOKUP(L1991,'TB mapping'!A:D,4,0),0)</f>
        <v>6.1</v>
      </c>
      <c r="C1991" s="125">
        <f>+IFERROR(VLOOKUP(L1991,'TB mapping'!A:C,3,0),0)</f>
        <v>6.3</v>
      </c>
      <c r="D1991" s="125" t="str">
        <f t="shared" si="209"/>
        <v>LIC1716.1</v>
      </c>
      <c r="E1991" s="125" t="str">
        <f t="shared" si="210"/>
        <v>LIC1716.3</v>
      </c>
      <c r="F1991" s="158" t="str">
        <f>+VLOOKUP(H1991,'code mapping'!A:C,3,0)</f>
        <v>LIC171</v>
      </c>
      <c r="G1991" s="127" t="s">
        <v>453</v>
      </c>
      <c r="H1991" s="127" t="s">
        <v>750</v>
      </c>
      <c r="I1991" s="127" t="s">
        <v>751</v>
      </c>
      <c r="J1991" s="128">
        <v>550000</v>
      </c>
      <c r="K1991" s="127" t="s">
        <v>550</v>
      </c>
      <c r="L1991" s="151">
        <v>553172</v>
      </c>
      <c r="M1991" s="128">
        <v>0</v>
      </c>
      <c r="N1991" s="127" t="s">
        <v>558</v>
      </c>
      <c r="O1991" s="127" t="s">
        <v>457</v>
      </c>
      <c r="P1991" s="128">
        <v>-282656.56</v>
      </c>
      <c r="Q1991" s="128">
        <v>0</v>
      </c>
      <c r="R1991" s="128">
        <v>0</v>
      </c>
      <c r="S1991" s="128">
        <v>0</v>
      </c>
      <c r="T1991" s="128">
        <v>-282656.56</v>
      </c>
      <c r="U1991" s="128">
        <v>0</v>
      </c>
      <c r="V1991" s="128">
        <v>-282656.56</v>
      </c>
      <c r="W1991" s="128">
        <v>0</v>
      </c>
      <c r="X1991" s="128">
        <v>0</v>
      </c>
      <c r="Y1991" s="128">
        <v>0</v>
      </c>
      <c r="Z1991" s="128">
        <v>-282656.56</v>
      </c>
      <c r="AA1991" s="128">
        <v>0</v>
      </c>
      <c r="AB1991" s="126">
        <f t="shared" si="211"/>
        <v>2.8265656E-2</v>
      </c>
      <c r="AC1991" s="122" t="s">
        <v>1838</v>
      </c>
      <c r="AD1991" s="123">
        <f t="shared" si="207"/>
        <v>2.2311121729999996</v>
      </c>
    </row>
    <row r="1992" spans="1:30" ht="12.75" hidden="1" customHeight="1">
      <c r="A1992" s="125" t="str">
        <f t="shared" si="208"/>
        <v>LIC171CCIL Expenses</v>
      </c>
      <c r="B1992" s="125">
        <f>+IFERROR(VLOOKUP(L1992,'TB mapping'!A:D,4,0),0)</f>
        <v>0</v>
      </c>
      <c r="C1992" s="125">
        <f>+IFERROR(VLOOKUP(L1992,'TB mapping'!A:C,3,0),0)</f>
        <v>6.3</v>
      </c>
      <c r="D1992" s="125" t="str">
        <f t="shared" si="209"/>
        <v>LIC1710</v>
      </c>
      <c r="E1992" s="125" t="str">
        <f t="shared" si="210"/>
        <v>LIC1716.3</v>
      </c>
      <c r="F1992" s="158" t="str">
        <f>+VLOOKUP(H1992,'code mapping'!A:C,3,0)</f>
        <v>LIC171</v>
      </c>
      <c r="G1992" s="127" t="s">
        <v>453</v>
      </c>
      <c r="H1992" s="127" t="s">
        <v>750</v>
      </c>
      <c r="I1992" s="127" t="s">
        <v>751</v>
      </c>
      <c r="J1992" s="128">
        <v>550000</v>
      </c>
      <c r="K1992" s="127" t="s">
        <v>550</v>
      </c>
      <c r="L1992" s="151">
        <v>553176</v>
      </c>
      <c r="M1992" s="128">
        <v>0</v>
      </c>
      <c r="N1992" s="127" t="s">
        <v>559</v>
      </c>
      <c r="O1992" s="127" t="s">
        <v>457</v>
      </c>
      <c r="P1992" s="128">
        <v>-17852.11</v>
      </c>
      <c r="Q1992" s="128">
        <v>0</v>
      </c>
      <c r="R1992" s="128">
        <v>0</v>
      </c>
      <c r="S1992" s="128">
        <v>0</v>
      </c>
      <c r="T1992" s="128">
        <v>-17852.11</v>
      </c>
      <c r="U1992" s="128">
        <v>0</v>
      </c>
      <c r="V1992" s="128">
        <v>-17852.11</v>
      </c>
      <c r="W1992" s="128">
        <v>0</v>
      </c>
      <c r="X1992" s="128">
        <v>0</v>
      </c>
      <c r="Y1992" s="128">
        <v>0</v>
      </c>
      <c r="Z1992" s="128">
        <v>-17852.11</v>
      </c>
      <c r="AA1992" s="128">
        <v>0</v>
      </c>
      <c r="AB1992" s="126">
        <f t="shared" si="211"/>
        <v>1.7852110000000001E-3</v>
      </c>
      <c r="AC1992" s="122" t="s">
        <v>1838</v>
      </c>
      <c r="AD1992" s="123">
        <f t="shared" si="207"/>
        <v>2.2311121729999996</v>
      </c>
    </row>
    <row r="1993" spans="1:30" ht="12.75" hidden="1" customHeight="1">
      <c r="A1993" s="125" t="str">
        <f t="shared" si="208"/>
        <v>LIC171Out of Pocket Expenses - R&amp;T</v>
      </c>
      <c r="B1993" s="125">
        <f>+IFERROR(VLOOKUP(L1993,'TB mapping'!A:D,4,0),0)</f>
        <v>0</v>
      </c>
      <c r="C1993" s="125">
        <f>+IFERROR(VLOOKUP(L1993,'TB mapping'!A:C,3,0),0)</f>
        <v>6.3</v>
      </c>
      <c r="D1993" s="125" t="str">
        <f t="shared" si="209"/>
        <v>LIC1710</v>
      </c>
      <c r="E1993" s="125" t="str">
        <f t="shared" si="210"/>
        <v>LIC1716.3</v>
      </c>
      <c r="F1993" s="158" t="str">
        <f>+VLOOKUP(H1993,'code mapping'!A:C,3,0)</f>
        <v>LIC171</v>
      </c>
      <c r="G1993" s="127" t="s">
        <v>453</v>
      </c>
      <c r="H1993" s="127" t="s">
        <v>750</v>
      </c>
      <c r="I1993" s="127" t="s">
        <v>751</v>
      </c>
      <c r="J1993" s="128">
        <v>550000</v>
      </c>
      <c r="K1993" s="127" t="s">
        <v>550</v>
      </c>
      <c r="L1993" s="151">
        <v>553180</v>
      </c>
      <c r="M1993" s="128">
        <v>0</v>
      </c>
      <c r="N1993" s="127" t="s">
        <v>560</v>
      </c>
      <c r="O1993" s="127" t="s">
        <v>457</v>
      </c>
      <c r="P1993" s="128">
        <v>-85625.08</v>
      </c>
      <c r="Q1993" s="128">
        <v>0</v>
      </c>
      <c r="R1993" s="128">
        <v>0</v>
      </c>
      <c r="S1993" s="128">
        <v>0</v>
      </c>
      <c r="T1993" s="128">
        <v>-85625.08</v>
      </c>
      <c r="U1993" s="128">
        <v>0</v>
      </c>
      <c r="V1993" s="128">
        <v>-85625.08</v>
      </c>
      <c r="W1993" s="128">
        <v>0</v>
      </c>
      <c r="X1993" s="128">
        <v>0</v>
      </c>
      <c r="Y1993" s="128">
        <v>0</v>
      </c>
      <c r="Z1993" s="128">
        <v>-85625.08</v>
      </c>
      <c r="AA1993" s="128">
        <v>0</v>
      </c>
      <c r="AB1993" s="126">
        <f t="shared" si="211"/>
        <v>8.5625079999999999E-3</v>
      </c>
      <c r="AC1993" s="122" t="s">
        <v>1838</v>
      </c>
      <c r="AD1993" s="123">
        <f t="shared" si="207"/>
        <v>2.2311121729999996</v>
      </c>
    </row>
    <row r="1994" spans="1:30" ht="12.75" hidden="1" customHeight="1">
      <c r="A1994" s="125" t="str">
        <f t="shared" si="208"/>
        <v>LIC171Other Expenses</v>
      </c>
      <c r="B1994" s="125">
        <f>+IFERROR(VLOOKUP(L1994,'TB mapping'!A:D,4,0),0)</f>
        <v>0</v>
      </c>
      <c r="C1994" s="125">
        <f>+IFERROR(VLOOKUP(L1994,'TB mapping'!A:C,3,0),0)</f>
        <v>6.3</v>
      </c>
      <c r="D1994" s="125" t="str">
        <f t="shared" si="209"/>
        <v>LIC1710</v>
      </c>
      <c r="E1994" s="125" t="str">
        <f t="shared" si="210"/>
        <v>LIC1716.3</v>
      </c>
      <c r="F1994" s="158" t="str">
        <f>+VLOOKUP(H1994,'code mapping'!A:C,3,0)</f>
        <v>LIC171</v>
      </c>
      <c r="G1994" s="127" t="s">
        <v>453</v>
      </c>
      <c r="H1994" s="127" t="s">
        <v>750</v>
      </c>
      <c r="I1994" s="127" t="s">
        <v>751</v>
      </c>
      <c r="J1994" s="128">
        <v>550000</v>
      </c>
      <c r="K1994" s="127" t="s">
        <v>550</v>
      </c>
      <c r="L1994" s="151">
        <v>553190</v>
      </c>
      <c r="M1994" s="128">
        <v>0</v>
      </c>
      <c r="N1994" s="127" t="s">
        <v>561</v>
      </c>
      <c r="O1994" s="127" t="s">
        <v>457</v>
      </c>
      <c r="P1994" s="128">
        <v>0</v>
      </c>
      <c r="Q1994" s="128">
        <v>55625.5</v>
      </c>
      <c r="R1994" s="128">
        <v>0</v>
      </c>
      <c r="S1994" s="128">
        <v>0</v>
      </c>
      <c r="T1994" s="128">
        <v>0</v>
      </c>
      <c r="U1994" s="128">
        <v>55625.5</v>
      </c>
      <c r="V1994" s="128">
        <v>0</v>
      </c>
      <c r="W1994" s="128">
        <v>55625.5</v>
      </c>
      <c r="X1994" s="128">
        <v>0</v>
      </c>
      <c r="Y1994" s="128">
        <v>0</v>
      </c>
      <c r="Z1994" s="128">
        <v>0</v>
      </c>
      <c r="AA1994" s="128">
        <v>55625.5</v>
      </c>
      <c r="AB1994" s="126">
        <f t="shared" si="211"/>
        <v>-5.5625500000000003E-3</v>
      </c>
      <c r="AC1994" s="122" t="s">
        <v>1838</v>
      </c>
      <c r="AD1994" s="123">
        <f t="shared" si="207"/>
        <v>2.2311121729999996</v>
      </c>
    </row>
    <row r="1995" spans="1:30" ht="12.75" hidden="1" customHeight="1">
      <c r="A1995" s="125" t="str">
        <f t="shared" si="208"/>
        <v>LIC171Other Expenses-RG</v>
      </c>
      <c r="B1995" s="125">
        <f>+IFERROR(VLOOKUP(L1995,'TB mapping'!A:D,4,0),0)</f>
        <v>0</v>
      </c>
      <c r="C1995" s="125">
        <f>+IFERROR(VLOOKUP(L1995,'TB mapping'!A:C,3,0),0)</f>
        <v>6.3</v>
      </c>
      <c r="D1995" s="125" t="str">
        <f t="shared" si="209"/>
        <v>LIC1710</v>
      </c>
      <c r="E1995" s="125" t="str">
        <f t="shared" si="210"/>
        <v>LIC1716.3</v>
      </c>
      <c r="F1995" s="158" t="str">
        <f>+VLOOKUP(H1995,'code mapping'!A:C,3,0)</f>
        <v>LIC171</v>
      </c>
      <c r="G1995" s="127" t="s">
        <v>453</v>
      </c>
      <c r="H1995" s="127" t="s">
        <v>750</v>
      </c>
      <c r="I1995" s="127" t="s">
        <v>751</v>
      </c>
      <c r="J1995" s="128">
        <v>550000</v>
      </c>
      <c r="K1995" s="127" t="s">
        <v>550</v>
      </c>
      <c r="L1995" s="151">
        <v>553191</v>
      </c>
      <c r="M1995" s="128">
        <v>0</v>
      </c>
      <c r="N1995" s="127" t="s">
        <v>562</v>
      </c>
      <c r="O1995" s="127" t="s">
        <v>457</v>
      </c>
      <c r="P1995" s="128">
        <v>-612667.62</v>
      </c>
      <c r="Q1995" s="128">
        <v>0</v>
      </c>
      <c r="R1995" s="128">
        <v>0</v>
      </c>
      <c r="S1995" s="128">
        <v>0</v>
      </c>
      <c r="T1995" s="128">
        <v>-612667.62</v>
      </c>
      <c r="U1995" s="128">
        <v>0</v>
      </c>
      <c r="V1995" s="128">
        <v>-612667.62</v>
      </c>
      <c r="W1995" s="128">
        <v>0</v>
      </c>
      <c r="X1995" s="128">
        <v>0</v>
      </c>
      <c r="Y1995" s="128">
        <v>0</v>
      </c>
      <c r="Z1995" s="128">
        <v>-612667.62</v>
      </c>
      <c r="AA1995" s="128">
        <v>0</v>
      </c>
      <c r="AB1995" s="126">
        <f t="shared" si="211"/>
        <v>6.1266762000000002E-2</v>
      </c>
      <c r="AC1995" s="122" t="s">
        <v>1838</v>
      </c>
      <c r="AD1995" s="123">
        <f t="shared" si="207"/>
        <v>2.2311121729999996</v>
      </c>
    </row>
    <row r="1996" spans="1:30" ht="12.75" hidden="1" customHeight="1">
      <c r="A1996" s="125" t="str">
        <f t="shared" si="208"/>
        <v>LIC171Other Expenses-RD</v>
      </c>
      <c r="B1996" s="125">
        <f>+IFERROR(VLOOKUP(L1996,'TB mapping'!A:D,4,0),0)</f>
        <v>0</v>
      </c>
      <c r="C1996" s="125">
        <f>+IFERROR(VLOOKUP(L1996,'TB mapping'!A:C,3,0),0)</f>
        <v>6.3</v>
      </c>
      <c r="D1996" s="125" t="str">
        <f t="shared" si="209"/>
        <v>LIC1710</v>
      </c>
      <c r="E1996" s="125" t="str">
        <f t="shared" si="210"/>
        <v>LIC1716.3</v>
      </c>
      <c r="F1996" s="158" t="str">
        <f>+VLOOKUP(H1996,'code mapping'!A:C,3,0)</f>
        <v>LIC171</v>
      </c>
      <c r="G1996" s="127" t="s">
        <v>453</v>
      </c>
      <c r="H1996" s="127" t="s">
        <v>750</v>
      </c>
      <c r="I1996" s="127" t="s">
        <v>751</v>
      </c>
      <c r="J1996" s="128">
        <v>550000</v>
      </c>
      <c r="K1996" s="127" t="s">
        <v>550</v>
      </c>
      <c r="L1996" s="151">
        <v>553192</v>
      </c>
      <c r="M1996" s="128">
        <v>0</v>
      </c>
      <c r="N1996" s="127" t="s">
        <v>563</v>
      </c>
      <c r="O1996" s="127" t="s">
        <v>457</v>
      </c>
      <c r="P1996" s="128">
        <v>-129731.02</v>
      </c>
      <c r="Q1996" s="128">
        <v>0</v>
      </c>
      <c r="R1996" s="128">
        <v>0</v>
      </c>
      <c r="S1996" s="128">
        <v>0</v>
      </c>
      <c r="T1996" s="128">
        <v>-129731.02</v>
      </c>
      <c r="U1996" s="128">
        <v>0</v>
      </c>
      <c r="V1996" s="128">
        <v>-129731.02</v>
      </c>
      <c r="W1996" s="128">
        <v>0</v>
      </c>
      <c r="X1996" s="128">
        <v>0</v>
      </c>
      <c r="Y1996" s="128">
        <v>0</v>
      </c>
      <c r="Z1996" s="128">
        <v>-129731.02</v>
      </c>
      <c r="AA1996" s="128">
        <v>0</v>
      </c>
      <c r="AB1996" s="126">
        <f t="shared" si="211"/>
        <v>1.2973102E-2</v>
      </c>
      <c r="AC1996" s="122" t="s">
        <v>1838</v>
      </c>
      <c r="AD1996" s="123">
        <f t="shared" si="207"/>
        <v>2.2311121729999996</v>
      </c>
    </row>
    <row r="1997" spans="1:30" ht="12.75" hidden="1" customHeight="1">
      <c r="A1997" s="125" t="str">
        <f t="shared" si="208"/>
        <v>LIC171Other Exp - Brok - Indirect</v>
      </c>
      <c r="B1997" s="125">
        <f>+IFERROR(VLOOKUP(L1997,'TB mapping'!A:D,4,0),0)</f>
        <v>0</v>
      </c>
      <c r="C1997" s="125">
        <f>+IFERROR(VLOOKUP(L1997,'TB mapping'!A:C,3,0),0)</f>
        <v>6.3</v>
      </c>
      <c r="D1997" s="125" t="str">
        <f t="shared" si="209"/>
        <v>LIC1710</v>
      </c>
      <c r="E1997" s="125" t="str">
        <f t="shared" si="210"/>
        <v>LIC1716.3</v>
      </c>
      <c r="F1997" s="158" t="str">
        <f>+VLOOKUP(H1997,'code mapping'!A:C,3,0)</f>
        <v>LIC171</v>
      </c>
      <c r="G1997" s="127" t="s">
        <v>453</v>
      </c>
      <c r="H1997" s="127" t="s">
        <v>750</v>
      </c>
      <c r="I1997" s="127" t="s">
        <v>751</v>
      </c>
      <c r="J1997" s="128">
        <v>550000</v>
      </c>
      <c r="K1997" s="127" t="s">
        <v>550</v>
      </c>
      <c r="L1997" s="151">
        <v>553202</v>
      </c>
      <c r="M1997" s="128">
        <v>0</v>
      </c>
      <c r="N1997" s="127" t="s">
        <v>564</v>
      </c>
      <c r="O1997" s="127" t="s">
        <v>457</v>
      </c>
      <c r="P1997" s="128">
        <v>-5230731.18</v>
      </c>
      <c r="Q1997" s="128">
        <v>0</v>
      </c>
      <c r="R1997" s="128">
        <v>0</v>
      </c>
      <c r="S1997" s="128">
        <v>0</v>
      </c>
      <c r="T1997" s="128">
        <v>-5230731.18</v>
      </c>
      <c r="U1997" s="128">
        <v>0</v>
      </c>
      <c r="V1997" s="128">
        <v>-5230731.18</v>
      </c>
      <c r="W1997" s="128">
        <v>0</v>
      </c>
      <c r="X1997" s="128">
        <v>0</v>
      </c>
      <c r="Y1997" s="128">
        <v>0</v>
      </c>
      <c r="Z1997" s="128">
        <v>-5230731.18</v>
      </c>
      <c r="AA1997" s="128">
        <v>0</v>
      </c>
      <c r="AB1997" s="126">
        <f t="shared" si="211"/>
        <v>0.523073118</v>
      </c>
      <c r="AC1997" s="122" t="s">
        <v>1838</v>
      </c>
      <c r="AD1997" s="123">
        <f t="shared" si="207"/>
        <v>2.2311121729999996</v>
      </c>
    </row>
    <row r="1998" spans="1:30" ht="12.75" hidden="1" customHeight="1">
      <c r="A1998" s="125" t="str">
        <f t="shared" si="208"/>
        <v>LIC171Brokerage/Dist Exps</v>
      </c>
      <c r="B1998" s="125">
        <f>+IFERROR(VLOOKUP(L1998,'TB mapping'!A:D,4,0),0)</f>
        <v>0</v>
      </c>
      <c r="C1998" s="125">
        <f>+IFERROR(VLOOKUP(L1998,'TB mapping'!A:C,3,0),0)</f>
        <v>6.3</v>
      </c>
      <c r="D1998" s="125" t="str">
        <f t="shared" si="209"/>
        <v>LIC1710</v>
      </c>
      <c r="E1998" s="125" t="str">
        <f t="shared" si="210"/>
        <v>LIC1716.3</v>
      </c>
      <c r="F1998" s="158" t="str">
        <f>+VLOOKUP(H1998,'code mapping'!A:C,3,0)</f>
        <v>LIC171</v>
      </c>
      <c r="G1998" s="127" t="s">
        <v>453</v>
      </c>
      <c r="H1998" s="127" t="s">
        <v>750</v>
      </c>
      <c r="I1998" s="127" t="s">
        <v>751</v>
      </c>
      <c r="J1998" s="128">
        <v>550000</v>
      </c>
      <c r="K1998" s="127" t="s">
        <v>550</v>
      </c>
      <c r="L1998" s="151">
        <v>553208</v>
      </c>
      <c r="M1998" s="128">
        <v>0</v>
      </c>
      <c r="N1998" s="127" t="s">
        <v>565</v>
      </c>
      <c r="O1998" s="127" t="s">
        <v>457</v>
      </c>
      <c r="P1998" s="128">
        <v>0</v>
      </c>
      <c r="Q1998" s="128">
        <v>2037777.47</v>
      </c>
      <c r="R1998" s="128">
        <v>0</v>
      </c>
      <c r="S1998" s="128">
        <v>0</v>
      </c>
      <c r="T1998" s="128">
        <v>0</v>
      </c>
      <c r="U1998" s="128">
        <v>2037777.47</v>
      </c>
      <c r="V1998" s="128">
        <v>0</v>
      </c>
      <c r="W1998" s="128">
        <v>2037777.47</v>
      </c>
      <c r="X1998" s="128">
        <v>0</v>
      </c>
      <c r="Y1998" s="128">
        <v>0</v>
      </c>
      <c r="Z1998" s="128">
        <v>0</v>
      </c>
      <c r="AA1998" s="128">
        <v>2037777.47</v>
      </c>
      <c r="AB1998" s="126">
        <f t="shared" si="211"/>
        <v>-0.20377774700000001</v>
      </c>
      <c r="AC1998" s="122" t="s">
        <v>1838</v>
      </c>
      <c r="AD1998" s="123">
        <f t="shared" si="207"/>
        <v>2.2311121729999996</v>
      </c>
    </row>
    <row r="1999" spans="1:30" ht="12.75" hidden="1" customHeight="1">
      <c r="A1999" s="125" t="str">
        <f t="shared" si="208"/>
        <v>LIC171Internal Audit Fee</v>
      </c>
      <c r="B1999" s="125">
        <f>+IFERROR(VLOOKUP(L1999,'TB mapping'!A:D,4,0),0)</f>
        <v>0</v>
      </c>
      <c r="C1999" s="125">
        <f>+IFERROR(VLOOKUP(L1999,'TB mapping'!A:C,3,0),0)</f>
        <v>6.3</v>
      </c>
      <c r="D1999" s="125" t="str">
        <f t="shared" si="209"/>
        <v>LIC1710</v>
      </c>
      <c r="E1999" s="125" t="str">
        <f t="shared" si="210"/>
        <v>LIC1716.3</v>
      </c>
      <c r="F1999" s="158" t="str">
        <f>+VLOOKUP(H1999,'code mapping'!A:C,3,0)</f>
        <v>LIC171</v>
      </c>
      <c r="G1999" s="127" t="s">
        <v>453</v>
      </c>
      <c r="H1999" s="127" t="s">
        <v>750</v>
      </c>
      <c r="I1999" s="127" t="s">
        <v>751</v>
      </c>
      <c r="J1999" s="128">
        <v>550000</v>
      </c>
      <c r="K1999" s="127" t="s">
        <v>550</v>
      </c>
      <c r="L1999" s="151">
        <v>553213</v>
      </c>
      <c r="M1999" s="128">
        <v>0</v>
      </c>
      <c r="N1999" s="127" t="s">
        <v>566</v>
      </c>
      <c r="O1999" s="127" t="s">
        <v>457</v>
      </c>
      <c r="P1999" s="128">
        <v>-15887.12</v>
      </c>
      <c r="Q1999" s="128">
        <v>0</v>
      </c>
      <c r="R1999" s="128">
        <v>0</v>
      </c>
      <c r="S1999" s="128">
        <v>0</v>
      </c>
      <c r="T1999" s="128">
        <v>-15887.12</v>
      </c>
      <c r="U1999" s="128">
        <v>0</v>
      </c>
      <c r="V1999" s="128">
        <v>-15887.12</v>
      </c>
      <c r="W1999" s="128">
        <v>0</v>
      </c>
      <c r="X1999" s="128">
        <v>0</v>
      </c>
      <c r="Y1999" s="128">
        <v>0</v>
      </c>
      <c r="Z1999" s="128">
        <v>-15887.12</v>
      </c>
      <c r="AA1999" s="128">
        <v>0</v>
      </c>
      <c r="AB1999" s="126">
        <f t="shared" si="211"/>
        <v>1.5887120000000002E-3</v>
      </c>
      <c r="AC1999" s="122" t="s">
        <v>1838</v>
      </c>
      <c r="AD1999" s="123">
        <f t="shared" si="207"/>
        <v>2.2311121729999996</v>
      </c>
    </row>
    <row r="2000" spans="1:30" ht="12.75" hidden="1" customHeight="1">
      <c r="A2000" s="125" t="str">
        <f t="shared" si="208"/>
        <v>LIC171Other Expenses-GDP</v>
      </c>
      <c r="B2000" s="125">
        <f>+IFERROR(VLOOKUP(L2000,'TB mapping'!A:D,4,0),0)</f>
        <v>0</v>
      </c>
      <c r="C2000" s="125">
        <f>+IFERROR(VLOOKUP(L2000,'TB mapping'!A:C,3,0),0)</f>
        <v>6.3</v>
      </c>
      <c r="D2000" s="125" t="str">
        <f t="shared" si="209"/>
        <v>LIC1710</v>
      </c>
      <c r="E2000" s="125" t="str">
        <f t="shared" si="210"/>
        <v>LIC1716.3</v>
      </c>
      <c r="F2000" s="158" t="str">
        <f>+VLOOKUP(H2000,'code mapping'!A:C,3,0)</f>
        <v>LIC171</v>
      </c>
      <c r="G2000" s="127" t="s">
        <v>453</v>
      </c>
      <c r="H2000" s="127" t="s">
        <v>750</v>
      </c>
      <c r="I2000" s="127" t="s">
        <v>751</v>
      </c>
      <c r="J2000" s="128">
        <v>550000</v>
      </c>
      <c r="K2000" s="127" t="s">
        <v>550</v>
      </c>
      <c r="L2000" s="151">
        <v>553329</v>
      </c>
      <c r="M2000" s="128">
        <v>0</v>
      </c>
      <c r="N2000" s="127" t="s">
        <v>567</v>
      </c>
      <c r="O2000" s="127" t="s">
        <v>457</v>
      </c>
      <c r="P2000" s="128">
        <v>-149319.23000000001</v>
      </c>
      <c r="Q2000" s="128">
        <v>0</v>
      </c>
      <c r="R2000" s="128">
        <v>0</v>
      </c>
      <c r="S2000" s="128">
        <v>0</v>
      </c>
      <c r="T2000" s="128">
        <v>-149319.23000000001</v>
      </c>
      <c r="U2000" s="128">
        <v>0</v>
      </c>
      <c r="V2000" s="128">
        <v>-149319.23000000001</v>
      </c>
      <c r="W2000" s="128">
        <v>0</v>
      </c>
      <c r="X2000" s="128">
        <v>0</v>
      </c>
      <c r="Y2000" s="128">
        <v>0</v>
      </c>
      <c r="Z2000" s="128">
        <v>-149319.23000000001</v>
      </c>
      <c r="AA2000" s="128">
        <v>0</v>
      </c>
      <c r="AB2000" s="126">
        <f t="shared" si="211"/>
        <v>1.4931923000000001E-2</v>
      </c>
      <c r="AC2000" s="122" t="s">
        <v>1838</v>
      </c>
      <c r="AD2000" s="123">
        <f t="shared" si="207"/>
        <v>2.2311121729999996</v>
      </c>
    </row>
    <row r="2001" spans="1:30" ht="12.75" hidden="1" customHeight="1">
      <c r="A2001" s="125" t="str">
        <f t="shared" si="208"/>
        <v>LIC171Other Expenses-DDP</v>
      </c>
      <c r="B2001" s="125">
        <f>+IFERROR(VLOOKUP(L2001,'TB mapping'!A:D,4,0),0)</f>
        <v>0</v>
      </c>
      <c r="C2001" s="125">
        <f>+IFERROR(VLOOKUP(L2001,'TB mapping'!A:C,3,0),0)</f>
        <v>6.3</v>
      </c>
      <c r="D2001" s="125" t="str">
        <f t="shared" si="209"/>
        <v>LIC1710</v>
      </c>
      <c r="E2001" s="125" t="str">
        <f t="shared" si="210"/>
        <v>LIC1716.3</v>
      </c>
      <c r="F2001" s="158" t="str">
        <f>+VLOOKUP(H2001,'code mapping'!A:C,3,0)</f>
        <v>LIC171</v>
      </c>
      <c r="G2001" s="127" t="s">
        <v>453</v>
      </c>
      <c r="H2001" s="127" t="s">
        <v>750</v>
      </c>
      <c r="I2001" s="127" t="s">
        <v>751</v>
      </c>
      <c r="J2001" s="128">
        <v>550000</v>
      </c>
      <c r="K2001" s="127" t="s">
        <v>550</v>
      </c>
      <c r="L2001" s="151">
        <v>553330</v>
      </c>
      <c r="M2001" s="128">
        <v>0</v>
      </c>
      <c r="N2001" s="127" t="s">
        <v>568</v>
      </c>
      <c r="O2001" s="127" t="s">
        <v>457</v>
      </c>
      <c r="P2001" s="128">
        <v>-3794.25</v>
      </c>
      <c r="Q2001" s="128">
        <v>0</v>
      </c>
      <c r="R2001" s="128">
        <v>0</v>
      </c>
      <c r="S2001" s="128">
        <v>0</v>
      </c>
      <c r="T2001" s="128">
        <v>-3794.25</v>
      </c>
      <c r="U2001" s="128">
        <v>0</v>
      </c>
      <c r="V2001" s="128">
        <v>-3794.25</v>
      </c>
      <c r="W2001" s="128">
        <v>0</v>
      </c>
      <c r="X2001" s="128">
        <v>0</v>
      </c>
      <c r="Y2001" s="128">
        <v>0</v>
      </c>
      <c r="Z2001" s="128">
        <v>-3794.25</v>
      </c>
      <c r="AA2001" s="128">
        <v>0</v>
      </c>
      <c r="AB2001" s="126">
        <f t="shared" si="211"/>
        <v>3.7942500000000002E-4</v>
      </c>
      <c r="AC2001" s="122" t="s">
        <v>1838</v>
      </c>
      <c r="AD2001" s="123">
        <f t="shared" si="207"/>
        <v>2.2311121729999996</v>
      </c>
    </row>
    <row r="2002" spans="1:30" ht="12.75" hidden="1" customHeight="1">
      <c r="A2002" s="125" t="str">
        <f t="shared" si="208"/>
        <v>LIC171Exp-Additional TER</v>
      </c>
      <c r="B2002" s="125">
        <f>+IFERROR(VLOOKUP(L2002,'TB mapping'!A:D,4,0),0)</f>
        <v>0</v>
      </c>
      <c r="C2002" s="125">
        <f>+IFERROR(VLOOKUP(L2002,'TB mapping'!A:C,3,0),0)</f>
        <v>6.3</v>
      </c>
      <c r="D2002" s="125" t="str">
        <f t="shared" si="209"/>
        <v>LIC1710</v>
      </c>
      <c r="E2002" s="125" t="str">
        <f t="shared" si="210"/>
        <v>LIC1716.3</v>
      </c>
      <c r="F2002" s="158" t="str">
        <f>+VLOOKUP(H2002,'code mapping'!A:C,3,0)</f>
        <v>LIC171</v>
      </c>
      <c r="G2002" s="127" t="s">
        <v>453</v>
      </c>
      <c r="H2002" s="127" t="s">
        <v>750</v>
      </c>
      <c r="I2002" s="127" t="s">
        <v>751</v>
      </c>
      <c r="J2002" s="128">
        <v>550000</v>
      </c>
      <c r="K2002" s="127" t="s">
        <v>550</v>
      </c>
      <c r="L2002" s="151">
        <v>553900</v>
      </c>
      <c r="M2002" s="128">
        <v>0</v>
      </c>
      <c r="N2002" s="127" t="s">
        <v>638</v>
      </c>
      <c r="O2002" s="127" t="s">
        <v>457</v>
      </c>
      <c r="P2002" s="128">
        <v>-1869649.81</v>
      </c>
      <c r="Q2002" s="128">
        <v>0</v>
      </c>
      <c r="R2002" s="128">
        <v>0</v>
      </c>
      <c r="S2002" s="128">
        <v>0</v>
      </c>
      <c r="T2002" s="128">
        <v>-1869649.81</v>
      </c>
      <c r="U2002" s="128">
        <v>0</v>
      </c>
      <c r="V2002" s="128">
        <v>-1869649.81</v>
      </c>
      <c r="W2002" s="128">
        <v>0</v>
      </c>
      <c r="X2002" s="128">
        <v>0</v>
      </c>
      <c r="Y2002" s="128">
        <v>0</v>
      </c>
      <c r="Z2002" s="128">
        <v>-1869649.81</v>
      </c>
      <c r="AA2002" s="128">
        <v>0</v>
      </c>
      <c r="AB2002" s="126">
        <f t="shared" si="211"/>
        <v>0.186964981</v>
      </c>
      <c r="AC2002" s="122" t="s">
        <v>1838</v>
      </c>
      <c r="AD2002" s="123">
        <f t="shared" si="207"/>
        <v>2.2311121729999996</v>
      </c>
    </row>
    <row r="2003" spans="1:30" ht="12.75" hidden="1" customHeight="1">
      <c r="A2003" s="125" t="str">
        <f t="shared" si="208"/>
        <v>LIC171Inv Educ Fund Expense - Amfi</v>
      </c>
      <c r="B2003" s="125">
        <f>+IFERROR(VLOOKUP(L2003,'TB mapping'!A:D,4,0),0)</f>
        <v>0</v>
      </c>
      <c r="C2003" s="125">
        <f>+IFERROR(VLOOKUP(L2003,'TB mapping'!A:C,3,0),0)</f>
        <v>6.3</v>
      </c>
      <c r="D2003" s="125" t="str">
        <f t="shared" si="209"/>
        <v>LIC1710</v>
      </c>
      <c r="E2003" s="125" t="str">
        <f t="shared" si="210"/>
        <v>LIC1716.3</v>
      </c>
      <c r="F2003" s="158" t="str">
        <f>+VLOOKUP(H2003,'code mapping'!A:C,3,0)</f>
        <v>LIC171</v>
      </c>
      <c r="G2003" s="127" t="s">
        <v>453</v>
      </c>
      <c r="H2003" s="127" t="s">
        <v>750</v>
      </c>
      <c r="I2003" s="127" t="s">
        <v>751</v>
      </c>
      <c r="J2003" s="128">
        <v>550000</v>
      </c>
      <c r="K2003" s="127" t="s">
        <v>550</v>
      </c>
      <c r="L2003" s="151">
        <v>554526</v>
      </c>
      <c r="M2003" s="128">
        <v>0</v>
      </c>
      <c r="N2003" s="127" t="s">
        <v>569</v>
      </c>
      <c r="O2003" s="127" t="s">
        <v>457</v>
      </c>
      <c r="P2003" s="128">
        <v>-75648.23</v>
      </c>
      <c r="Q2003" s="128">
        <v>0</v>
      </c>
      <c r="R2003" s="128">
        <v>0</v>
      </c>
      <c r="S2003" s="128">
        <v>0</v>
      </c>
      <c r="T2003" s="128">
        <v>-75648.23</v>
      </c>
      <c r="U2003" s="128">
        <v>0</v>
      </c>
      <c r="V2003" s="128">
        <v>-75648.23</v>
      </c>
      <c r="W2003" s="128">
        <v>0</v>
      </c>
      <c r="X2003" s="128">
        <v>0</v>
      </c>
      <c r="Y2003" s="128">
        <v>0</v>
      </c>
      <c r="Z2003" s="128">
        <v>-75648.23</v>
      </c>
      <c r="AA2003" s="128">
        <v>0</v>
      </c>
      <c r="AB2003" s="126">
        <f t="shared" si="211"/>
        <v>7.5648229999999992E-3</v>
      </c>
      <c r="AC2003" s="122" t="s">
        <v>1838</v>
      </c>
      <c r="AD2003" s="123">
        <f t="shared" si="207"/>
        <v>2.2311121729999996</v>
      </c>
    </row>
    <row r="2004" spans="1:30" ht="12.75" hidden="1" customHeight="1">
      <c r="A2004" s="125" t="str">
        <f t="shared" si="208"/>
        <v>LIC171Transaction Processing Charges</v>
      </c>
      <c r="B2004" s="125">
        <f>+IFERROR(VLOOKUP(L2004,'TB mapping'!A:D,4,0),0)</f>
        <v>0</v>
      </c>
      <c r="C2004" s="125">
        <f>+IFERROR(VLOOKUP(L2004,'TB mapping'!A:C,3,0),0)</f>
        <v>6.3</v>
      </c>
      <c r="D2004" s="125" t="str">
        <f t="shared" si="209"/>
        <v>LIC1710</v>
      </c>
      <c r="E2004" s="125" t="str">
        <f t="shared" si="210"/>
        <v>LIC1716.3</v>
      </c>
      <c r="F2004" s="158" t="str">
        <f>+VLOOKUP(H2004,'code mapping'!A:C,3,0)</f>
        <v>LIC171</v>
      </c>
      <c r="G2004" s="127" t="s">
        <v>453</v>
      </c>
      <c r="H2004" s="127" t="s">
        <v>750</v>
      </c>
      <c r="I2004" s="127" t="s">
        <v>751</v>
      </c>
      <c r="J2004" s="128">
        <v>550000</v>
      </c>
      <c r="K2004" s="127" t="s">
        <v>550</v>
      </c>
      <c r="L2004" s="151">
        <v>554527</v>
      </c>
      <c r="M2004" s="128">
        <v>0</v>
      </c>
      <c r="N2004" s="127" t="s">
        <v>570</v>
      </c>
      <c r="O2004" s="127" t="s">
        <v>457</v>
      </c>
      <c r="P2004" s="128">
        <v>-850</v>
      </c>
      <c r="Q2004" s="128">
        <v>0</v>
      </c>
      <c r="R2004" s="128">
        <v>0</v>
      </c>
      <c r="S2004" s="128">
        <v>0</v>
      </c>
      <c r="T2004" s="128">
        <v>-850</v>
      </c>
      <c r="U2004" s="128">
        <v>0</v>
      </c>
      <c r="V2004" s="128">
        <v>-850</v>
      </c>
      <c r="W2004" s="128">
        <v>0</v>
      </c>
      <c r="X2004" s="128">
        <v>0</v>
      </c>
      <c r="Y2004" s="128">
        <v>0</v>
      </c>
      <c r="Z2004" s="128">
        <v>-850</v>
      </c>
      <c r="AA2004" s="128">
        <v>0</v>
      </c>
      <c r="AB2004" s="126">
        <f t="shared" si="211"/>
        <v>8.5000000000000006E-5</v>
      </c>
      <c r="AC2004" s="122" t="s">
        <v>1838</v>
      </c>
      <c r="AD2004" s="123">
        <f t="shared" si="207"/>
        <v>2.2311121729999996</v>
      </c>
    </row>
    <row r="2005" spans="1:30" ht="12.75" hidden="1" customHeight="1">
      <c r="A2005" s="125" t="str">
        <f t="shared" si="208"/>
        <v>LIC171Client Servicing Expenes</v>
      </c>
      <c r="B2005" s="125">
        <f>+IFERROR(VLOOKUP(L2005,'TB mapping'!A:D,4,0),0)</f>
        <v>0</v>
      </c>
      <c r="C2005" s="125">
        <f>+IFERROR(VLOOKUP(L2005,'TB mapping'!A:C,3,0),0)</f>
        <v>6.3</v>
      </c>
      <c r="D2005" s="125" t="str">
        <f t="shared" si="209"/>
        <v>LIC1710</v>
      </c>
      <c r="E2005" s="125" t="str">
        <f t="shared" si="210"/>
        <v>LIC1716.3</v>
      </c>
      <c r="F2005" s="158" t="str">
        <f>+VLOOKUP(H2005,'code mapping'!A:C,3,0)</f>
        <v>LIC171</v>
      </c>
      <c r="G2005" s="127" t="s">
        <v>453</v>
      </c>
      <c r="H2005" s="127" t="s">
        <v>750</v>
      </c>
      <c r="I2005" s="127" t="s">
        <v>751</v>
      </c>
      <c r="J2005" s="128">
        <v>550000</v>
      </c>
      <c r="K2005" s="127" t="s">
        <v>550</v>
      </c>
      <c r="L2005" s="151">
        <v>555157</v>
      </c>
      <c r="M2005" s="128">
        <v>0</v>
      </c>
      <c r="N2005" s="127" t="s">
        <v>571</v>
      </c>
      <c r="O2005" s="127" t="s">
        <v>457</v>
      </c>
      <c r="P2005" s="128">
        <v>-4898009.87</v>
      </c>
      <c r="Q2005" s="128">
        <v>0</v>
      </c>
      <c r="R2005" s="128">
        <v>0</v>
      </c>
      <c r="S2005" s="128">
        <v>0</v>
      </c>
      <c r="T2005" s="128">
        <v>-4898009.87</v>
      </c>
      <c r="U2005" s="128">
        <v>0</v>
      </c>
      <c r="V2005" s="128">
        <v>-4898009.87</v>
      </c>
      <c r="W2005" s="128">
        <v>0</v>
      </c>
      <c r="X2005" s="128">
        <v>0</v>
      </c>
      <c r="Y2005" s="128">
        <v>0</v>
      </c>
      <c r="Z2005" s="128">
        <v>-4898009.87</v>
      </c>
      <c r="AA2005" s="128">
        <v>0</v>
      </c>
      <c r="AB2005" s="126">
        <f t="shared" si="211"/>
        <v>0.48980098700000002</v>
      </c>
      <c r="AC2005" s="122" t="s">
        <v>1838</v>
      </c>
      <c r="AD2005" s="123">
        <f t="shared" si="207"/>
        <v>2.2311121729999996</v>
      </c>
    </row>
    <row r="2006" spans="1:30" ht="12.75" hidden="1" customHeight="1">
      <c r="A2006" s="125" t="str">
        <f t="shared" si="208"/>
        <v>LIC171Management Fee-Reclassfication</v>
      </c>
      <c r="B2006" s="125">
        <f>+IFERROR(VLOOKUP(L2006,'TB mapping'!A:D,4,0),0)</f>
        <v>6.1</v>
      </c>
      <c r="C2006" s="125">
        <f>+IFERROR(VLOOKUP(L2006,'TB mapping'!A:C,3,0),0)</f>
        <v>6.3</v>
      </c>
      <c r="D2006" s="125" t="str">
        <f t="shared" si="209"/>
        <v>LIC1716.1</v>
      </c>
      <c r="E2006" s="125" t="str">
        <f t="shared" si="210"/>
        <v>LIC1716.3</v>
      </c>
      <c r="F2006" s="158" t="str">
        <f>+VLOOKUP(H2006,'code mapping'!A:C,3,0)</f>
        <v>LIC171</v>
      </c>
      <c r="G2006" s="127" t="s">
        <v>453</v>
      </c>
      <c r="H2006" s="127" t="s">
        <v>750</v>
      </c>
      <c r="I2006" s="127" t="s">
        <v>751</v>
      </c>
      <c r="J2006" s="128">
        <v>550000</v>
      </c>
      <c r="K2006" s="127" t="s">
        <v>550</v>
      </c>
      <c r="L2006" s="151">
        <v>555274</v>
      </c>
      <c r="M2006" s="128">
        <v>0</v>
      </c>
      <c r="N2006" s="127" t="s">
        <v>583</v>
      </c>
      <c r="O2006" s="127" t="s">
        <v>457</v>
      </c>
      <c r="P2006" s="128">
        <v>-1864407.5</v>
      </c>
      <c r="Q2006" s="128">
        <v>0</v>
      </c>
      <c r="R2006" s="128">
        <v>0</v>
      </c>
      <c r="S2006" s="128">
        <v>0</v>
      </c>
      <c r="T2006" s="128">
        <v>-1864407.5</v>
      </c>
      <c r="U2006" s="128">
        <v>0</v>
      </c>
      <c r="V2006" s="128">
        <v>-1864407.5</v>
      </c>
      <c r="W2006" s="128">
        <v>0</v>
      </c>
      <c r="X2006" s="128">
        <v>0</v>
      </c>
      <c r="Y2006" s="128">
        <v>0</v>
      </c>
      <c r="Z2006" s="128">
        <v>-1864407.5</v>
      </c>
      <c r="AA2006" s="128">
        <v>0</v>
      </c>
      <c r="AB2006" s="126">
        <f t="shared" si="211"/>
        <v>0.18644074999999999</v>
      </c>
      <c r="AC2006" s="122" t="s">
        <v>1838</v>
      </c>
      <c r="AD2006" s="123">
        <f t="shared" si="207"/>
        <v>2.2311121729999996</v>
      </c>
    </row>
    <row r="2007" spans="1:30" ht="12.75" hidden="1" customHeight="1">
      <c r="A2007" s="125" t="str">
        <f t="shared" si="208"/>
        <v>LIC171Brokerage_Indirect_Reclassify</v>
      </c>
      <c r="B2007" s="125">
        <f>+IFERROR(VLOOKUP(L2007,'TB mapping'!A:D,4,0),0)</f>
        <v>0</v>
      </c>
      <c r="C2007" s="125">
        <f>+IFERROR(VLOOKUP(L2007,'TB mapping'!A:C,3,0),0)</f>
        <v>6.3</v>
      </c>
      <c r="D2007" s="125" t="str">
        <f t="shared" si="209"/>
        <v>LIC1710</v>
      </c>
      <c r="E2007" s="125" t="str">
        <f t="shared" si="210"/>
        <v>LIC1716.3</v>
      </c>
      <c r="F2007" s="158" t="str">
        <f>+VLOOKUP(H2007,'code mapping'!A:C,3,0)</f>
        <v>LIC171</v>
      </c>
      <c r="G2007" s="127" t="s">
        <v>453</v>
      </c>
      <c r="H2007" s="127" t="s">
        <v>750</v>
      </c>
      <c r="I2007" s="127" t="s">
        <v>751</v>
      </c>
      <c r="J2007" s="128">
        <v>550000</v>
      </c>
      <c r="K2007" s="127" t="s">
        <v>550</v>
      </c>
      <c r="L2007" s="151">
        <v>555275</v>
      </c>
      <c r="M2007" s="128">
        <v>0</v>
      </c>
      <c r="N2007" s="127" t="s">
        <v>600</v>
      </c>
      <c r="O2007" s="127" t="s">
        <v>457</v>
      </c>
      <c r="P2007" s="128">
        <v>0</v>
      </c>
      <c r="Q2007" s="128">
        <v>1000000</v>
      </c>
      <c r="R2007" s="128">
        <v>0</v>
      </c>
      <c r="S2007" s="128">
        <v>0</v>
      </c>
      <c r="T2007" s="128">
        <v>0</v>
      </c>
      <c r="U2007" s="128">
        <v>1000000</v>
      </c>
      <c r="V2007" s="128">
        <v>0</v>
      </c>
      <c r="W2007" s="128">
        <v>1000000</v>
      </c>
      <c r="X2007" s="128">
        <v>0</v>
      </c>
      <c r="Y2007" s="128">
        <v>0</v>
      </c>
      <c r="Z2007" s="128">
        <v>0</v>
      </c>
      <c r="AA2007" s="128">
        <v>1000000</v>
      </c>
      <c r="AB2007" s="126">
        <f t="shared" si="211"/>
        <v>-0.1</v>
      </c>
      <c r="AC2007" s="122" t="s">
        <v>1838</v>
      </c>
      <c r="AD2007" s="123">
        <f t="shared" si="207"/>
        <v>2.2311121729999996</v>
      </c>
    </row>
    <row r="2008" spans="1:30" ht="12.75" hidden="1" customHeight="1">
      <c r="A2008" s="125" t="str">
        <f t="shared" si="208"/>
        <v>LIC171CGST on Reclassify of Exp</v>
      </c>
      <c r="B2008" s="125">
        <f>+IFERROR(VLOOKUP(L2008,'TB mapping'!A:D,4,0),0)</f>
        <v>0</v>
      </c>
      <c r="C2008" s="125">
        <f>+IFERROR(VLOOKUP(L2008,'TB mapping'!A:C,3,0),0)</f>
        <v>6.3</v>
      </c>
      <c r="D2008" s="125" t="str">
        <f t="shared" si="209"/>
        <v>LIC1710</v>
      </c>
      <c r="E2008" s="125" t="str">
        <f t="shared" si="210"/>
        <v>LIC1716.3</v>
      </c>
      <c r="F2008" s="158" t="str">
        <f>+VLOOKUP(H2008,'code mapping'!A:C,3,0)</f>
        <v>LIC171</v>
      </c>
      <c r="G2008" s="127" t="s">
        <v>453</v>
      </c>
      <c r="H2008" s="127" t="s">
        <v>750</v>
      </c>
      <c r="I2008" s="127" t="s">
        <v>751</v>
      </c>
      <c r="J2008" s="128">
        <v>550000</v>
      </c>
      <c r="K2008" s="127" t="s">
        <v>550</v>
      </c>
      <c r="L2008" s="151">
        <v>555276</v>
      </c>
      <c r="M2008" s="128">
        <v>0</v>
      </c>
      <c r="N2008" s="127" t="s">
        <v>572</v>
      </c>
      <c r="O2008" s="127" t="s">
        <v>457</v>
      </c>
      <c r="P2008" s="128">
        <v>-80084.75</v>
      </c>
      <c r="Q2008" s="128">
        <v>0</v>
      </c>
      <c r="R2008" s="128">
        <v>0</v>
      </c>
      <c r="S2008" s="128">
        <v>0</v>
      </c>
      <c r="T2008" s="128">
        <v>-80084.75</v>
      </c>
      <c r="U2008" s="128">
        <v>0</v>
      </c>
      <c r="V2008" s="128">
        <v>-80084.75</v>
      </c>
      <c r="W2008" s="128">
        <v>0</v>
      </c>
      <c r="X2008" s="128">
        <v>0</v>
      </c>
      <c r="Y2008" s="128">
        <v>0</v>
      </c>
      <c r="Z2008" s="128">
        <v>-80084.75</v>
      </c>
      <c r="AA2008" s="128">
        <v>0</v>
      </c>
      <c r="AB2008" s="126">
        <f t="shared" si="211"/>
        <v>8.0084749999999993E-3</v>
      </c>
      <c r="AC2008" s="122" t="s">
        <v>1838</v>
      </c>
      <c r="AD2008" s="123">
        <f t="shared" si="207"/>
        <v>2.2311121729999996</v>
      </c>
    </row>
    <row r="2009" spans="1:30" ht="12.75" hidden="1" customHeight="1">
      <c r="A2009" s="125" t="str">
        <f t="shared" si="208"/>
        <v>LIC171SGST on Reclassify of Exp</v>
      </c>
      <c r="B2009" s="125">
        <f>+IFERROR(VLOOKUP(L2009,'TB mapping'!A:D,4,0),0)</f>
        <v>0</v>
      </c>
      <c r="C2009" s="125">
        <f>+IFERROR(VLOOKUP(L2009,'TB mapping'!A:C,3,0),0)</f>
        <v>6.3</v>
      </c>
      <c r="D2009" s="125" t="str">
        <f t="shared" si="209"/>
        <v>LIC1710</v>
      </c>
      <c r="E2009" s="125" t="str">
        <f t="shared" si="210"/>
        <v>LIC1716.3</v>
      </c>
      <c r="F2009" s="158" t="str">
        <f>+VLOOKUP(H2009,'code mapping'!A:C,3,0)</f>
        <v>LIC171</v>
      </c>
      <c r="G2009" s="127" t="s">
        <v>453</v>
      </c>
      <c r="H2009" s="127" t="s">
        <v>750</v>
      </c>
      <c r="I2009" s="127" t="s">
        <v>751</v>
      </c>
      <c r="J2009" s="128">
        <v>550000</v>
      </c>
      <c r="K2009" s="127" t="s">
        <v>550</v>
      </c>
      <c r="L2009" s="151">
        <v>555277</v>
      </c>
      <c r="M2009" s="128">
        <v>0</v>
      </c>
      <c r="N2009" s="127" t="s">
        <v>573</v>
      </c>
      <c r="O2009" s="127" t="s">
        <v>457</v>
      </c>
      <c r="P2009" s="128">
        <v>-80084.75</v>
      </c>
      <c r="Q2009" s="128">
        <v>0</v>
      </c>
      <c r="R2009" s="128">
        <v>0</v>
      </c>
      <c r="S2009" s="128">
        <v>0</v>
      </c>
      <c r="T2009" s="128">
        <v>-80084.75</v>
      </c>
      <c r="U2009" s="128">
        <v>0</v>
      </c>
      <c r="V2009" s="128">
        <v>-80084.75</v>
      </c>
      <c r="W2009" s="128">
        <v>0</v>
      </c>
      <c r="X2009" s="128">
        <v>0</v>
      </c>
      <c r="Y2009" s="128">
        <v>0</v>
      </c>
      <c r="Z2009" s="128">
        <v>-80084.75</v>
      </c>
      <c r="AA2009" s="128">
        <v>0</v>
      </c>
      <c r="AB2009" s="126">
        <f t="shared" si="211"/>
        <v>8.0084749999999993E-3</v>
      </c>
      <c r="AC2009" s="122" t="s">
        <v>1838</v>
      </c>
      <c r="AD2009" s="123">
        <f t="shared" si="207"/>
        <v>2.2311121729999996</v>
      </c>
    </row>
    <row r="2010" spans="1:30" ht="12.75" hidden="1" customHeight="1">
      <c r="A2010" s="125" t="str">
        <f t="shared" si="208"/>
        <v>LIC171Other Expense-Reclassfication</v>
      </c>
      <c r="B2010" s="125">
        <f>+IFERROR(VLOOKUP(L2010,'TB mapping'!A:D,4,0),0)</f>
        <v>0</v>
      </c>
      <c r="C2010" s="125">
        <f>+IFERROR(VLOOKUP(L2010,'TB mapping'!A:C,3,0),0)</f>
        <v>0</v>
      </c>
      <c r="D2010" s="125" t="str">
        <f t="shared" si="209"/>
        <v>LIC1710</v>
      </c>
      <c r="E2010" s="125" t="str">
        <f t="shared" si="210"/>
        <v>LIC1710</v>
      </c>
      <c r="F2010" s="158" t="str">
        <f>+VLOOKUP(H2010,'code mapping'!A:C,3,0)</f>
        <v>LIC171</v>
      </c>
      <c r="G2010" s="127" t="s">
        <v>453</v>
      </c>
      <c r="H2010" s="127" t="s">
        <v>750</v>
      </c>
      <c r="I2010" s="127" t="s">
        <v>751</v>
      </c>
      <c r="J2010" s="128">
        <v>550000</v>
      </c>
      <c r="K2010" s="127" t="s">
        <v>550</v>
      </c>
      <c r="L2010" s="151">
        <v>555280</v>
      </c>
      <c r="M2010" s="128">
        <v>0</v>
      </c>
      <c r="N2010" s="127" t="s">
        <v>1590</v>
      </c>
      <c r="O2010" s="127" t="s">
        <v>457</v>
      </c>
      <c r="P2010" s="128">
        <v>0</v>
      </c>
      <c r="Q2010" s="128">
        <v>50000</v>
      </c>
      <c r="R2010" s="128">
        <v>0</v>
      </c>
      <c r="S2010" s="128">
        <v>0</v>
      </c>
      <c r="T2010" s="128">
        <v>0</v>
      </c>
      <c r="U2010" s="128">
        <v>50000</v>
      </c>
      <c r="V2010" s="128">
        <v>0</v>
      </c>
      <c r="W2010" s="128">
        <v>50000</v>
      </c>
      <c r="X2010" s="128">
        <v>0</v>
      </c>
      <c r="Y2010" s="128">
        <v>0</v>
      </c>
      <c r="Z2010" s="128">
        <v>0</v>
      </c>
      <c r="AA2010" s="128">
        <v>50000</v>
      </c>
      <c r="AB2010" s="126">
        <f t="shared" si="211"/>
        <v>-5.0000000000000001E-3</v>
      </c>
      <c r="AC2010" s="122" t="s">
        <v>1838</v>
      </c>
      <c r="AD2010" s="123">
        <f>SUMIF(C:C,C2010,AB:AB)</f>
        <v>1983.9723217250009</v>
      </c>
    </row>
    <row r="2011" spans="1:30" ht="12.75" hidden="1" customHeight="1">
      <c r="A2011" s="125" t="str">
        <f t="shared" si="208"/>
        <v>LIC171CGST on Mfees</v>
      </c>
      <c r="B2011" s="125">
        <f>+IFERROR(VLOOKUP(L2011,'TB mapping'!A:D,4,0),0)</f>
        <v>6.1</v>
      </c>
      <c r="C2011" s="125">
        <f>+IFERROR(VLOOKUP(L2011,'TB mapping'!A:C,3,0),0)</f>
        <v>6.3</v>
      </c>
      <c r="D2011" s="125" t="str">
        <f t="shared" si="209"/>
        <v>LIC1716.1</v>
      </c>
      <c r="E2011" s="125" t="str">
        <f t="shared" si="210"/>
        <v>LIC1716.3</v>
      </c>
      <c r="F2011" s="158" t="str">
        <f>+VLOOKUP(H2011,'code mapping'!A:C,3,0)</f>
        <v>LIC171</v>
      </c>
      <c r="G2011" s="127" t="s">
        <v>453</v>
      </c>
      <c r="H2011" s="127" t="s">
        <v>750</v>
      </c>
      <c r="I2011" s="127" t="s">
        <v>751</v>
      </c>
      <c r="J2011" s="128">
        <v>550000</v>
      </c>
      <c r="K2011" s="127" t="s">
        <v>550</v>
      </c>
      <c r="L2011" s="151">
        <v>555597</v>
      </c>
      <c r="M2011" s="128">
        <v>0</v>
      </c>
      <c r="N2011" s="127" t="s">
        <v>574</v>
      </c>
      <c r="O2011" s="127" t="s">
        <v>457</v>
      </c>
      <c r="P2011" s="128">
        <v>-707676.96</v>
      </c>
      <c r="Q2011" s="128">
        <v>0</v>
      </c>
      <c r="R2011" s="128">
        <v>0</v>
      </c>
      <c r="S2011" s="128">
        <v>0</v>
      </c>
      <c r="T2011" s="128">
        <v>-707676.96</v>
      </c>
      <c r="U2011" s="128">
        <v>0</v>
      </c>
      <c r="V2011" s="128">
        <v>-707676.96</v>
      </c>
      <c r="W2011" s="128">
        <v>0</v>
      </c>
      <c r="X2011" s="128">
        <v>0</v>
      </c>
      <c r="Y2011" s="128">
        <v>0</v>
      </c>
      <c r="Z2011" s="128">
        <v>-707676.96</v>
      </c>
      <c r="AA2011" s="128">
        <v>0</v>
      </c>
      <c r="AB2011" s="126">
        <f t="shared" si="211"/>
        <v>7.0767695999999991E-2</v>
      </c>
      <c r="AC2011" s="122" t="s">
        <v>1838</v>
      </c>
      <c r="AD2011" s="123">
        <f t="shared" ref="AD2011:AD2020" si="212">SUMIF(E:E,E2011,AB:AB)</f>
        <v>2.2311121729999996</v>
      </c>
    </row>
    <row r="2012" spans="1:30" ht="12.75" hidden="1" customHeight="1">
      <c r="A2012" s="125" t="str">
        <f t="shared" si="208"/>
        <v>LIC171SGST on Mfees</v>
      </c>
      <c r="B2012" s="125">
        <f>+IFERROR(VLOOKUP(L2012,'TB mapping'!A:D,4,0),0)</f>
        <v>6.1</v>
      </c>
      <c r="C2012" s="125">
        <f>+IFERROR(VLOOKUP(L2012,'TB mapping'!A:C,3,0),0)</f>
        <v>6.3</v>
      </c>
      <c r="D2012" s="125" t="str">
        <f t="shared" si="209"/>
        <v>LIC1716.1</v>
      </c>
      <c r="E2012" s="125" t="str">
        <f t="shared" si="210"/>
        <v>LIC1716.3</v>
      </c>
      <c r="F2012" s="158" t="str">
        <f>+VLOOKUP(H2012,'code mapping'!A:C,3,0)</f>
        <v>LIC171</v>
      </c>
      <c r="G2012" s="127" t="s">
        <v>453</v>
      </c>
      <c r="H2012" s="127" t="s">
        <v>750</v>
      </c>
      <c r="I2012" s="127" t="s">
        <v>751</v>
      </c>
      <c r="J2012" s="128">
        <v>550000</v>
      </c>
      <c r="K2012" s="127" t="s">
        <v>550</v>
      </c>
      <c r="L2012" s="151">
        <v>555598</v>
      </c>
      <c r="M2012" s="128">
        <v>0</v>
      </c>
      <c r="N2012" s="127" t="s">
        <v>575</v>
      </c>
      <c r="O2012" s="127" t="s">
        <v>457</v>
      </c>
      <c r="P2012" s="128">
        <v>-707676.87</v>
      </c>
      <c r="Q2012" s="128">
        <v>0</v>
      </c>
      <c r="R2012" s="128">
        <v>0</v>
      </c>
      <c r="S2012" s="128">
        <v>0</v>
      </c>
      <c r="T2012" s="128">
        <v>-707676.87</v>
      </c>
      <c r="U2012" s="128">
        <v>0</v>
      </c>
      <c r="V2012" s="128">
        <v>-707676.87</v>
      </c>
      <c r="W2012" s="128">
        <v>0</v>
      </c>
      <c r="X2012" s="128">
        <v>0</v>
      </c>
      <c r="Y2012" s="128">
        <v>0</v>
      </c>
      <c r="Z2012" s="128">
        <v>-707676.87</v>
      </c>
      <c r="AA2012" s="128">
        <v>0</v>
      </c>
      <c r="AB2012" s="126">
        <f t="shared" si="211"/>
        <v>7.0767686999999996E-2</v>
      </c>
      <c r="AC2012" s="122" t="s">
        <v>1838</v>
      </c>
      <c r="AD2012" s="123">
        <f t="shared" si="212"/>
        <v>2.2311121729999996</v>
      </c>
    </row>
    <row r="2013" spans="1:30" ht="12.75" hidden="1" customHeight="1">
      <c r="A2013" s="125" t="str">
        <f t="shared" si="208"/>
        <v>LIC171CGST on Mfees -GDP</v>
      </c>
      <c r="B2013" s="125">
        <f>+IFERROR(VLOOKUP(L2013,'TB mapping'!A:D,4,0),0)</f>
        <v>6.1</v>
      </c>
      <c r="C2013" s="125">
        <f>+IFERROR(VLOOKUP(L2013,'TB mapping'!A:C,3,0),0)</f>
        <v>6.3</v>
      </c>
      <c r="D2013" s="125" t="str">
        <f t="shared" si="209"/>
        <v>LIC1716.1</v>
      </c>
      <c r="E2013" s="125" t="str">
        <f t="shared" si="210"/>
        <v>LIC1716.3</v>
      </c>
      <c r="F2013" s="158" t="str">
        <f>+VLOOKUP(H2013,'code mapping'!A:C,3,0)</f>
        <v>LIC171</v>
      </c>
      <c r="G2013" s="127" t="s">
        <v>453</v>
      </c>
      <c r="H2013" s="127" t="s">
        <v>750</v>
      </c>
      <c r="I2013" s="127" t="s">
        <v>751</v>
      </c>
      <c r="J2013" s="128">
        <v>550000</v>
      </c>
      <c r="K2013" s="127" t="s">
        <v>550</v>
      </c>
      <c r="L2013" s="151">
        <v>555599</v>
      </c>
      <c r="M2013" s="128">
        <v>0</v>
      </c>
      <c r="N2013" s="127" t="s">
        <v>576</v>
      </c>
      <c r="O2013" s="127" t="s">
        <v>457</v>
      </c>
      <c r="P2013" s="128">
        <v>0</v>
      </c>
      <c r="Q2013" s="128">
        <v>2074.87</v>
      </c>
      <c r="R2013" s="128">
        <v>0</v>
      </c>
      <c r="S2013" s="128">
        <v>0</v>
      </c>
      <c r="T2013" s="128">
        <v>0</v>
      </c>
      <c r="U2013" s="128">
        <v>2074.87</v>
      </c>
      <c r="V2013" s="128">
        <v>0</v>
      </c>
      <c r="W2013" s="128">
        <v>2074.87</v>
      </c>
      <c r="X2013" s="128">
        <v>0</v>
      </c>
      <c r="Y2013" s="128">
        <v>0</v>
      </c>
      <c r="Z2013" s="128">
        <v>0</v>
      </c>
      <c r="AA2013" s="128">
        <v>2074.87</v>
      </c>
      <c r="AB2013" s="126">
        <f t="shared" si="211"/>
        <v>-2.0748699999999999E-4</v>
      </c>
      <c r="AC2013" s="122" t="s">
        <v>1838</v>
      </c>
      <c r="AD2013" s="123">
        <f t="shared" si="212"/>
        <v>2.2311121729999996</v>
      </c>
    </row>
    <row r="2014" spans="1:30" ht="12.75" hidden="1" customHeight="1">
      <c r="A2014" s="125" t="str">
        <f t="shared" si="208"/>
        <v>LIC171SGST on Mfees -GDP</v>
      </c>
      <c r="B2014" s="125">
        <f>+IFERROR(VLOOKUP(L2014,'TB mapping'!A:D,4,0),0)</f>
        <v>6.1</v>
      </c>
      <c r="C2014" s="125">
        <f>+IFERROR(VLOOKUP(L2014,'TB mapping'!A:C,3,0),0)</f>
        <v>6.3</v>
      </c>
      <c r="D2014" s="125" t="str">
        <f t="shared" si="209"/>
        <v>LIC1716.1</v>
      </c>
      <c r="E2014" s="125" t="str">
        <f t="shared" si="210"/>
        <v>LIC1716.3</v>
      </c>
      <c r="F2014" s="158" t="str">
        <f>+VLOOKUP(H2014,'code mapping'!A:C,3,0)</f>
        <v>LIC171</v>
      </c>
      <c r="G2014" s="127" t="s">
        <v>453</v>
      </c>
      <c r="H2014" s="127" t="s">
        <v>750</v>
      </c>
      <c r="I2014" s="127" t="s">
        <v>751</v>
      </c>
      <c r="J2014" s="128">
        <v>550000</v>
      </c>
      <c r="K2014" s="127" t="s">
        <v>550</v>
      </c>
      <c r="L2014" s="151">
        <v>555600</v>
      </c>
      <c r="M2014" s="128">
        <v>0</v>
      </c>
      <c r="N2014" s="127" t="s">
        <v>577</v>
      </c>
      <c r="O2014" s="127" t="s">
        <v>457</v>
      </c>
      <c r="P2014" s="128">
        <v>0</v>
      </c>
      <c r="Q2014" s="128">
        <v>2074.7800000000002</v>
      </c>
      <c r="R2014" s="128">
        <v>0</v>
      </c>
      <c r="S2014" s="128">
        <v>0</v>
      </c>
      <c r="T2014" s="128">
        <v>0</v>
      </c>
      <c r="U2014" s="128">
        <v>2074.7800000000002</v>
      </c>
      <c r="V2014" s="128">
        <v>0</v>
      </c>
      <c r="W2014" s="128">
        <v>2074.7800000000002</v>
      </c>
      <c r="X2014" s="128">
        <v>0</v>
      </c>
      <c r="Y2014" s="128">
        <v>0</v>
      </c>
      <c r="Z2014" s="128">
        <v>0</v>
      </c>
      <c r="AA2014" s="128">
        <v>2074.7800000000002</v>
      </c>
      <c r="AB2014" s="126">
        <f t="shared" si="211"/>
        <v>-2.0747800000000001E-4</v>
      </c>
      <c r="AC2014" s="122" t="s">
        <v>1838</v>
      </c>
      <c r="AD2014" s="123">
        <f t="shared" si="212"/>
        <v>2.2311121729999996</v>
      </c>
    </row>
    <row r="2015" spans="1:30" ht="12.75" hidden="1" customHeight="1">
      <c r="A2015" s="125" t="str">
        <f t="shared" si="208"/>
        <v>LIC171Operating Expenses</v>
      </c>
      <c r="B2015" s="125">
        <f>+IFERROR(VLOOKUP(L2015,'TB mapping'!A:D,4,0),0)</f>
        <v>0</v>
      </c>
      <c r="C2015" s="125">
        <f>+IFERROR(VLOOKUP(L2015,'TB mapping'!A:C,3,0),0)</f>
        <v>6.3</v>
      </c>
      <c r="D2015" s="125" t="str">
        <f t="shared" si="209"/>
        <v>LIC1710</v>
      </c>
      <c r="E2015" s="125" t="str">
        <f t="shared" si="210"/>
        <v>LIC1716.3</v>
      </c>
      <c r="F2015" s="158" t="str">
        <f>+VLOOKUP(H2015,'code mapping'!A:C,3,0)</f>
        <v>LIC171</v>
      </c>
      <c r="G2015" s="127" t="s">
        <v>453</v>
      </c>
      <c r="H2015" s="127" t="s">
        <v>750</v>
      </c>
      <c r="I2015" s="127" t="s">
        <v>751</v>
      </c>
      <c r="J2015" s="128">
        <v>550000</v>
      </c>
      <c r="K2015" s="127" t="s">
        <v>550</v>
      </c>
      <c r="L2015" s="151">
        <v>556421</v>
      </c>
      <c r="M2015" s="128">
        <v>0</v>
      </c>
      <c r="N2015" s="127" t="s">
        <v>578</v>
      </c>
      <c r="O2015" s="127" t="s">
        <v>457</v>
      </c>
      <c r="P2015" s="128">
        <v>-28660.13</v>
      </c>
      <c r="Q2015" s="128">
        <v>0</v>
      </c>
      <c r="R2015" s="128">
        <v>0</v>
      </c>
      <c r="S2015" s="128">
        <v>0</v>
      </c>
      <c r="T2015" s="128">
        <v>-28660.13</v>
      </c>
      <c r="U2015" s="128">
        <v>0</v>
      </c>
      <c r="V2015" s="128">
        <v>-28660.13</v>
      </c>
      <c r="W2015" s="128">
        <v>0</v>
      </c>
      <c r="X2015" s="128">
        <v>0</v>
      </c>
      <c r="Y2015" s="128">
        <v>0</v>
      </c>
      <c r="Z2015" s="128">
        <v>-28660.13</v>
      </c>
      <c r="AA2015" s="128">
        <v>0</v>
      </c>
      <c r="AB2015" s="126">
        <f t="shared" si="211"/>
        <v>2.8660130000000002E-3</v>
      </c>
      <c r="AC2015" s="122" t="s">
        <v>1838</v>
      </c>
      <c r="AD2015" s="123">
        <f t="shared" si="212"/>
        <v>2.2311121729999996</v>
      </c>
    </row>
    <row r="2016" spans="1:30" ht="12.75" hidden="1" customHeight="1">
      <c r="A2016" s="125" t="str">
        <f t="shared" si="208"/>
        <v>LIC171Management Fee</v>
      </c>
      <c r="B2016" s="125">
        <f>+IFERROR(VLOOKUP(L2016,'TB mapping'!A:D,4,0),0)</f>
        <v>6.1</v>
      </c>
      <c r="C2016" s="125">
        <f>+IFERROR(VLOOKUP(L2016,'TB mapping'!A:C,3,0),0)</f>
        <v>6.3</v>
      </c>
      <c r="D2016" s="125" t="str">
        <f t="shared" si="209"/>
        <v>LIC1716.1</v>
      </c>
      <c r="E2016" s="125" t="str">
        <f t="shared" si="210"/>
        <v>LIC1716.3</v>
      </c>
      <c r="F2016" s="158" t="str">
        <f>+VLOOKUP(H2016,'code mapping'!A:C,3,0)</f>
        <v>LIC171</v>
      </c>
      <c r="G2016" s="127" t="s">
        <v>453</v>
      </c>
      <c r="H2016" s="127" t="s">
        <v>750</v>
      </c>
      <c r="I2016" s="127" t="s">
        <v>751</v>
      </c>
      <c r="J2016" s="128">
        <v>555100</v>
      </c>
      <c r="K2016" s="127" t="s">
        <v>579</v>
      </c>
      <c r="L2016" s="151">
        <v>555100</v>
      </c>
      <c r="M2016" s="128">
        <v>0</v>
      </c>
      <c r="N2016" s="127" t="s">
        <v>580</v>
      </c>
      <c r="O2016" s="127" t="s">
        <v>457</v>
      </c>
      <c r="P2016" s="128">
        <v>-3662626.75</v>
      </c>
      <c r="Q2016" s="128">
        <v>0</v>
      </c>
      <c r="R2016" s="128">
        <v>0</v>
      </c>
      <c r="S2016" s="128">
        <v>0</v>
      </c>
      <c r="T2016" s="128">
        <v>-3662626.75</v>
      </c>
      <c r="U2016" s="128">
        <v>0</v>
      </c>
      <c r="V2016" s="128">
        <v>-3662626.75</v>
      </c>
      <c r="W2016" s="128">
        <v>0</v>
      </c>
      <c r="X2016" s="128">
        <v>0</v>
      </c>
      <c r="Y2016" s="128">
        <v>0</v>
      </c>
      <c r="Z2016" s="128">
        <v>-3662626.75</v>
      </c>
      <c r="AA2016" s="128">
        <v>0</v>
      </c>
      <c r="AB2016" s="126">
        <f t="shared" si="211"/>
        <v>0.36626267499999998</v>
      </c>
      <c r="AC2016" s="122" t="s">
        <v>1838</v>
      </c>
      <c r="AD2016" s="123">
        <f t="shared" si="212"/>
        <v>2.2311121729999996</v>
      </c>
    </row>
    <row r="2017" spans="1:30" ht="12.75" hidden="1" customHeight="1">
      <c r="A2017" s="125" t="str">
        <f t="shared" si="208"/>
        <v>LIC171Management Fees-RG</v>
      </c>
      <c r="B2017" s="125">
        <f>+IFERROR(VLOOKUP(L2017,'TB mapping'!A:D,4,0),0)</f>
        <v>6.1</v>
      </c>
      <c r="C2017" s="125">
        <f>+IFERROR(VLOOKUP(L2017,'TB mapping'!A:C,3,0),0)</f>
        <v>6.3</v>
      </c>
      <c r="D2017" s="125" t="str">
        <f t="shared" si="209"/>
        <v>LIC1716.1</v>
      </c>
      <c r="E2017" s="125" t="str">
        <f t="shared" si="210"/>
        <v>LIC1716.3</v>
      </c>
      <c r="F2017" s="158" t="str">
        <f>+VLOOKUP(H2017,'code mapping'!A:C,3,0)</f>
        <v>LIC171</v>
      </c>
      <c r="G2017" s="127" t="s">
        <v>453</v>
      </c>
      <c r="H2017" s="127" t="s">
        <v>750</v>
      </c>
      <c r="I2017" s="127" t="s">
        <v>751</v>
      </c>
      <c r="J2017" s="128">
        <v>555100</v>
      </c>
      <c r="K2017" s="127" t="s">
        <v>579</v>
      </c>
      <c r="L2017" s="151">
        <v>555191</v>
      </c>
      <c r="M2017" s="128">
        <v>0</v>
      </c>
      <c r="N2017" s="127" t="s">
        <v>581</v>
      </c>
      <c r="O2017" s="127" t="s">
        <v>457</v>
      </c>
      <c r="P2017" s="128">
        <v>-3594725.1</v>
      </c>
      <c r="Q2017" s="128">
        <v>0</v>
      </c>
      <c r="R2017" s="128">
        <v>0</v>
      </c>
      <c r="S2017" s="128">
        <v>0</v>
      </c>
      <c r="T2017" s="128">
        <v>-3594725.1</v>
      </c>
      <c r="U2017" s="128">
        <v>0</v>
      </c>
      <c r="V2017" s="128">
        <v>-3594725.1</v>
      </c>
      <c r="W2017" s="128">
        <v>0</v>
      </c>
      <c r="X2017" s="128">
        <v>0</v>
      </c>
      <c r="Y2017" s="128">
        <v>0</v>
      </c>
      <c r="Z2017" s="128">
        <v>-3594725.1</v>
      </c>
      <c r="AA2017" s="128">
        <v>0</v>
      </c>
      <c r="AB2017" s="126">
        <f t="shared" si="211"/>
        <v>0.35947251000000002</v>
      </c>
      <c r="AC2017" s="122" t="s">
        <v>1838</v>
      </c>
      <c r="AD2017" s="123">
        <f t="shared" si="212"/>
        <v>2.2311121729999996</v>
      </c>
    </row>
    <row r="2018" spans="1:30" ht="12.75" hidden="1" customHeight="1">
      <c r="A2018" s="125" t="str">
        <f t="shared" si="208"/>
        <v>LIC171Management Fees-RD</v>
      </c>
      <c r="B2018" s="125">
        <f>+IFERROR(VLOOKUP(L2018,'TB mapping'!A:D,4,0),0)</f>
        <v>6.1</v>
      </c>
      <c r="C2018" s="125">
        <f>+IFERROR(VLOOKUP(L2018,'TB mapping'!A:C,3,0),0)</f>
        <v>6.3</v>
      </c>
      <c r="D2018" s="125" t="str">
        <f t="shared" si="209"/>
        <v>LIC1716.1</v>
      </c>
      <c r="E2018" s="125" t="str">
        <f t="shared" si="210"/>
        <v>LIC1716.3</v>
      </c>
      <c r="F2018" s="158" t="str">
        <f>+VLOOKUP(H2018,'code mapping'!A:C,3,0)</f>
        <v>LIC171</v>
      </c>
      <c r="G2018" s="127" t="s">
        <v>453</v>
      </c>
      <c r="H2018" s="127" t="s">
        <v>750</v>
      </c>
      <c r="I2018" s="127" t="s">
        <v>751</v>
      </c>
      <c r="J2018" s="128">
        <v>555100</v>
      </c>
      <c r="K2018" s="127" t="s">
        <v>579</v>
      </c>
      <c r="L2018" s="151">
        <v>555192</v>
      </c>
      <c r="M2018" s="128">
        <v>0</v>
      </c>
      <c r="N2018" s="127" t="s">
        <v>582</v>
      </c>
      <c r="O2018" s="127" t="s">
        <v>457</v>
      </c>
      <c r="P2018" s="128">
        <v>-763745.05</v>
      </c>
      <c r="Q2018" s="128">
        <v>0</v>
      </c>
      <c r="R2018" s="128">
        <v>0</v>
      </c>
      <c r="S2018" s="128">
        <v>0</v>
      </c>
      <c r="T2018" s="128">
        <v>-763745.05</v>
      </c>
      <c r="U2018" s="128">
        <v>0</v>
      </c>
      <c r="V2018" s="128">
        <v>-763745.05</v>
      </c>
      <c r="W2018" s="128">
        <v>0</v>
      </c>
      <c r="X2018" s="128">
        <v>0</v>
      </c>
      <c r="Y2018" s="128">
        <v>0</v>
      </c>
      <c r="Z2018" s="128">
        <v>-763745.05</v>
      </c>
      <c r="AA2018" s="128">
        <v>0</v>
      </c>
      <c r="AB2018" s="126">
        <f t="shared" si="211"/>
        <v>7.6374505000000009E-2</v>
      </c>
      <c r="AC2018" s="122" t="s">
        <v>1838</v>
      </c>
      <c r="AD2018" s="123">
        <f t="shared" si="212"/>
        <v>2.2311121729999996</v>
      </c>
    </row>
    <row r="2019" spans="1:30" ht="12.75" hidden="1" customHeight="1">
      <c r="A2019" s="125" t="str">
        <f t="shared" si="208"/>
        <v>LIC171Management Fees-GDP</v>
      </c>
      <c r="B2019" s="125">
        <f>+IFERROR(VLOOKUP(L2019,'TB mapping'!A:D,4,0),0)</f>
        <v>6.1</v>
      </c>
      <c r="C2019" s="125">
        <f>+IFERROR(VLOOKUP(L2019,'TB mapping'!A:C,3,0),0)</f>
        <v>6.3</v>
      </c>
      <c r="D2019" s="125" t="str">
        <f t="shared" si="209"/>
        <v>LIC1716.1</v>
      </c>
      <c r="E2019" s="125" t="str">
        <f t="shared" si="210"/>
        <v>LIC1716.3</v>
      </c>
      <c r="F2019" s="158" t="str">
        <f>+VLOOKUP(H2019,'code mapping'!A:C,3,0)</f>
        <v>LIC171</v>
      </c>
      <c r="G2019" s="127" t="s">
        <v>453</v>
      </c>
      <c r="H2019" s="127" t="s">
        <v>750</v>
      </c>
      <c r="I2019" s="127" t="s">
        <v>751</v>
      </c>
      <c r="J2019" s="128">
        <v>555100</v>
      </c>
      <c r="K2019" s="127" t="s">
        <v>579</v>
      </c>
      <c r="L2019" s="151">
        <v>555329</v>
      </c>
      <c r="M2019" s="128">
        <v>0</v>
      </c>
      <c r="N2019" s="127" t="s">
        <v>584</v>
      </c>
      <c r="O2019" s="127" t="s">
        <v>457</v>
      </c>
      <c r="P2019" s="128">
        <v>-705409.24</v>
      </c>
      <c r="Q2019" s="128">
        <v>0</v>
      </c>
      <c r="R2019" s="128">
        <v>0</v>
      </c>
      <c r="S2019" s="128">
        <v>0</v>
      </c>
      <c r="T2019" s="128">
        <v>-705409.24</v>
      </c>
      <c r="U2019" s="128">
        <v>0</v>
      </c>
      <c r="V2019" s="128">
        <v>-705409.24</v>
      </c>
      <c r="W2019" s="128">
        <v>0</v>
      </c>
      <c r="X2019" s="128">
        <v>0</v>
      </c>
      <c r="Y2019" s="128">
        <v>0</v>
      </c>
      <c r="Z2019" s="128">
        <v>-705409.24</v>
      </c>
      <c r="AA2019" s="128">
        <v>0</v>
      </c>
      <c r="AB2019" s="126">
        <f t="shared" si="211"/>
        <v>7.0540924000000005E-2</v>
      </c>
      <c r="AC2019" s="122" t="s">
        <v>1838</v>
      </c>
      <c r="AD2019" s="123">
        <f t="shared" si="212"/>
        <v>2.2311121729999996</v>
      </c>
    </row>
    <row r="2020" spans="1:30" ht="12.75" hidden="1" customHeight="1">
      <c r="A2020" s="125" t="str">
        <f t="shared" si="208"/>
        <v>LIC171Management Fees-DDP</v>
      </c>
      <c r="B2020" s="125">
        <f>+IFERROR(VLOOKUP(L2020,'TB mapping'!A:D,4,0),0)</f>
        <v>6.1</v>
      </c>
      <c r="C2020" s="125">
        <f>+IFERROR(VLOOKUP(L2020,'TB mapping'!A:C,3,0),0)</f>
        <v>6.3</v>
      </c>
      <c r="D2020" s="125" t="str">
        <f t="shared" si="209"/>
        <v>LIC1716.1</v>
      </c>
      <c r="E2020" s="125" t="str">
        <f t="shared" si="210"/>
        <v>LIC1716.3</v>
      </c>
      <c r="F2020" s="158" t="str">
        <f>+VLOOKUP(H2020,'code mapping'!A:C,3,0)</f>
        <v>LIC171</v>
      </c>
      <c r="G2020" s="127" t="s">
        <v>453</v>
      </c>
      <c r="H2020" s="127" t="s">
        <v>750</v>
      </c>
      <c r="I2020" s="127" t="s">
        <v>751</v>
      </c>
      <c r="J2020" s="128">
        <v>555100</v>
      </c>
      <c r="K2020" s="127" t="s">
        <v>579</v>
      </c>
      <c r="L2020" s="151">
        <v>555330</v>
      </c>
      <c r="M2020" s="128">
        <v>0</v>
      </c>
      <c r="N2020" s="127" t="s">
        <v>585</v>
      </c>
      <c r="O2020" s="127" t="s">
        <v>457</v>
      </c>
      <c r="P2020" s="128">
        <v>-23241.94</v>
      </c>
      <c r="Q2020" s="128">
        <v>0</v>
      </c>
      <c r="R2020" s="128">
        <v>0</v>
      </c>
      <c r="S2020" s="128">
        <v>0</v>
      </c>
      <c r="T2020" s="128">
        <v>-23241.94</v>
      </c>
      <c r="U2020" s="128">
        <v>0</v>
      </c>
      <c r="V2020" s="128">
        <v>-23241.94</v>
      </c>
      <c r="W2020" s="128">
        <v>0</v>
      </c>
      <c r="X2020" s="128">
        <v>0</v>
      </c>
      <c r="Y2020" s="128">
        <v>0</v>
      </c>
      <c r="Z2020" s="128">
        <v>-23241.94</v>
      </c>
      <c r="AA2020" s="128">
        <v>0</v>
      </c>
      <c r="AB2020" s="126">
        <f t="shared" si="211"/>
        <v>2.3241939999999999E-3</v>
      </c>
      <c r="AC2020" s="122" t="s">
        <v>1838</v>
      </c>
      <c r="AD2020" s="123">
        <f t="shared" si="212"/>
        <v>2.2311121729999996</v>
      </c>
    </row>
    <row r="2021" spans="1:30" ht="12.75" hidden="1" customHeight="1">
      <c r="A2021" s="125" t="str">
        <f t="shared" si="208"/>
        <v>LIC35Investment - Equities</v>
      </c>
      <c r="B2021" s="125">
        <f>+IFERROR(VLOOKUP(L2021,'TB mapping'!A:D,4,0),0)</f>
        <v>0</v>
      </c>
      <c r="C2021" s="125">
        <f>+IFERROR(VLOOKUP(L2021,'TB mapping'!A:C,3,0),0)</f>
        <v>0</v>
      </c>
      <c r="D2021" s="125" t="str">
        <f t="shared" si="209"/>
        <v>LIC350</v>
      </c>
      <c r="E2021" s="125" t="str">
        <f t="shared" si="210"/>
        <v>LIC350</v>
      </c>
      <c r="F2021" s="158" t="str">
        <f>+VLOOKUP(H2021,'code mapping'!A:C,3,0)</f>
        <v>LIC35</v>
      </c>
      <c r="G2021" s="127" t="s">
        <v>453</v>
      </c>
      <c r="H2021" s="127" t="s">
        <v>752</v>
      </c>
      <c r="I2021" s="127" t="s">
        <v>753</v>
      </c>
      <c r="J2021" s="128">
        <v>101000</v>
      </c>
      <c r="K2021" s="127" t="s">
        <v>591</v>
      </c>
      <c r="L2021" s="151">
        <v>101100</v>
      </c>
      <c r="M2021" s="128">
        <v>0</v>
      </c>
      <c r="N2021" s="127" t="s">
        <v>592</v>
      </c>
      <c r="O2021" s="127" t="s">
        <v>457</v>
      </c>
      <c r="P2021" s="128">
        <v>-116336491.83</v>
      </c>
      <c r="Q2021" s="128">
        <v>0</v>
      </c>
      <c r="R2021" s="128">
        <v>0</v>
      </c>
      <c r="S2021" s="128">
        <v>0</v>
      </c>
      <c r="T2021" s="128">
        <v>-116336491.83</v>
      </c>
      <c r="U2021" s="128">
        <v>0</v>
      </c>
      <c r="V2021" s="128">
        <v>-116336491.83</v>
      </c>
      <c r="W2021" s="128">
        <v>0</v>
      </c>
      <c r="X2021" s="128">
        <v>0</v>
      </c>
      <c r="Y2021" s="128">
        <v>0</v>
      </c>
      <c r="Z2021" s="128">
        <v>-116336491.83</v>
      </c>
      <c r="AA2021" s="128">
        <v>0</v>
      </c>
      <c r="AB2021" s="126">
        <f t="shared" si="211"/>
        <v>11.633649182999999</v>
      </c>
      <c r="AC2021" s="122" t="s">
        <v>1838</v>
      </c>
      <c r="AD2021" s="123">
        <f t="shared" ref="AD2021:AD2059" si="213">SUMIF(C:C,C2021,AB:AB)</f>
        <v>1983.9723217250009</v>
      </c>
    </row>
    <row r="2022" spans="1:30" ht="12.75" hidden="1" customHeight="1">
      <c r="A2022" s="125" t="str">
        <f t="shared" si="208"/>
        <v>LIC35Investment Mutual Fund</v>
      </c>
      <c r="B2022" s="125">
        <f>+IFERROR(VLOOKUP(L2022,'TB mapping'!A:D,4,0),0)</f>
        <v>0</v>
      </c>
      <c r="C2022" s="125">
        <f>+IFERROR(VLOOKUP(L2022,'TB mapping'!A:C,3,0),0)</f>
        <v>0</v>
      </c>
      <c r="D2022" s="125" t="str">
        <f t="shared" si="209"/>
        <v>LIC350</v>
      </c>
      <c r="E2022" s="125" t="str">
        <f t="shared" si="210"/>
        <v>LIC350</v>
      </c>
      <c r="F2022" s="158" t="str">
        <f>+VLOOKUP(H2022,'code mapping'!A:C,3,0)</f>
        <v>LIC35</v>
      </c>
      <c r="G2022" s="127" t="s">
        <v>453</v>
      </c>
      <c r="H2022" s="127" t="s">
        <v>752</v>
      </c>
      <c r="I2022" s="127" t="s">
        <v>753</v>
      </c>
      <c r="J2022" s="128">
        <v>105000</v>
      </c>
      <c r="K2022" s="127" t="s">
        <v>460</v>
      </c>
      <c r="L2022" s="151">
        <v>105100</v>
      </c>
      <c r="M2022" s="128">
        <v>0</v>
      </c>
      <c r="N2022" s="127" t="s">
        <v>461</v>
      </c>
      <c r="O2022" s="127" t="s">
        <v>457</v>
      </c>
      <c r="P2022" s="128">
        <v>-2628678.5700000003</v>
      </c>
      <c r="Q2022" s="128">
        <v>0</v>
      </c>
      <c r="R2022" s="128">
        <v>0</v>
      </c>
      <c r="S2022" s="128">
        <v>0</v>
      </c>
      <c r="T2022" s="128">
        <v>-2628678.5700000003</v>
      </c>
      <c r="U2022" s="128">
        <v>0</v>
      </c>
      <c r="V2022" s="128">
        <v>-2628678.5700000003</v>
      </c>
      <c r="W2022" s="128">
        <v>0</v>
      </c>
      <c r="X2022" s="128">
        <v>0</v>
      </c>
      <c r="Y2022" s="128">
        <v>0</v>
      </c>
      <c r="Z2022" s="128">
        <v>-2628678.5700000003</v>
      </c>
      <c r="AA2022" s="128">
        <v>0</v>
      </c>
      <c r="AB2022" s="126">
        <f t="shared" si="211"/>
        <v>0.26286785700000004</v>
      </c>
      <c r="AC2022" s="122" t="s">
        <v>1838</v>
      </c>
      <c r="AD2022" s="123">
        <f t="shared" si="213"/>
        <v>1983.9723217250009</v>
      </c>
    </row>
    <row r="2023" spans="1:30" ht="12.75" hidden="1" customHeight="1">
      <c r="A2023" s="125" t="str">
        <f t="shared" si="208"/>
        <v>LIC35Investment - CBLO</v>
      </c>
      <c r="B2023" s="125">
        <f>+IFERROR(VLOOKUP(L2023,'TB mapping'!A:D,4,0),0)</f>
        <v>0</v>
      </c>
      <c r="C2023" s="125">
        <f>+IFERROR(VLOOKUP(L2023,'TB mapping'!A:C,3,0),0)</f>
        <v>0</v>
      </c>
      <c r="D2023" s="125" t="str">
        <f t="shared" si="209"/>
        <v>LIC350</v>
      </c>
      <c r="E2023" s="125" t="str">
        <f t="shared" si="210"/>
        <v>LIC350</v>
      </c>
      <c r="F2023" s="158" t="str">
        <f>+VLOOKUP(H2023,'code mapping'!A:C,3,0)</f>
        <v>LIC35</v>
      </c>
      <c r="G2023" s="127" t="s">
        <v>453</v>
      </c>
      <c r="H2023" s="127" t="s">
        <v>752</v>
      </c>
      <c r="I2023" s="127" t="s">
        <v>753</v>
      </c>
      <c r="J2023" s="128">
        <v>110000</v>
      </c>
      <c r="K2023" s="127" t="s">
        <v>462</v>
      </c>
      <c r="L2023" s="151">
        <v>110100</v>
      </c>
      <c r="M2023" s="128">
        <v>0</v>
      </c>
      <c r="N2023" s="127" t="s">
        <v>463</v>
      </c>
      <c r="O2023" s="127" t="s">
        <v>457</v>
      </c>
      <c r="P2023" s="128">
        <v>-55705491.149999999</v>
      </c>
      <c r="Q2023" s="128">
        <v>0</v>
      </c>
      <c r="R2023" s="128">
        <v>0</v>
      </c>
      <c r="S2023" s="128">
        <v>0</v>
      </c>
      <c r="T2023" s="128">
        <v>-55705491.149999999</v>
      </c>
      <c r="U2023" s="128">
        <v>0</v>
      </c>
      <c r="V2023" s="128">
        <v>-55705491.149999999</v>
      </c>
      <c r="W2023" s="128">
        <v>0</v>
      </c>
      <c r="X2023" s="128">
        <v>0</v>
      </c>
      <c r="Y2023" s="128">
        <v>0</v>
      </c>
      <c r="Z2023" s="128">
        <v>-55705491.149999999</v>
      </c>
      <c r="AA2023" s="128">
        <v>0</v>
      </c>
      <c r="AB2023" s="126">
        <f t="shared" si="211"/>
        <v>5.5705491149999995</v>
      </c>
      <c r="AC2023" s="122" t="s">
        <v>1838</v>
      </c>
      <c r="AD2023" s="123">
        <f t="shared" si="213"/>
        <v>1983.9723217250009</v>
      </c>
    </row>
    <row r="2024" spans="1:30" ht="12.75" hidden="1" customHeight="1">
      <c r="A2024" s="125" t="str">
        <f t="shared" si="208"/>
        <v>LIC35Margin Deposit For CCIL</v>
      </c>
      <c r="B2024" s="125">
        <f>+IFERROR(VLOOKUP(L2024,'TB mapping'!A:D,4,0),0)</f>
        <v>0</v>
      </c>
      <c r="C2024" s="125">
        <f>+IFERROR(VLOOKUP(L2024,'TB mapping'!A:C,3,0),0)</f>
        <v>0</v>
      </c>
      <c r="D2024" s="125" t="str">
        <f t="shared" si="209"/>
        <v>LIC350</v>
      </c>
      <c r="E2024" s="125" t="str">
        <f t="shared" si="210"/>
        <v>LIC350</v>
      </c>
      <c r="F2024" s="158" t="str">
        <f>+VLOOKUP(H2024,'code mapping'!A:C,3,0)</f>
        <v>LIC35</v>
      </c>
      <c r="G2024" s="127" t="s">
        <v>453</v>
      </c>
      <c r="H2024" s="127" t="s">
        <v>752</v>
      </c>
      <c r="I2024" s="127" t="s">
        <v>753</v>
      </c>
      <c r="J2024" s="128">
        <v>110000</v>
      </c>
      <c r="K2024" s="127" t="s">
        <v>462</v>
      </c>
      <c r="L2024" s="151">
        <v>110116</v>
      </c>
      <c r="M2024" s="128">
        <v>0</v>
      </c>
      <c r="N2024" s="127" t="s">
        <v>465</v>
      </c>
      <c r="O2024" s="127" t="s">
        <v>457</v>
      </c>
      <c r="P2024" s="128">
        <v>-63974.28</v>
      </c>
      <c r="Q2024" s="128">
        <v>0</v>
      </c>
      <c r="R2024" s="128">
        <v>0</v>
      </c>
      <c r="S2024" s="128">
        <v>0</v>
      </c>
      <c r="T2024" s="128">
        <v>-63974.28</v>
      </c>
      <c r="U2024" s="128">
        <v>0</v>
      </c>
      <c r="V2024" s="128">
        <v>-63974.28</v>
      </c>
      <c r="W2024" s="128">
        <v>0</v>
      </c>
      <c r="X2024" s="128">
        <v>0</v>
      </c>
      <c r="Y2024" s="128">
        <v>0</v>
      </c>
      <c r="Z2024" s="128">
        <v>-63974.28</v>
      </c>
      <c r="AA2024" s="128">
        <v>0</v>
      </c>
      <c r="AB2024" s="126">
        <f t="shared" si="211"/>
        <v>6.3974280000000001E-3</v>
      </c>
      <c r="AC2024" s="122" t="s">
        <v>1838</v>
      </c>
      <c r="AD2024" s="123">
        <f t="shared" si="213"/>
        <v>1983.9723217250009</v>
      </c>
    </row>
    <row r="2025" spans="1:30" ht="12.75" hidden="1" customHeight="1">
      <c r="A2025" s="125" t="str">
        <f t="shared" si="208"/>
        <v>LIC35Sub. Rec. Control Account</v>
      </c>
      <c r="B2025" s="125">
        <f>+IFERROR(VLOOKUP(L2025,'TB mapping'!A:D,4,0),0)</f>
        <v>0</v>
      </c>
      <c r="C2025" s="125">
        <f>+IFERROR(VLOOKUP(L2025,'TB mapping'!A:C,3,0),0)</f>
        <v>0</v>
      </c>
      <c r="D2025" s="125" t="str">
        <f t="shared" si="209"/>
        <v>LIC350</v>
      </c>
      <c r="E2025" s="125" t="str">
        <f t="shared" si="210"/>
        <v>LIC350</v>
      </c>
      <c r="F2025" s="158" t="str">
        <f>+VLOOKUP(H2025,'code mapping'!A:C,3,0)</f>
        <v>LIC35</v>
      </c>
      <c r="G2025" s="127" t="s">
        <v>453</v>
      </c>
      <c r="H2025" s="127" t="s">
        <v>752</v>
      </c>
      <c r="I2025" s="127" t="s">
        <v>753</v>
      </c>
      <c r="J2025" s="128">
        <v>132000</v>
      </c>
      <c r="K2025" s="127" t="s">
        <v>466</v>
      </c>
      <c r="L2025" s="151">
        <v>132121</v>
      </c>
      <c r="M2025" s="128">
        <v>0</v>
      </c>
      <c r="N2025" s="127" t="s">
        <v>467</v>
      </c>
      <c r="O2025" s="127" t="s">
        <v>457</v>
      </c>
      <c r="P2025" s="128">
        <v>-204028.86</v>
      </c>
      <c r="Q2025" s="128">
        <v>0</v>
      </c>
      <c r="R2025" s="128">
        <v>0</v>
      </c>
      <c r="S2025" s="128">
        <v>0</v>
      </c>
      <c r="T2025" s="128">
        <v>-204028.86</v>
      </c>
      <c r="U2025" s="128">
        <v>0</v>
      </c>
      <c r="V2025" s="128">
        <v>-204028.86</v>
      </c>
      <c r="W2025" s="128">
        <v>0</v>
      </c>
      <c r="X2025" s="128">
        <v>0</v>
      </c>
      <c r="Y2025" s="128">
        <v>0</v>
      </c>
      <c r="Z2025" s="128">
        <v>-204028.86</v>
      </c>
      <c r="AA2025" s="128">
        <v>0</v>
      </c>
      <c r="AB2025" s="126">
        <f t="shared" si="211"/>
        <v>2.0402885999999999E-2</v>
      </c>
      <c r="AC2025" s="122" t="s">
        <v>1838</v>
      </c>
      <c r="AD2025" s="123">
        <f t="shared" si="213"/>
        <v>1983.9723217250009</v>
      </c>
    </row>
    <row r="2026" spans="1:30" ht="12.75" hidden="1" customHeight="1">
      <c r="A2026" s="125" t="str">
        <f t="shared" si="208"/>
        <v>LIC35Switch in Receivable Ct</v>
      </c>
      <c r="B2026" s="125">
        <f>+IFERROR(VLOOKUP(L2026,'TB mapping'!A:D,4,0),0)</f>
        <v>0</v>
      </c>
      <c r="C2026" s="125">
        <f>+IFERROR(VLOOKUP(L2026,'TB mapping'!A:C,3,0),0)</f>
        <v>0</v>
      </c>
      <c r="D2026" s="125" t="str">
        <f t="shared" si="209"/>
        <v>LIC350</v>
      </c>
      <c r="E2026" s="125" t="str">
        <f t="shared" si="210"/>
        <v>LIC350</v>
      </c>
      <c r="F2026" s="158" t="str">
        <f>+VLOOKUP(H2026,'code mapping'!A:C,3,0)</f>
        <v>LIC35</v>
      </c>
      <c r="G2026" s="127" t="s">
        <v>453</v>
      </c>
      <c r="H2026" s="127" t="s">
        <v>752</v>
      </c>
      <c r="I2026" s="127" t="s">
        <v>753</v>
      </c>
      <c r="J2026" s="128">
        <v>132000</v>
      </c>
      <c r="K2026" s="127" t="s">
        <v>466</v>
      </c>
      <c r="L2026" s="151">
        <v>132124</v>
      </c>
      <c r="M2026" s="128">
        <v>0</v>
      </c>
      <c r="N2026" s="127" t="s">
        <v>468</v>
      </c>
      <c r="O2026" s="127" t="s">
        <v>457</v>
      </c>
      <c r="P2026" s="128">
        <v>-100499.81</v>
      </c>
      <c r="Q2026" s="128">
        <v>0</v>
      </c>
      <c r="R2026" s="128">
        <v>0</v>
      </c>
      <c r="S2026" s="128">
        <v>0</v>
      </c>
      <c r="T2026" s="128">
        <v>-100499.81</v>
      </c>
      <c r="U2026" s="128">
        <v>0</v>
      </c>
      <c r="V2026" s="128">
        <v>-100499.81</v>
      </c>
      <c r="W2026" s="128">
        <v>0</v>
      </c>
      <c r="X2026" s="128">
        <v>0</v>
      </c>
      <c r="Y2026" s="128">
        <v>0</v>
      </c>
      <c r="Z2026" s="128">
        <v>-100499.81</v>
      </c>
      <c r="AA2026" s="128">
        <v>0</v>
      </c>
      <c r="AB2026" s="126">
        <f t="shared" si="211"/>
        <v>1.0049980999999999E-2</v>
      </c>
      <c r="AC2026" s="122" t="s">
        <v>1838</v>
      </c>
      <c r="AD2026" s="123">
        <f t="shared" si="213"/>
        <v>1983.9723217250009</v>
      </c>
    </row>
    <row r="2027" spans="1:30" ht="12.75" hidden="1" customHeight="1">
      <c r="A2027" s="125" t="str">
        <f t="shared" si="208"/>
        <v>LIC35CCIL Settlement A/C</v>
      </c>
      <c r="B2027" s="125">
        <f>+IFERROR(VLOOKUP(L2027,'TB mapping'!A:D,4,0),0)</f>
        <v>0</v>
      </c>
      <c r="C2027" s="125">
        <f>+IFERROR(VLOOKUP(L2027,'TB mapping'!A:C,3,0),0)</f>
        <v>0</v>
      </c>
      <c r="D2027" s="125" t="str">
        <f t="shared" si="209"/>
        <v>LIC350</v>
      </c>
      <c r="E2027" s="125" t="str">
        <f t="shared" si="210"/>
        <v>LIC350</v>
      </c>
      <c r="F2027" s="158" t="str">
        <f>+VLOOKUP(H2027,'code mapping'!A:C,3,0)</f>
        <v>LIC35</v>
      </c>
      <c r="G2027" s="127" t="s">
        <v>453</v>
      </c>
      <c r="H2027" s="127" t="s">
        <v>752</v>
      </c>
      <c r="I2027" s="127" t="s">
        <v>753</v>
      </c>
      <c r="J2027" s="128">
        <v>140000</v>
      </c>
      <c r="K2027" s="127" t="s">
        <v>472</v>
      </c>
      <c r="L2027" s="151">
        <v>132237</v>
      </c>
      <c r="M2027" s="128">
        <v>0</v>
      </c>
      <c r="N2027" s="127" t="s">
        <v>473</v>
      </c>
      <c r="O2027" s="127" t="s">
        <v>457</v>
      </c>
      <c r="P2027" s="128">
        <v>0</v>
      </c>
      <c r="Q2027" s="128">
        <v>0.01</v>
      </c>
      <c r="R2027" s="128">
        <v>0</v>
      </c>
      <c r="S2027" s="128">
        <v>0</v>
      </c>
      <c r="T2027" s="128">
        <v>0</v>
      </c>
      <c r="U2027" s="128">
        <v>0.01</v>
      </c>
      <c r="V2027" s="128">
        <v>0</v>
      </c>
      <c r="W2027" s="128">
        <v>0.01</v>
      </c>
      <c r="X2027" s="128">
        <v>0</v>
      </c>
      <c r="Y2027" s="128">
        <v>0</v>
      </c>
      <c r="Z2027" s="128">
        <v>0</v>
      </c>
      <c r="AA2027" s="128">
        <v>0.01</v>
      </c>
      <c r="AB2027" s="126">
        <f t="shared" si="211"/>
        <v>-1.0000000000000001E-9</v>
      </c>
      <c r="AC2027" s="122" t="s">
        <v>1838</v>
      </c>
      <c r="AD2027" s="123">
        <f t="shared" si="213"/>
        <v>1983.9723217250009</v>
      </c>
    </row>
    <row r="2028" spans="1:30" ht="12.75" hidden="1" customHeight="1">
      <c r="A2028" s="125" t="str">
        <f t="shared" si="208"/>
        <v>LIC35HDFC Current Account</v>
      </c>
      <c r="B2028" s="125">
        <f>+IFERROR(VLOOKUP(L2028,'TB mapping'!A:D,4,0),0)</f>
        <v>0</v>
      </c>
      <c r="C2028" s="125">
        <f>+IFERROR(VLOOKUP(L2028,'TB mapping'!A:C,3,0),0)</f>
        <v>0</v>
      </c>
      <c r="D2028" s="125" t="str">
        <f t="shared" si="209"/>
        <v>LIC350</v>
      </c>
      <c r="E2028" s="125" t="str">
        <f t="shared" si="210"/>
        <v>LIC350</v>
      </c>
      <c r="F2028" s="158" t="str">
        <f>+VLOOKUP(H2028,'code mapping'!A:C,3,0)</f>
        <v>LIC35</v>
      </c>
      <c r="G2028" s="127" t="s">
        <v>453</v>
      </c>
      <c r="H2028" s="127" t="s">
        <v>752</v>
      </c>
      <c r="I2028" s="127" t="s">
        <v>753</v>
      </c>
      <c r="J2028" s="128">
        <v>140000</v>
      </c>
      <c r="K2028" s="127" t="s">
        <v>472</v>
      </c>
      <c r="L2028" s="151">
        <v>140330</v>
      </c>
      <c r="M2028" s="128">
        <v>0</v>
      </c>
      <c r="N2028" s="127" t="s">
        <v>475</v>
      </c>
      <c r="O2028" s="127" t="s">
        <v>457</v>
      </c>
      <c r="P2028" s="128">
        <v>-0.19</v>
      </c>
      <c r="Q2028" s="128">
        <v>0</v>
      </c>
      <c r="R2028" s="128">
        <v>0</v>
      </c>
      <c r="S2028" s="128">
        <v>0</v>
      </c>
      <c r="T2028" s="128">
        <v>-0.19</v>
      </c>
      <c r="U2028" s="128">
        <v>0</v>
      </c>
      <c r="V2028" s="128">
        <v>-0.19</v>
      </c>
      <c r="W2028" s="128">
        <v>0</v>
      </c>
      <c r="X2028" s="128">
        <v>0</v>
      </c>
      <c r="Y2028" s="128">
        <v>0</v>
      </c>
      <c r="Z2028" s="128">
        <v>-0.19</v>
      </c>
      <c r="AA2028" s="128">
        <v>0</v>
      </c>
      <c r="AB2028" s="126">
        <f t="shared" si="211"/>
        <v>1.9000000000000001E-8</v>
      </c>
      <c r="AC2028" s="122" t="s">
        <v>1838</v>
      </c>
      <c r="AD2028" s="123">
        <f t="shared" si="213"/>
        <v>1983.9723217250009</v>
      </c>
    </row>
    <row r="2029" spans="1:30" ht="12.75" hidden="1" customHeight="1">
      <c r="A2029" s="125" t="str">
        <f t="shared" si="208"/>
        <v>LIC35HDFC Bank Ltd</v>
      </c>
      <c r="B2029" s="125">
        <f>+IFERROR(VLOOKUP(L2029,'TB mapping'!A:D,4,0),0)</f>
        <v>0</v>
      </c>
      <c r="C2029" s="125">
        <f>+IFERROR(VLOOKUP(L2029,'TB mapping'!A:C,3,0),0)</f>
        <v>0</v>
      </c>
      <c r="D2029" s="125" t="str">
        <f t="shared" si="209"/>
        <v>LIC350</v>
      </c>
      <c r="E2029" s="125" t="str">
        <f t="shared" si="210"/>
        <v>LIC350</v>
      </c>
      <c r="F2029" s="158" t="str">
        <f>+VLOOKUP(H2029,'code mapping'!A:C,3,0)</f>
        <v>LIC35</v>
      </c>
      <c r="G2029" s="127" t="s">
        <v>453</v>
      </c>
      <c r="H2029" s="127" t="s">
        <v>752</v>
      </c>
      <c r="I2029" s="127" t="s">
        <v>753</v>
      </c>
      <c r="J2029" s="128">
        <v>140000</v>
      </c>
      <c r="K2029" s="127" t="s">
        <v>472</v>
      </c>
      <c r="L2029" s="151">
        <v>140372</v>
      </c>
      <c r="M2029" s="128">
        <v>0</v>
      </c>
      <c r="N2029" s="127" t="s">
        <v>476</v>
      </c>
      <c r="O2029" s="127" t="s">
        <v>457</v>
      </c>
      <c r="P2029" s="128">
        <v>0</v>
      </c>
      <c r="Q2029" s="128">
        <v>4.8500000000000005</v>
      </c>
      <c r="R2029" s="128">
        <v>0</v>
      </c>
      <c r="S2029" s="128">
        <v>0</v>
      </c>
      <c r="T2029" s="128">
        <v>0</v>
      </c>
      <c r="U2029" s="128">
        <v>4.8500000000000005</v>
      </c>
      <c r="V2029" s="128">
        <v>0</v>
      </c>
      <c r="W2029" s="128">
        <v>4.8500000000000005</v>
      </c>
      <c r="X2029" s="128">
        <v>0</v>
      </c>
      <c r="Y2029" s="128">
        <v>0</v>
      </c>
      <c r="Z2029" s="128">
        <v>0</v>
      </c>
      <c r="AA2029" s="128">
        <v>4.8500000000000005</v>
      </c>
      <c r="AB2029" s="126">
        <f t="shared" si="211"/>
        <v>-4.8500000000000002E-7</v>
      </c>
      <c r="AC2029" s="122" t="s">
        <v>1838</v>
      </c>
      <c r="AD2029" s="123">
        <f t="shared" si="213"/>
        <v>1983.9723217250009</v>
      </c>
    </row>
    <row r="2030" spans="1:30" ht="12.75" hidden="1" customHeight="1">
      <c r="A2030" s="125" t="str">
        <f t="shared" si="208"/>
        <v>LIC35Standard Chartered Bank- India</v>
      </c>
      <c r="B2030" s="125">
        <f>+IFERROR(VLOOKUP(L2030,'TB mapping'!A:D,4,0),0)</f>
        <v>0</v>
      </c>
      <c r="C2030" s="125">
        <f>+IFERROR(VLOOKUP(L2030,'TB mapping'!A:C,3,0),0)</f>
        <v>0</v>
      </c>
      <c r="D2030" s="125" t="str">
        <f t="shared" si="209"/>
        <v>LIC350</v>
      </c>
      <c r="E2030" s="125" t="str">
        <f t="shared" si="210"/>
        <v>LIC350</v>
      </c>
      <c r="F2030" s="158" t="str">
        <f>+VLOOKUP(H2030,'code mapping'!A:C,3,0)</f>
        <v>LIC35</v>
      </c>
      <c r="G2030" s="127" t="s">
        <v>453</v>
      </c>
      <c r="H2030" s="127" t="s">
        <v>752</v>
      </c>
      <c r="I2030" s="127" t="s">
        <v>753</v>
      </c>
      <c r="J2030" s="128">
        <v>140000</v>
      </c>
      <c r="K2030" s="127" t="s">
        <v>472</v>
      </c>
      <c r="L2030" s="151">
        <v>140500</v>
      </c>
      <c r="M2030" s="128">
        <v>0</v>
      </c>
      <c r="N2030" s="127" t="s">
        <v>477</v>
      </c>
      <c r="O2030" s="127" t="s">
        <v>457</v>
      </c>
      <c r="P2030" s="128">
        <v>-37379.160000000003</v>
      </c>
      <c r="Q2030" s="128">
        <v>0</v>
      </c>
      <c r="R2030" s="128">
        <v>0</v>
      </c>
      <c r="S2030" s="128">
        <v>0</v>
      </c>
      <c r="T2030" s="128">
        <v>-37379.160000000003</v>
      </c>
      <c r="U2030" s="128">
        <v>0</v>
      </c>
      <c r="V2030" s="128">
        <v>-37379.160000000003</v>
      </c>
      <c r="W2030" s="128">
        <v>0</v>
      </c>
      <c r="X2030" s="128">
        <v>0</v>
      </c>
      <c r="Y2030" s="128">
        <v>0</v>
      </c>
      <c r="Z2030" s="128">
        <v>-37379.160000000003</v>
      </c>
      <c r="AA2030" s="128">
        <v>0</v>
      </c>
      <c r="AB2030" s="126">
        <f t="shared" si="211"/>
        <v>3.7379160000000004E-3</v>
      </c>
      <c r="AC2030" s="122" t="s">
        <v>1838</v>
      </c>
      <c r="AD2030" s="123">
        <f t="shared" si="213"/>
        <v>1983.9723217250009</v>
      </c>
    </row>
    <row r="2031" spans="1:30" ht="12.75" hidden="1" customHeight="1">
      <c r="A2031" s="125" t="str">
        <f t="shared" si="208"/>
        <v>LIC35Amort Receivable - CBLO</v>
      </c>
      <c r="B2031" s="125">
        <f>+IFERROR(VLOOKUP(L2031,'TB mapping'!A:D,4,0),0)</f>
        <v>0</v>
      </c>
      <c r="C2031" s="125">
        <f>+IFERROR(VLOOKUP(L2031,'TB mapping'!A:C,3,0),0)</f>
        <v>0</v>
      </c>
      <c r="D2031" s="125" t="str">
        <f t="shared" si="209"/>
        <v>LIC350</v>
      </c>
      <c r="E2031" s="125" t="str">
        <f t="shared" si="210"/>
        <v>LIC350</v>
      </c>
      <c r="F2031" s="158" t="str">
        <f>+VLOOKUP(H2031,'code mapping'!A:C,3,0)</f>
        <v>LIC35</v>
      </c>
      <c r="G2031" s="127" t="s">
        <v>453</v>
      </c>
      <c r="H2031" s="127" t="s">
        <v>752</v>
      </c>
      <c r="I2031" s="127" t="s">
        <v>753</v>
      </c>
      <c r="J2031" s="128">
        <v>152000</v>
      </c>
      <c r="K2031" s="127" t="s">
        <v>478</v>
      </c>
      <c r="L2031" s="151">
        <v>152232</v>
      </c>
      <c r="M2031" s="128">
        <v>0</v>
      </c>
      <c r="N2031" s="127" t="s">
        <v>482</v>
      </c>
      <c r="O2031" s="127" t="s">
        <v>457</v>
      </c>
      <c r="P2031" s="128">
        <v>-24920.57</v>
      </c>
      <c r="Q2031" s="128">
        <v>0</v>
      </c>
      <c r="R2031" s="128">
        <v>0</v>
      </c>
      <c r="S2031" s="128">
        <v>0</v>
      </c>
      <c r="T2031" s="128">
        <v>-24920.57</v>
      </c>
      <c r="U2031" s="128">
        <v>0</v>
      </c>
      <c r="V2031" s="128">
        <v>-24920.57</v>
      </c>
      <c r="W2031" s="128">
        <v>0</v>
      </c>
      <c r="X2031" s="128">
        <v>0</v>
      </c>
      <c r="Y2031" s="128">
        <v>0</v>
      </c>
      <c r="Z2031" s="128">
        <v>-24920.57</v>
      </c>
      <c r="AA2031" s="128">
        <v>0</v>
      </c>
      <c r="AB2031" s="126">
        <f t="shared" si="211"/>
        <v>2.4920569999999998E-3</v>
      </c>
      <c r="AC2031" s="122" t="s">
        <v>1838</v>
      </c>
      <c r="AD2031" s="123">
        <f t="shared" si="213"/>
        <v>1983.9723217250009</v>
      </c>
    </row>
    <row r="2032" spans="1:30" ht="12.75" hidden="1" customHeight="1">
      <c r="A2032" s="125" t="str">
        <f t="shared" si="208"/>
        <v>LIC35Prov Unr P/L - Equities</v>
      </c>
      <c r="B2032" s="125">
        <f>+IFERROR(VLOOKUP(L2032,'TB mapping'!A:D,4,0),0)</f>
        <v>0</v>
      </c>
      <c r="C2032" s="125">
        <f>+IFERROR(VLOOKUP(L2032,'TB mapping'!A:C,3,0),0)</f>
        <v>0</v>
      </c>
      <c r="D2032" s="125" t="str">
        <f t="shared" si="209"/>
        <v>LIC350</v>
      </c>
      <c r="E2032" s="125" t="str">
        <f t="shared" si="210"/>
        <v>LIC350</v>
      </c>
      <c r="F2032" s="158" t="str">
        <f>+VLOOKUP(H2032,'code mapping'!A:C,3,0)</f>
        <v>LIC35</v>
      </c>
      <c r="G2032" s="127" t="s">
        <v>453</v>
      </c>
      <c r="H2032" s="127" t="s">
        <v>752</v>
      </c>
      <c r="I2032" s="127" t="s">
        <v>753</v>
      </c>
      <c r="J2032" s="128">
        <v>160000</v>
      </c>
      <c r="K2032" s="127" t="s">
        <v>483</v>
      </c>
      <c r="L2032" s="151">
        <v>161100</v>
      </c>
      <c r="M2032" s="128">
        <v>0</v>
      </c>
      <c r="N2032" s="127" t="s">
        <v>595</v>
      </c>
      <c r="O2032" s="127" t="s">
        <v>457</v>
      </c>
      <c r="P2032" s="128">
        <v>0</v>
      </c>
      <c r="Q2032" s="128">
        <v>4830879.93</v>
      </c>
      <c r="R2032" s="128">
        <v>0</v>
      </c>
      <c r="S2032" s="128">
        <v>0</v>
      </c>
      <c r="T2032" s="128">
        <v>0</v>
      </c>
      <c r="U2032" s="128">
        <v>4830879.93</v>
      </c>
      <c r="V2032" s="128">
        <v>0</v>
      </c>
      <c r="W2032" s="128">
        <v>4830879.93</v>
      </c>
      <c r="X2032" s="128">
        <v>0</v>
      </c>
      <c r="Y2032" s="128">
        <v>0</v>
      </c>
      <c r="Z2032" s="128">
        <v>0</v>
      </c>
      <c r="AA2032" s="128">
        <v>4830879.93</v>
      </c>
      <c r="AB2032" s="126">
        <f t="shared" si="211"/>
        <v>-0.48308799299999999</v>
      </c>
      <c r="AC2032" s="122" t="s">
        <v>1838</v>
      </c>
      <c r="AD2032" s="123">
        <f t="shared" si="213"/>
        <v>1983.9723217250009</v>
      </c>
    </row>
    <row r="2033" spans="1:30" ht="12.75" hidden="1" customHeight="1">
      <c r="A2033" s="125" t="str">
        <f t="shared" si="208"/>
        <v>LIC35Prov Unr P/L - Fund of Funds</v>
      </c>
      <c r="B2033" s="125">
        <f>+IFERROR(VLOOKUP(L2033,'TB mapping'!A:D,4,0),0)</f>
        <v>0</v>
      </c>
      <c r="C2033" s="125">
        <f>+IFERROR(VLOOKUP(L2033,'TB mapping'!A:C,3,0),0)</f>
        <v>0</v>
      </c>
      <c r="D2033" s="125" t="str">
        <f t="shared" si="209"/>
        <v>LIC350</v>
      </c>
      <c r="E2033" s="125" t="str">
        <f t="shared" si="210"/>
        <v>LIC350</v>
      </c>
      <c r="F2033" s="158" t="str">
        <f>+VLOOKUP(H2033,'code mapping'!A:C,3,0)</f>
        <v>LIC35</v>
      </c>
      <c r="G2033" s="127" t="s">
        <v>453</v>
      </c>
      <c r="H2033" s="127" t="s">
        <v>752</v>
      </c>
      <c r="I2033" s="127" t="s">
        <v>753</v>
      </c>
      <c r="J2033" s="128">
        <v>160000</v>
      </c>
      <c r="K2033" s="127" t="s">
        <v>483</v>
      </c>
      <c r="L2033" s="151">
        <v>165100</v>
      </c>
      <c r="M2033" s="128">
        <v>0</v>
      </c>
      <c r="N2033" s="127" t="s">
        <v>754</v>
      </c>
      <c r="O2033" s="127" t="s">
        <v>457</v>
      </c>
      <c r="P2033" s="128">
        <v>-101168.69</v>
      </c>
      <c r="Q2033" s="128">
        <v>0</v>
      </c>
      <c r="R2033" s="128">
        <v>0</v>
      </c>
      <c r="S2033" s="128">
        <v>0</v>
      </c>
      <c r="T2033" s="128">
        <v>-101168.69</v>
      </c>
      <c r="U2033" s="128">
        <v>0</v>
      </c>
      <c r="V2033" s="128">
        <v>-101168.69</v>
      </c>
      <c r="W2033" s="128">
        <v>0</v>
      </c>
      <c r="X2033" s="128">
        <v>0</v>
      </c>
      <c r="Y2033" s="128">
        <v>0</v>
      </c>
      <c r="Z2033" s="128">
        <v>-101168.69</v>
      </c>
      <c r="AA2033" s="128">
        <v>0</v>
      </c>
      <c r="AB2033" s="126">
        <f t="shared" si="211"/>
        <v>1.0116869000000001E-2</v>
      </c>
      <c r="AC2033" s="122" t="s">
        <v>1838</v>
      </c>
      <c r="AD2033" s="123">
        <f t="shared" si="213"/>
        <v>1983.9723217250009</v>
      </c>
    </row>
    <row r="2034" spans="1:30" ht="12.75" hidden="1" customHeight="1">
      <c r="A2034" s="125" t="str">
        <f t="shared" si="208"/>
        <v>LIC35Payable - Withhold Brokerage</v>
      </c>
      <c r="B2034" s="125">
        <f>+IFERROR(VLOOKUP(L2034,'TB mapping'!A:D,4,0),0)</f>
        <v>0</v>
      </c>
      <c r="C2034" s="125">
        <f>+IFERROR(VLOOKUP(L2034,'TB mapping'!A:C,3,0),0)</f>
        <v>0</v>
      </c>
      <c r="D2034" s="125" t="str">
        <f t="shared" si="209"/>
        <v>LIC350</v>
      </c>
      <c r="E2034" s="125" t="str">
        <f t="shared" si="210"/>
        <v>LIC350</v>
      </c>
      <c r="F2034" s="158" t="str">
        <f>+VLOOKUP(H2034,'code mapping'!A:C,3,0)</f>
        <v>LIC35</v>
      </c>
      <c r="G2034" s="127" t="s">
        <v>453</v>
      </c>
      <c r="H2034" s="127" t="s">
        <v>752</v>
      </c>
      <c r="I2034" s="127" t="s">
        <v>753</v>
      </c>
      <c r="J2034" s="128">
        <v>212000</v>
      </c>
      <c r="K2034" s="127" t="s">
        <v>487</v>
      </c>
      <c r="L2034" s="151">
        <v>210164</v>
      </c>
      <c r="M2034" s="128">
        <v>0</v>
      </c>
      <c r="N2034" s="127" t="s">
        <v>488</v>
      </c>
      <c r="O2034" s="127" t="s">
        <v>457</v>
      </c>
      <c r="P2034" s="128">
        <v>0</v>
      </c>
      <c r="Q2034" s="128">
        <v>81728.69</v>
      </c>
      <c r="R2034" s="128">
        <v>0</v>
      </c>
      <c r="S2034" s="128">
        <v>0</v>
      </c>
      <c r="T2034" s="128">
        <v>0</v>
      </c>
      <c r="U2034" s="128">
        <v>81728.69</v>
      </c>
      <c r="V2034" s="128">
        <v>0</v>
      </c>
      <c r="W2034" s="128">
        <v>81728.69</v>
      </c>
      <c r="X2034" s="128">
        <v>0</v>
      </c>
      <c r="Y2034" s="128">
        <v>0</v>
      </c>
      <c r="Z2034" s="128">
        <v>0</v>
      </c>
      <c r="AA2034" s="128">
        <v>81728.69</v>
      </c>
      <c r="AB2034" s="126">
        <f t="shared" si="211"/>
        <v>-8.172869000000001E-3</v>
      </c>
      <c r="AC2034" s="122" t="s">
        <v>1838</v>
      </c>
      <c r="AD2034" s="123">
        <f t="shared" si="213"/>
        <v>1983.9723217250009</v>
      </c>
    </row>
    <row r="2035" spans="1:30" ht="12.75" hidden="1" customHeight="1">
      <c r="A2035" s="125" t="str">
        <f t="shared" si="208"/>
        <v>LIC35CGST Payable</v>
      </c>
      <c r="B2035" s="125">
        <f>+IFERROR(VLOOKUP(L2035,'TB mapping'!A:D,4,0),0)</f>
        <v>0</v>
      </c>
      <c r="C2035" s="125">
        <f>+IFERROR(VLOOKUP(L2035,'TB mapping'!A:C,3,0),0)</f>
        <v>0</v>
      </c>
      <c r="D2035" s="125" t="str">
        <f t="shared" si="209"/>
        <v>LIC350</v>
      </c>
      <c r="E2035" s="125" t="str">
        <f t="shared" si="210"/>
        <v>LIC350</v>
      </c>
      <c r="F2035" s="158" t="str">
        <f>+VLOOKUP(H2035,'code mapping'!A:C,3,0)</f>
        <v>LIC35</v>
      </c>
      <c r="G2035" s="127" t="s">
        <v>453</v>
      </c>
      <c r="H2035" s="127" t="s">
        <v>752</v>
      </c>
      <c r="I2035" s="127" t="s">
        <v>753</v>
      </c>
      <c r="J2035" s="128">
        <v>212000</v>
      </c>
      <c r="K2035" s="127" t="s">
        <v>487</v>
      </c>
      <c r="L2035" s="151">
        <v>212112</v>
      </c>
      <c r="M2035" s="128">
        <v>0</v>
      </c>
      <c r="N2035" s="127" t="s">
        <v>490</v>
      </c>
      <c r="O2035" s="127" t="s">
        <v>457</v>
      </c>
      <c r="P2035" s="128">
        <v>0</v>
      </c>
      <c r="Q2035" s="128">
        <v>7.29</v>
      </c>
      <c r="R2035" s="128">
        <v>0</v>
      </c>
      <c r="S2035" s="128">
        <v>0</v>
      </c>
      <c r="T2035" s="128">
        <v>0</v>
      </c>
      <c r="U2035" s="128">
        <v>7.29</v>
      </c>
      <c r="V2035" s="128">
        <v>0</v>
      </c>
      <c r="W2035" s="128">
        <v>7.29</v>
      </c>
      <c r="X2035" s="128">
        <v>0</v>
      </c>
      <c r="Y2035" s="128">
        <v>0</v>
      </c>
      <c r="Z2035" s="128">
        <v>0</v>
      </c>
      <c r="AA2035" s="128">
        <v>7.29</v>
      </c>
      <c r="AB2035" s="126">
        <f t="shared" si="211"/>
        <v>-7.2900000000000003E-7</v>
      </c>
      <c r="AC2035" s="122" t="s">
        <v>1838</v>
      </c>
      <c r="AD2035" s="123">
        <f t="shared" si="213"/>
        <v>1983.9723217250009</v>
      </c>
    </row>
    <row r="2036" spans="1:30" ht="12.75" hidden="1" customHeight="1">
      <c r="A2036" s="125" t="str">
        <f t="shared" si="208"/>
        <v>LIC35SGST Payable</v>
      </c>
      <c r="B2036" s="125">
        <f>+IFERROR(VLOOKUP(L2036,'TB mapping'!A:D,4,0),0)</f>
        <v>0</v>
      </c>
      <c r="C2036" s="125">
        <f>+IFERROR(VLOOKUP(L2036,'TB mapping'!A:C,3,0),0)</f>
        <v>0</v>
      </c>
      <c r="D2036" s="125" t="str">
        <f t="shared" si="209"/>
        <v>LIC350</v>
      </c>
      <c r="E2036" s="125" t="str">
        <f t="shared" si="210"/>
        <v>LIC350</v>
      </c>
      <c r="F2036" s="158" t="str">
        <f>+VLOOKUP(H2036,'code mapping'!A:C,3,0)</f>
        <v>LIC35</v>
      </c>
      <c r="G2036" s="127" t="s">
        <v>453</v>
      </c>
      <c r="H2036" s="127" t="s">
        <v>752</v>
      </c>
      <c r="I2036" s="127" t="s">
        <v>753</v>
      </c>
      <c r="J2036" s="128">
        <v>212000</v>
      </c>
      <c r="K2036" s="127" t="s">
        <v>487</v>
      </c>
      <c r="L2036" s="151">
        <v>212113</v>
      </c>
      <c r="M2036" s="128">
        <v>0</v>
      </c>
      <c r="N2036" s="127" t="s">
        <v>491</v>
      </c>
      <c r="O2036" s="127" t="s">
        <v>457</v>
      </c>
      <c r="P2036" s="128">
        <v>0</v>
      </c>
      <c r="Q2036" s="128">
        <v>7.29</v>
      </c>
      <c r="R2036" s="128">
        <v>0</v>
      </c>
      <c r="S2036" s="128">
        <v>0</v>
      </c>
      <c r="T2036" s="128">
        <v>0</v>
      </c>
      <c r="U2036" s="128">
        <v>7.29</v>
      </c>
      <c r="V2036" s="128">
        <v>0</v>
      </c>
      <c r="W2036" s="128">
        <v>7.29</v>
      </c>
      <c r="X2036" s="128">
        <v>0</v>
      </c>
      <c r="Y2036" s="128">
        <v>0</v>
      </c>
      <c r="Z2036" s="128">
        <v>0</v>
      </c>
      <c r="AA2036" s="128">
        <v>7.29</v>
      </c>
      <c r="AB2036" s="126">
        <f t="shared" si="211"/>
        <v>-7.2900000000000003E-7</v>
      </c>
      <c r="AC2036" s="122" t="s">
        <v>1838</v>
      </c>
      <c r="AD2036" s="123">
        <f t="shared" si="213"/>
        <v>1983.9723217250009</v>
      </c>
    </row>
    <row r="2037" spans="1:30" ht="12.75" hidden="1" customHeight="1">
      <c r="A2037" s="125" t="str">
        <f t="shared" si="208"/>
        <v>LIC35IGST Payable</v>
      </c>
      <c r="B2037" s="125">
        <f>+IFERROR(VLOOKUP(L2037,'TB mapping'!A:D,4,0),0)</f>
        <v>0</v>
      </c>
      <c r="C2037" s="125">
        <f>+IFERROR(VLOOKUP(L2037,'TB mapping'!A:C,3,0),0)</f>
        <v>0</v>
      </c>
      <c r="D2037" s="125" t="str">
        <f t="shared" si="209"/>
        <v>LIC350</v>
      </c>
      <c r="E2037" s="125" t="str">
        <f t="shared" si="210"/>
        <v>LIC350</v>
      </c>
      <c r="F2037" s="158" t="str">
        <f>+VLOOKUP(H2037,'code mapping'!A:C,3,0)</f>
        <v>LIC35</v>
      </c>
      <c r="G2037" s="127" t="s">
        <v>453</v>
      </c>
      <c r="H2037" s="127" t="s">
        <v>752</v>
      </c>
      <c r="I2037" s="127" t="s">
        <v>753</v>
      </c>
      <c r="J2037" s="128">
        <v>212000</v>
      </c>
      <c r="K2037" s="127" t="s">
        <v>487</v>
      </c>
      <c r="L2037" s="151">
        <v>212114</v>
      </c>
      <c r="M2037" s="128">
        <v>0</v>
      </c>
      <c r="N2037" s="127" t="s">
        <v>492</v>
      </c>
      <c r="O2037" s="127" t="s">
        <v>457</v>
      </c>
      <c r="P2037" s="128">
        <v>0</v>
      </c>
      <c r="Q2037" s="128">
        <v>1501.3</v>
      </c>
      <c r="R2037" s="128">
        <v>0</v>
      </c>
      <c r="S2037" s="128">
        <v>0</v>
      </c>
      <c r="T2037" s="128">
        <v>0</v>
      </c>
      <c r="U2037" s="128">
        <v>1501.3</v>
      </c>
      <c r="V2037" s="128">
        <v>0</v>
      </c>
      <c r="W2037" s="128">
        <v>1501.3</v>
      </c>
      <c r="X2037" s="128">
        <v>0</v>
      </c>
      <c r="Y2037" s="128">
        <v>0</v>
      </c>
      <c r="Z2037" s="128">
        <v>0</v>
      </c>
      <c r="AA2037" s="128">
        <v>1501.3</v>
      </c>
      <c r="AB2037" s="126">
        <f t="shared" si="211"/>
        <v>-1.5013E-4</v>
      </c>
      <c r="AC2037" s="122" t="s">
        <v>1838</v>
      </c>
      <c r="AD2037" s="123">
        <f t="shared" si="213"/>
        <v>1983.9723217250009</v>
      </c>
    </row>
    <row r="2038" spans="1:30" ht="12.75" hidden="1" customHeight="1">
      <c r="A2038" s="125" t="str">
        <f t="shared" si="208"/>
        <v>LIC35Redemption Payable Ct</v>
      </c>
      <c r="B2038" s="125">
        <f>+IFERROR(VLOOKUP(L2038,'TB mapping'!A:D,4,0),0)</f>
        <v>0</v>
      </c>
      <c r="C2038" s="125">
        <f>+IFERROR(VLOOKUP(L2038,'TB mapping'!A:C,3,0),0)</f>
        <v>0</v>
      </c>
      <c r="D2038" s="125" t="str">
        <f t="shared" si="209"/>
        <v>LIC350</v>
      </c>
      <c r="E2038" s="125" t="str">
        <f t="shared" si="210"/>
        <v>LIC350</v>
      </c>
      <c r="F2038" s="158" t="str">
        <f>+VLOOKUP(H2038,'code mapping'!A:C,3,0)</f>
        <v>LIC35</v>
      </c>
      <c r="G2038" s="127" t="s">
        <v>453</v>
      </c>
      <c r="H2038" s="127" t="s">
        <v>752</v>
      </c>
      <c r="I2038" s="127" t="s">
        <v>753</v>
      </c>
      <c r="J2038" s="128">
        <v>212000</v>
      </c>
      <c r="K2038" s="127" t="s">
        <v>487</v>
      </c>
      <c r="L2038" s="151">
        <v>212121</v>
      </c>
      <c r="M2038" s="128">
        <v>0</v>
      </c>
      <c r="N2038" s="127" t="s">
        <v>493</v>
      </c>
      <c r="O2038" s="127" t="s">
        <v>457</v>
      </c>
      <c r="P2038" s="128">
        <v>0</v>
      </c>
      <c r="Q2038" s="128">
        <v>225093.81</v>
      </c>
      <c r="R2038" s="128">
        <v>0</v>
      </c>
      <c r="S2038" s="128">
        <v>0</v>
      </c>
      <c r="T2038" s="128">
        <v>0</v>
      </c>
      <c r="U2038" s="128">
        <v>225093.81</v>
      </c>
      <c r="V2038" s="128">
        <v>0</v>
      </c>
      <c r="W2038" s="128">
        <v>225093.81</v>
      </c>
      <c r="X2038" s="128">
        <v>0</v>
      </c>
      <c r="Y2038" s="128">
        <v>0</v>
      </c>
      <c r="Z2038" s="128">
        <v>0</v>
      </c>
      <c r="AA2038" s="128">
        <v>225093.81</v>
      </c>
      <c r="AB2038" s="126">
        <f t="shared" si="211"/>
        <v>-2.2509380999999998E-2</v>
      </c>
      <c r="AC2038" s="122" t="s">
        <v>1838</v>
      </c>
      <c r="AD2038" s="123">
        <f t="shared" si="213"/>
        <v>1983.9723217250009</v>
      </c>
    </row>
    <row r="2039" spans="1:30" ht="12.75" hidden="1" customHeight="1">
      <c r="A2039" s="125" t="str">
        <f t="shared" si="208"/>
        <v>LIC35Switch Out Payable Ct</v>
      </c>
      <c r="B2039" s="125">
        <f>+IFERROR(VLOOKUP(L2039,'TB mapping'!A:D,4,0),0)</f>
        <v>0</v>
      </c>
      <c r="C2039" s="125">
        <f>+IFERROR(VLOOKUP(L2039,'TB mapping'!A:C,3,0),0)</f>
        <v>0</v>
      </c>
      <c r="D2039" s="125" t="str">
        <f t="shared" si="209"/>
        <v>LIC350</v>
      </c>
      <c r="E2039" s="125" t="str">
        <f t="shared" si="210"/>
        <v>LIC350</v>
      </c>
      <c r="F2039" s="158" t="str">
        <f>+VLOOKUP(H2039,'code mapping'!A:C,3,0)</f>
        <v>LIC35</v>
      </c>
      <c r="G2039" s="127" t="s">
        <v>453</v>
      </c>
      <c r="H2039" s="127" t="s">
        <v>752</v>
      </c>
      <c r="I2039" s="127" t="s">
        <v>753</v>
      </c>
      <c r="J2039" s="128">
        <v>212000</v>
      </c>
      <c r="K2039" s="127" t="s">
        <v>487</v>
      </c>
      <c r="L2039" s="151">
        <v>212124</v>
      </c>
      <c r="M2039" s="128">
        <v>0</v>
      </c>
      <c r="N2039" s="127" t="s">
        <v>494</v>
      </c>
      <c r="O2039" s="127" t="s">
        <v>457</v>
      </c>
      <c r="P2039" s="128">
        <v>0</v>
      </c>
      <c r="Q2039" s="128">
        <v>0.18</v>
      </c>
      <c r="R2039" s="128">
        <v>0</v>
      </c>
      <c r="S2039" s="128">
        <v>0</v>
      </c>
      <c r="T2039" s="128">
        <v>0</v>
      </c>
      <c r="U2039" s="128">
        <v>0.18</v>
      </c>
      <c r="V2039" s="128">
        <v>0</v>
      </c>
      <c r="W2039" s="128">
        <v>0.18</v>
      </c>
      <c r="X2039" s="128">
        <v>0</v>
      </c>
      <c r="Y2039" s="128">
        <v>0</v>
      </c>
      <c r="Z2039" s="128">
        <v>0</v>
      </c>
      <c r="AA2039" s="128">
        <v>0.18</v>
      </c>
      <c r="AB2039" s="126">
        <f t="shared" si="211"/>
        <v>-1.7999999999999999E-8</v>
      </c>
      <c r="AC2039" s="122" t="s">
        <v>1838</v>
      </c>
      <c r="AD2039" s="123">
        <f t="shared" si="213"/>
        <v>1983.9723217250009</v>
      </c>
    </row>
    <row r="2040" spans="1:30" ht="12.75" hidden="1" customHeight="1">
      <c r="A2040" s="125" t="str">
        <f t="shared" si="208"/>
        <v>LIC35Audit Fee-Payable</v>
      </c>
      <c r="B2040" s="125">
        <f>+IFERROR(VLOOKUP(L2040,'TB mapping'!A:D,4,0),0)</f>
        <v>0</v>
      </c>
      <c r="C2040" s="125">
        <f>+IFERROR(VLOOKUP(L2040,'TB mapping'!A:C,3,0),0)</f>
        <v>0</v>
      </c>
      <c r="D2040" s="125" t="str">
        <f t="shared" si="209"/>
        <v>LIC350</v>
      </c>
      <c r="E2040" s="125" t="str">
        <f t="shared" si="210"/>
        <v>LIC350</v>
      </c>
      <c r="F2040" s="158" t="str">
        <f>+VLOOKUP(H2040,'code mapping'!A:C,3,0)</f>
        <v>LIC35</v>
      </c>
      <c r="G2040" s="127" t="s">
        <v>453</v>
      </c>
      <c r="H2040" s="127" t="s">
        <v>752</v>
      </c>
      <c r="I2040" s="127" t="s">
        <v>753</v>
      </c>
      <c r="J2040" s="128">
        <v>212000</v>
      </c>
      <c r="K2040" s="127" t="s">
        <v>487</v>
      </c>
      <c r="L2040" s="151">
        <v>212194</v>
      </c>
      <c r="M2040" s="128">
        <v>0</v>
      </c>
      <c r="N2040" s="127" t="s">
        <v>496</v>
      </c>
      <c r="O2040" s="127" t="s">
        <v>457</v>
      </c>
      <c r="P2040" s="128">
        <v>-237.75</v>
      </c>
      <c r="Q2040" s="128">
        <v>0</v>
      </c>
      <c r="R2040" s="128">
        <v>0</v>
      </c>
      <c r="S2040" s="128">
        <v>0</v>
      </c>
      <c r="T2040" s="128">
        <v>-237.75</v>
      </c>
      <c r="U2040" s="128">
        <v>0</v>
      </c>
      <c r="V2040" s="128">
        <v>-237.75</v>
      </c>
      <c r="W2040" s="128">
        <v>0</v>
      </c>
      <c r="X2040" s="128">
        <v>0</v>
      </c>
      <c r="Y2040" s="128">
        <v>0</v>
      </c>
      <c r="Z2040" s="128">
        <v>-237.75</v>
      </c>
      <c r="AA2040" s="128">
        <v>0</v>
      </c>
      <c r="AB2040" s="126">
        <f t="shared" si="211"/>
        <v>2.3774999999999999E-5</v>
      </c>
      <c r="AC2040" s="122" t="s">
        <v>1838</v>
      </c>
      <c r="AD2040" s="123">
        <f t="shared" si="213"/>
        <v>1983.9723217250009</v>
      </c>
    </row>
    <row r="2041" spans="1:30" ht="12.75" hidden="1" customHeight="1">
      <c r="A2041" s="125" t="str">
        <f t="shared" ref="A2041:A2104" si="214">+F2041&amp;N2041</f>
        <v>LIC35Other Exp- Payable</v>
      </c>
      <c r="B2041" s="125">
        <f>+IFERROR(VLOOKUP(L2041,'TB mapping'!A:D,4,0),0)</f>
        <v>0</v>
      </c>
      <c r="C2041" s="125">
        <f>+IFERROR(VLOOKUP(L2041,'TB mapping'!A:C,3,0),0)</f>
        <v>0</v>
      </c>
      <c r="D2041" s="125" t="str">
        <f t="shared" ref="D2041:D2104" si="215">+F2041&amp;B2041</f>
        <v>LIC350</v>
      </c>
      <c r="E2041" s="125" t="str">
        <f t="shared" ref="E2041:E2104" si="216">+F2041&amp;C2041</f>
        <v>LIC350</v>
      </c>
      <c r="F2041" s="158" t="str">
        <f>+VLOOKUP(H2041,'code mapping'!A:C,3,0)</f>
        <v>LIC35</v>
      </c>
      <c r="G2041" s="127" t="s">
        <v>453</v>
      </c>
      <c r="H2041" s="127" t="s">
        <v>752</v>
      </c>
      <c r="I2041" s="127" t="s">
        <v>753</v>
      </c>
      <c r="J2041" s="128">
        <v>212000</v>
      </c>
      <c r="K2041" s="127" t="s">
        <v>487</v>
      </c>
      <c r="L2041" s="151">
        <v>212220</v>
      </c>
      <c r="M2041" s="128">
        <v>0</v>
      </c>
      <c r="N2041" s="127" t="s">
        <v>497</v>
      </c>
      <c r="O2041" s="127" t="s">
        <v>457</v>
      </c>
      <c r="P2041" s="128">
        <v>0</v>
      </c>
      <c r="Q2041" s="128">
        <v>287914.14</v>
      </c>
      <c r="R2041" s="128">
        <v>0</v>
      </c>
      <c r="S2041" s="128">
        <v>0</v>
      </c>
      <c r="T2041" s="128">
        <v>0</v>
      </c>
      <c r="U2041" s="128">
        <v>287914.14</v>
      </c>
      <c r="V2041" s="128">
        <v>0</v>
      </c>
      <c r="W2041" s="128">
        <v>287914.14</v>
      </c>
      <c r="X2041" s="128">
        <v>0</v>
      </c>
      <c r="Y2041" s="128">
        <v>0</v>
      </c>
      <c r="Z2041" s="128">
        <v>0</v>
      </c>
      <c r="AA2041" s="128">
        <v>287914.14</v>
      </c>
      <c r="AB2041" s="126">
        <f t="shared" ref="AB2041:AB2104" si="217">SUM(-Z2041-AA2041)/10^7</f>
        <v>-2.8791414000000001E-2</v>
      </c>
      <c r="AC2041" s="122" t="s">
        <v>1838</v>
      </c>
      <c r="AD2041" s="123">
        <f t="shared" si="213"/>
        <v>1983.9723217250009</v>
      </c>
    </row>
    <row r="2042" spans="1:30" ht="12.75" hidden="1" customHeight="1">
      <c r="A2042" s="125" t="str">
        <f t="shared" si="214"/>
        <v>LIC35Expense Allocation-Liab'ity Ac</v>
      </c>
      <c r="B2042" s="125">
        <f>+IFERROR(VLOOKUP(L2042,'TB mapping'!A:D,4,0),0)</f>
        <v>0</v>
      </c>
      <c r="C2042" s="125">
        <f>+IFERROR(VLOOKUP(L2042,'TB mapping'!A:C,3,0),0)</f>
        <v>0</v>
      </c>
      <c r="D2042" s="125" t="str">
        <f t="shared" si="215"/>
        <v>LIC350</v>
      </c>
      <c r="E2042" s="125" t="str">
        <f t="shared" si="216"/>
        <v>LIC350</v>
      </c>
      <c r="F2042" s="158" t="str">
        <f>+VLOOKUP(H2042,'code mapping'!A:C,3,0)</f>
        <v>LIC35</v>
      </c>
      <c r="G2042" s="127" t="s">
        <v>453</v>
      </c>
      <c r="H2042" s="127" t="s">
        <v>752</v>
      </c>
      <c r="I2042" s="127" t="s">
        <v>753</v>
      </c>
      <c r="J2042" s="128">
        <v>212000</v>
      </c>
      <c r="K2042" s="127" t="s">
        <v>487</v>
      </c>
      <c r="L2042" s="151">
        <v>212223</v>
      </c>
      <c r="M2042" s="128">
        <v>0</v>
      </c>
      <c r="N2042" s="127" t="s">
        <v>498</v>
      </c>
      <c r="O2042" s="127" t="s">
        <v>457</v>
      </c>
      <c r="P2042" s="128">
        <v>-200778.07</v>
      </c>
      <c r="Q2042" s="128">
        <v>0</v>
      </c>
      <c r="R2042" s="128">
        <v>0</v>
      </c>
      <c r="S2042" s="128">
        <v>0</v>
      </c>
      <c r="T2042" s="128">
        <v>-200778.07</v>
      </c>
      <c r="U2042" s="128">
        <v>0</v>
      </c>
      <c r="V2042" s="128">
        <v>-200778.07</v>
      </c>
      <c r="W2042" s="128">
        <v>0</v>
      </c>
      <c r="X2042" s="128">
        <v>0</v>
      </c>
      <c r="Y2042" s="128">
        <v>0</v>
      </c>
      <c r="Z2042" s="128">
        <v>-200778.07</v>
      </c>
      <c r="AA2042" s="128">
        <v>0</v>
      </c>
      <c r="AB2042" s="126">
        <f t="shared" si="217"/>
        <v>2.0077807E-2</v>
      </c>
      <c r="AC2042" s="122" t="s">
        <v>1838</v>
      </c>
      <c r="AD2042" s="123">
        <f t="shared" si="213"/>
        <v>1983.9723217250009</v>
      </c>
    </row>
    <row r="2043" spans="1:30" ht="12.75" hidden="1" customHeight="1">
      <c r="A2043" s="125" t="str">
        <f t="shared" si="214"/>
        <v>LIC35Exp- Additional TER Payable</v>
      </c>
      <c r="B2043" s="125">
        <f>+IFERROR(VLOOKUP(L2043,'TB mapping'!A:D,4,0),0)</f>
        <v>0</v>
      </c>
      <c r="C2043" s="125">
        <f>+IFERROR(VLOOKUP(L2043,'TB mapping'!A:C,3,0),0)</f>
        <v>0</v>
      </c>
      <c r="D2043" s="125" t="str">
        <f t="shared" si="215"/>
        <v>LIC350</v>
      </c>
      <c r="E2043" s="125" t="str">
        <f t="shared" si="216"/>
        <v>LIC350</v>
      </c>
      <c r="F2043" s="158" t="str">
        <f>+VLOOKUP(H2043,'code mapping'!A:C,3,0)</f>
        <v>LIC35</v>
      </c>
      <c r="G2043" s="127" t="s">
        <v>453</v>
      </c>
      <c r="H2043" s="127" t="s">
        <v>752</v>
      </c>
      <c r="I2043" s="127" t="s">
        <v>753</v>
      </c>
      <c r="J2043" s="128">
        <v>212000</v>
      </c>
      <c r="K2043" s="127" t="s">
        <v>487</v>
      </c>
      <c r="L2043" s="151">
        <v>212227</v>
      </c>
      <c r="M2043" s="128">
        <v>0</v>
      </c>
      <c r="N2043" s="127" t="s">
        <v>627</v>
      </c>
      <c r="O2043" s="127" t="s">
        <v>457</v>
      </c>
      <c r="P2043" s="128">
        <v>-104211.93</v>
      </c>
      <c r="Q2043" s="128">
        <v>0</v>
      </c>
      <c r="R2043" s="128">
        <v>0</v>
      </c>
      <c r="S2043" s="128">
        <v>0</v>
      </c>
      <c r="T2043" s="128">
        <v>-104211.93</v>
      </c>
      <c r="U2043" s="128">
        <v>0</v>
      </c>
      <c r="V2043" s="128">
        <v>-104211.93</v>
      </c>
      <c r="W2043" s="128">
        <v>0</v>
      </c>
      <c r="X2043" s="128">
        <v>0</v>
      </c>
      <c r="Y2043" s="128">
        <v>0</v>
      </c>
      <c r="Z2043" s="128">
        <v>-104211.93</v>
      </c>
      <c r="AA2043" s="128">
        <v>0</v>
      </c>
      <c r="AB2043" s="126">
        <f t="shared" si="217"/>
        <v>1.0421192999999999E-2</v>
      </c>
      <c r="AC2043" s="122" t="s">
        <v>1838</v>
      </c>
      <c r="AD2043" s="123">
        <f t="shared" si="213"/>
        <v>1983.9723217250009</v>
      </c>
    </row>
    <row r="2044" spans="1:30" ht="12.75" hidden="1" customHeight="1">
      <c r="A2044" s="125" t="str">
        <f t="shared" si="214"/>
        <v>LIC35STT Payable</v>
      </c>
      <c r="B2044" s="125">
        <f>+IFERROR(VLOOKUP(L2044,'TB mapping'!A:D,4,0),0)</f>
        <v>0</v>
      </c>
      <c r="C2044" s="125">
        <f>+IFERROR(VLOOKUP(L2044,'TB mapping'!A:C,3,0),0)</f>
        <v>0</v>
      </c>
      <c r="D2044" s="125" t="str">
        <f t="shared" si="215"/>
        <v>LIC350</v>
      </c>
      <c r="E2044" s="125" t="str">
        <f t="shared" si="216"/>
        <v>LIC350</v>
      </c>
      <c r="F2044" s="158" t="str">
        <f>+VLOOKUP(H2044,'code mapping'!A:C,3,0)</f>
        <v>LIC35</v>
      </c>
      <c r="G2044" s="127" t="s">
        <v>453</v>
      </c>
      <c r="H2044" s="127" t="s">
        <v>752</v>
      </c>
      <c r="I2044" s="127" t="s">
        <v>753</v>
      </c>
      <c r="J2044" s="128">
        <v>212000</v>
      </c>
      <c r="K2044" s="127" t="s">
        <v>487</v>
      </c>
      <c r="L2044" s="151">
        <v>212231</v>
      </c>
      <c r="M2044" s="128">
        <v>0</v>
      </c>
      <c r="N2044" s="127" t="s">
        <v>748</v>
      </c>
      <c r="O2044" s="127" t="s">
        <v>457</v>
      </c>
      <c r="P2044" s="128">
        <v>0</v>
      </c>
      <c r="Q2044" s="128">
        <v>30.51</v>
      </c>
      <c r="R2044" s="128">
        <v>0</v>
      </c>
      <c r="S2044" s="128">
        <v>0</v>
      </c>
      <c r="T2044" s="128">
        <v>0</v>
      </c>
      <c r="U2044" s="128">
        <v>30.51</v>
      </c>
      <c r="V2044" s="128">
        <v>0</v>
      </c>
      <c r="W2044" s="128">
        <v>30.51</v>
      </c>
      <c r="X2044" s="128">
        <v>0</v>
      </c>
      <c r="Y2044" s="128">
        <v>0</v>
      </c>
      <c r="Z2044" s="128">
        <v>0</v>
      </c>
      <c r="AA2044" s="128">
        <v>30.51</v>
      </c>
      <c r="AB2044" s="126">
        <f t="shared" si="217"/>
        <v>-3.0510000000000001E-6</v>
      </c>
      <c r="AC2044" s="122" t="s">
        <v>1838</v>
      </c>
      <c r="AD2044" s="123">
        <f t="shared" si="213"/>
        <v>1983.9723217250009</v>
      </c>
    </row>
    <row r="2045" spans="1:30" ht="12.75" hidden="1" customHeight="1">
      <c r="A2045" s="125" t="str">
        <f t="shared" si="214"/>
        <v>LIC35Investor Education Payable</v>
      </c>
      <c r="B2045" s="125">
        <f>+IFERROR(VLOOKUP(L2045,'TB mapping'!A:D,4,0),0)</f>
        <v>0</v>
      </c>
      <c r="C2045" s="125">
        <f>+IFERROR(VLOOKUP(L2045,'TB mapping'!A:C,3,0),0)</f>
        <v>0</v>
      </c>
      <c r="D2045" s="125" t="str">
        <f t="shared" si="215"/>
        <v>LIC350</v>
      </c>
      <c r="E2045" s="125" t="str">
        <f t="shared" si="216"/>
        <v>LIC350</v>
      </c>
      <c r="F2045" s="158" t="str">
        <f>+VLOOKUP(H2045,'code mapping'!A:C,3,0)</f>
        <v>LIC35</v>
      </c>
      <c r="G2045" s="127" t="s">
        <v>453</v>
      </c>
      <c r="H2045" s="127" t="s">
        <v>752</v>
      </c>
      <c r="I2045" s="127" t="s">
        <v>753</v>
      </c>
      <c r="J2045" s="128">
        <v>212000</v>
      </c>
      <c r="K2045" s="127" t="s">
        <v>487</v>
      </c>
      <c r="L2045" s="151">
        <v>212240</v>
      </c>
      <c r="M2045" s="128">
        <v>0</v>
      </c>
      <c r="N2045" s="127" t="s">
        <v>500</v>
      </c>
      <c r="O2045" s="127" t="s">
        <v>457</v>
      </c>
      <c r="P2045" s="128">
        <v>0</v>
      </c>
      <c r="Q2045" s="128">
        <v>1431.06</v>
      </c>
      <c r="R2045" s="128">
        <v>0</v>
      </c>
      <c r="S2045" s="128">
        <v>0</v>
      </c>
      <c r="T2045" s="128">
        <v>0</v>
      </c>
      <c r="U2045" s="128">
        <v>1431.06</v>
      </c>
      <c r="V2045" s="128">
        <v>0</v>
      </c>
      <c r="W2045" s="128">
        <v>1431.06</v>
      </c>
      <c r="X2045" s="128">
        <v>0</v>
      </c>
      <c r="Y2045" s="128">
        <v>0</v>
      </c>
      <c r="Z2045" s="128">
        <v>0</v>
      </c>
      <c r="AA2045" s="128">
        <v>1431.06</v>
      </c>
      <c r="AB2045" s="126">
        <f t="shared" si="217"/>
        <v>-1.4310599999999999E-4</v>
      </c>
      <c r="AC2045" s="122" t="s">
        <v>1838</v>
      </c>
      <c r="AD2045" s="123">
        <f t="shared" si="213"/>
        <v>1983.9723217250009</v>
      </c>
    </row>
    <row r="2046" spans="1:30" ht="12.75" hidden="1" customHeight="1">
      <c r="A2046" s="125" t="str">
        <f t="shared" si="214"/>
        <v>LIC35Transaction Charges Payable</v>
      </c>
      <c r="B2046" s="125">
        <f>+IFERROR(VLOOKUP(L2046,'TB mapping'!A:D,4,0),0)</f>
        <v>0</v>
      </c>
      <c r="C2046" s="125">
        <f>+IFERROR(VLOOKUP(L2046,'TB mapping'!A:C,3,0),0)</f>
        <v>0</v>
      </c>
      <c r="D2046" s="125" t="str">
        <f t="shared" si="215"/>
        <v>LIC350</v>
      </c>
      <c r="E2046" s="125" t="str">
        <f t="shared" si="216"/>
        <v>LIC350</v>
      </c>
      <c r="F2046" s="158" t="str">
        <f>+VLOOKUP(H2046,'code mapping'!A:C,3,0)</f>
        <v>LIC35</v>
      </c>
      <c r="G2046" s="127" t="s">
        <v>453</v>
      </c>
      <c r="H2046" s="127" t="s">
        <v>752</v>
      </c>
      <c r="I2046" s="127" t="s">
        <v>753</v>
      </c>
      <c r="J2046" s="128">
        <v>212000</v>
      </c>
      <c r="K2046" s="127" t="s">
        <v>487</v>
      </c>
      <c r="L2046" s="151">
        <v>212247</v>
      </c>
      <c r="M2046" s="128">
        <v>0</v>
      </c>
      <c r="N2046" s="127" t="s">
        <v>501</v>
      </c>
      <c r="O2046" s="127" t="s">
        <v>457</v>
      </c>
      <c r="P2046" s="128">
        <v>0</v>
      </c>
      <c r="Q2046" s="128">
        <v>125</v>
      </c>
      <c r="R2046" s="128">
        <v>0</v>
      </c>
      <c r="S2046" s="128">
        <v>0</v>
      </c>
      <c r="T2046" s="128">
        <v>0</v>
      </c>
      <c r="U2046" s="128">
        <v>125</v>
      </c>
      <c r="V2046" s="128">
        <v>0</v>
      </c>
      <c r="W2046" s="128">
        <v>125</v>
      </c>
      <c r="X2046" s="128">
        <v>0</v>
      </c>
      <c r="Y2046" s="128">
        <v>0</v>
      </c>
      <c r="Z2046" s="128">
        <v>0</v>
      </c>
      <c r="AA2046" s="128">
        <v>125</v>
      </c>
      <c r="AB2046" s="126">
        <f t="shared" si="217"/>
        <v>-1.2500000000000001E-5</v>
      </c>
      <c r="AC2046" s="122" t="s">
        <v>1838</v>
      </c>
      <c r="AD2046" s="123">
        <f t="shared" si="213"/>
        <v>1983.9723217250009</v>
      </c>
    </row>
    <row r="2047" spans="1:30" ht="12.75" hidden="1" customHeight="1">
      <c r="A2047" s="125" t="str">
        <f t="shared" si="214"/>
        <v>LIC35Brokerage &amp; Dist Exp Payable</v>
      </c>
      <c r="B2047" s="125">
        <f>+IFERROR(VLOOKUP(L2047,'TB mapping'!A:D,4,0),0)</f>
        <v>0</v>
      </c>
      <c r="C2047" s="125">
        <f>+IFERROR(VLOOKUP(L2047,'TB mapping'!A:C,3,0),0)</f>
        <v>0</v>
      </c>
      <c r="D2047" s="125" t="str">
        <f t="shared" si="215"/>
        <v>LIC350</v>
      </c>
      <c r="E2047" s="125" t="str">
        <f t="shared" si="216"/>
        <v>LIC350</v>
      </c>
      <c r="F2047" s="158" t="str">
        <f>+VLOOKUP(H2047,'code mapping'!A:C,3,0)</f>
        <v>LIC35</v>
      </c>
      <c r="G2047" s="127" t="s">
        <v>453</v>
      </c>
      <c r="H2047" s="127" t="s">
        <v>752</v>
      </c>
      <c r="I2047" s="127" t="s">
        <v>753</v>
      </c>
      <c r="J2047" s="128">
        <v>212000</v>
      </c>
      <c r="K2047" s="127" t="s">
        <v>487</v>
      </c>
      <c r="L2047" s="151">
        <v>212255</v>
      </c>
      <c r="M2047" s="128">
        <v>0</v>
      </c>
      <c r="N2047" s="127" t="s">
        <v>503</v>
      </c>
      <c r="O2047" s="127" t="s">
        <v>457</v>
      </c>
      <c r="P2047" s="128">
        <v>0</v>
      </c>
      <c r="Q2047" s="128">
        <v>383178.21</v>
      </c>
      <c r="R2047" s="128">
        <v>0</v>
      </c>
      <c r="S2047" s="128">
        <v>0</v>
      </c>
      <c r="T2047" s="128">
        <v>0</v>
      </c>
      <c r="U2047" s="128">
        <v>383178.21</v>
      </c>
      <c r="V2047" s="128">
        <v>0</v>
      </c>
      <c r="W2047" s="128">
        <v>383178.21</v>
      </c>
      <c r="X2047" s="128">
        <v>0</v>
      </c>
      <c r="Y2047" s="128">
        <v>0</v>
      </c>
      <c r="Z2047" s="128">
        <v>0</v>
      </c>
      <c r="AA2047" s="128">
        <v>383178.21</v>
      </c>
      <c r="AB2047" s="126">
        <f t="shared" si="217"/>
        <v>-3.8317821000000002E-2</v>
      </c>
      <c r="AC2047" s="122" t="s">
        <v>1838</v>
      </c>
      <c r="AD2047" s="123">
        <f t="shared" si="213"/>
        <v>1983.9723217250009</v>
      </c>
    </row>
    <row r="2048" spans="1:30" ht="12.75" hidden="1" customHeight="1">
      <c r="A2048" s="125" t="str">
        <f t="shared" si="214"/>
        <v>LIC35Upfront Brk &amp; Trail Paid-Liab</v>
      </c>
      <c r="B2048" s="125">
        <f>+IFERROR(VLOOKUP(L2048,'TB mapping'!A:D,4,0),0)</f>
        <v>0</v>
      </c>
      <c r="C2048" s="125">
        <f>+IFERROR(VLOOKUP(L2048,'TB mapping'!A:C,3,0),0)</f>
        <v>0</v>
      </c>
      <c r="D2048" s="125" t="str">
        <f t="shared" si="215"/>
        <v>LIC350</v>
      </c>
      <c r="E2048" s="125" t="str">
        <f t="shared" si="216"/>
        <v>LIC350</v>
      </c>
      <c r="F2048" s="158" t="str">
        <f>+VLOOKUP(H2048,'code mapping'!A:C,3,0)</f>
        <v>LIC35</v>
      </c>
      <c r="G2048" s="127" t="s">
        <v>453</v>
      </c>
      <c r="H2048" s="127" t="s">
        <v>752</v>
      </c>
      <c r="I2048" s="127" t="s">
        <v>753</v>
      </c>
      <c r="J2048" s="128">
        <v>212000</v>
      </c>
      <c r="K2048" s="127" t="s">
        <v>487</v>
      </c>
      <c r="L2048" s="151">
        <v>212257</v>
      </c>
      <c r="M2048" s="128">
        <v>0</v>
      </c>
      <c r="N2048" s="127" t="s">
        <v>504</v>
      </c>
      <c r="O2048" s="127" t="s">
        <v>457</v>
      </c>
      <c r="P2048" s="128">
        <v>-1348.41</v>
      </c>
      <c r="Q2048" s="128">
        <v>0</v>
      </c>
      <c r="R2048" s="128">
        <v>0</v>
      </c>
      <c r="S2048" s="128">
        <v>0</v>
      </c>
      <c r="T2048" s="128">
        <v>-1348.41</v>
      </c>
      <c r="U2048" s="128">
        <v>0</v>
      </c>
      <c r="V2048" s="128">
        <v>-1348.41</v>
      </c>
      <c r="W2048" s="128">
        <v>0</v>
      </c>
      <c r="X2048" s="128">
        <v>0</v>
      </c>
      <c r="Y2048" s="128">
        <v>0</v>
      </c>
      <c r="Z2048" s="128">
        <v>-1348.41</v>
      </c>
      <c r="AA2048" s="128">
        <v>0</v>
      </c>
      <c r="AB2048" s="126">
        <f t="shared" si="217"/>
        <v>1.3484100000000002E-4</v>
      </c>
      <c r="AC2048" s="122" t="s">
        <v>1838</v>
      </c>
      <c r="AD2048" s="123">
        <f t="shared" si="213"/>
        <v>1983.9723217250009</v>
      </c>
    </row>
    <row r="2049" spans="1:30" ht="12.75" hidden="1" customHeight="1">
      <c r="A2049" s="125" t="str">
        <f t="shared" si="214"/>
        <v>LIC35Payable CGST on Mfees</v>
      </c>
      <c r="B2049" s="125">
        <f>+IFERROR(VLOOKUP(L2049,'TB mapping'!A:D,4,0),0)</f>
        <v>0</v>
      </c>
      <c r="C2049" s="125">
        <f>+IFERROR(VLOOKUP(L2049,'TB mapping'!A:C,3,0),0)</f>
        <v>0</v>
      </c>
      <c r="D2049" s="125" t="str">
        <f t="shared" si="215"/>
        <v>LIC350</v>
      </c>
      <c r="E2049" s="125" t="str">
        <f t="shared" si="216"/>
        <v>LIC350</v>
      </c>
      <c r="F2049" s="158" t="str">
        <f>+VLOOKUP(H2049,'code mapping'!A:C,3,0)</f>
        <v>LIC35</v>
      </c>
      <c r="G2049" s="127" t="s">
        <v>453</v>
      </c>
      <c r="H2049" s="127" t="s">
        <v>752</v>
      </c>
      <c r="I2049" s="127" t="s">
        <v>753</v>
      </c>
      <c r="J2049" s="128">
        <v>212000</v>
      </c>
      <c r="K2049" s="127" t="s">
        <v>487</v>
      </c>
      <c r="L2049" s="151">
        <v>212271</v>
      </c>
      <c r="M2049" s="128">
        <v>0</v>
      </c>
      <c r="N2049" s="127" t="s">
        <v>505</v>
      </c>
      <c r="O2049" s="127" t="s">
        <v>457</v>
      </c>
      <c r="P2049" s="128">
        <v>0</v>
      </c>
      <c r="Q2049" s="128">
        <v>3112.04</v>
      </c>
      <c r="R2049" s="128">
        <v>0</v>
      </c>
      <c r="S2049" s="128">
        <v>0</v>
      </c>
      <c r="T2049" s="128">
        <v>0</v>
      </c>
      <c r="U2049" s="128">
        <v>3112.04</v>
      </c>
      <c r="V2049" s="128">
        <v>0</v>
      </c>
      <c r="W2049" s="128">
        <v>3112.04</v>
      </c>
      <c r="X2049" s="128">
        <v>0</v>
      </c>
      <c r="Y2049" s="128">
        <v>0</v>
      </c>
      <c r="Z2049" s="128">
        <v>0</v>
      </c>
      <c r="AA2049" s="128">
        <v>3112.04</v>
      </c>
      <c r="AB2049" s="126">
        <f t="shared" si="217"/>
        <v>-3.1120399999999998E-4</v>
      </c>
      <c r="AC2049" s="122" t="s">
        <v>1838</v>
      </c>
      <c r="AD2049" s="123">
        <f t="shared" si="213"/>
        <v>1983.9723217250009</v>
      </c>
    </row>
    <row r="2050" spans="1:30" ht="12.75" hidden="1" customHeight="1">
      <c r="A2050" s="125" t="str">
        <f t="shared" si="214"/>
        <v>LIC35Payable SGST on Mfees</v>
      </c>
      <c r="B2050" s="125">
        <f>+IFERROR(VLOOKUP(L2050,'TB mapping'!A:D,4,0),0)</f>
        <v>0</v>
      </c>
      <c r="C2050" s="125">
        <f>+IFERROR(VLOOKUP(L2050,'TB mapping'!A:C,3,0),0)</f>
        <v>0</v>
      </c>
      <c r="D2050" s="125" t="str">
        <f t="shared" si="215"/>
        <v>LIC350</v>
      </c>
      <c r="E2050" s="125" t="str">
        <f t="shared" si="216"/>
        <v>LIC350</v>
      </c>
      <c r="F2050" s="158" t="str">
        <f>+VLOOKUP(H2050,'code mapping'!A:C,3,0)</f>
        <v>LIC35</v>
      </c>
      <c r="G2050" s="127" t="s">
        <v>453</v>
      </c>
      <c r="H2050" s="127" t="s">
        <v>752</v>
      </c>
      <c r="I2050" s="127" t="s">
        <v>753</v>
      </c>
      <c r="J2050" s="128">
        <v>212000</v>
      </c>
      <c r="K2050" s="127" t="s">
        <v>487</v>
      </c>
      <c r="L2050" s="151">
        <v>212272</v>
      </c>
      <c r="M2050" s="128">
        <v>0</v>
      </c>
      <c r="N2050" s="127" t="s">
        <v>506</v>
      </c>
      <c r="O2050" s="127" t="s">
        <v>457</v>
      </c>
      <c r="P2050" s="128">
        <v>0</v>
      </c>
      <c r="Q2050" s="128">
        <v>3112.04</v>
      </c>
      <c r="R2050" s="128">
        <v>0</v>
      </c>
      <c r="S2050" s="128">
        <v>0</v>
      </c>
      <c r="T2050" s="128">
        <v>0</v>
      </c>
      <c r="U2050" s="128">
        <v>3112.04</v>
      </c>
      <c r="V2050" s="128">
        <v>0</v>
      </c>
      <c r="W2050" s="128">
        <v>3112.04</v>
      </c>
      <c r="X2050" s="128">
        <v>0</v>
      </c>
      <c r="Y2050" s="128">
        <v>0</v>
      </c>
      <c r="Z2050" s="128">
        <v>0</v>
      </c>
      <c r="AA2050" s="128">
        <v>3112.04</v>
      </c>
      <c r="AB2050" s="126">
        <f t="shared" si="217"/>
        <v>-3.1120399999999998E-4</v>
      </c>
      <c r="AC2050" s="122" t="s">
        <v>1838</v>
      </c>
      <c r="AD2050" s="123">
        <f t="shared" si="213"/>
        <v>1983.9723217250009</v>
      </c>
    </row>
    <row r="2051" spans="1:30" ht="12.75" hidden="1" customHeight="1">
      <c r="A2051" s="125" t="str">
        <f t="shared" si="214"/>
        <v>LIC35Payable -Inv Educ Fund-AMFI</v>
      </c>
      <c r="B2051" s="125">
        <f>+IFERROR(VLOOKUP(L2051,'TB mapping'!A:D,4,0),0)</f>
        <v>0</v>
      </c>
      <c r="C2051" s="125">
        <f>+IFERROR(VLOOKUP(L2051,'TB mapping'!A:C,3,0),0)</f>
        <v>0</v>
      </c>
      <c r="D2051" s="125" t="str">
        <f t="shared" si="215"/>
        <v>LIC350</v>
      </c>
      <c r="E2051" s="125" t="str">
        <f t="shared" si="216"/>
        <v>LIC350</v>
      </c>
      <c r="F2051" s="158" t="str">
        <f>+VLOOKUP(H2051,'code mapping'!A:C,3,0)</f>
        <v>LIC35</v>
      </c>
      <c r="G2051" s="127" t="s">
        <v>453</v>
      </c>
      <c r="H2051" s="127" t="s">
        <v>752</v>
      </c>
      <c r="I2051" s="127" t="s">
        <v>753</v>
      </c>
      <c r="J2051" s="128">
        <v>212000</v>
      </c>
      <c r="K2051" s="127" t="s">
        <v>487</v>
      </c>
      <c r="L2051" s="151">
        <v>213166</v>
      </c>
      <c r="M2051" s="128">
        <v>0</v>
      </c>
      <c r="N2051" s="127" t="s">
        <v>507</v>
      </c>
      <c r="O2051" s="127" t="s">
        <v>457</v>
      </c>
      <c r="P2051" s="128">
        <v>0</v>
      </c>
      <c r="Q2051" s="128">
        <v>1431.06</v>
      </c>
      <c r="R2051" s="128">
        <v>0</v>
      </c>
      <c r="S2051" s="128">
        <v>0</v>
      </c>
      <c r="T2051" s="128">
        <v>0</v>
      </c>
      <c r="U2051" s="128">
        <v>1431.06</v>
      </c>
      <c r="V2051" s="128">
        <v>0</v>
      </c>
      <c r="W2051" s="128">
        <v>1431.06</v>
      </c>
      <c r="X2051" s="128">
        <v>0</v>
      </c>
      <c r="Y2051" s="128">
        <v>0</v>
      </c>
      <c r="Z2051" s="128">
        <v>0</v>
      </c>
      <c r="AA2051" s="128">
        <v>1431.06</v>
      </c>
      <c r="AB2051" s="126">
        <f t="shared" si="217"/>
        <v>-1.4310599999999999E-4</v>
      </c>
      <c r="AC2051" s="122" t="s">
        <v>1838</v>
      </c>
      <c r="AD2051" s="123">
        <f t="shared" si="213"/>
        <v>1983.9723217250009</v>
      </c>
    </row>
    <row r="2052" spans="1:30" ht="12.75" hidden="1" customHeight="1">
      <c r="A2052" s="125" t="str">
        <f t="shared" si="214"/>
        <v>LIC35Management Fee Payable</v>
      </c>
      <c r="B2052" s="125">
        <f>+IFERROR(VLOOKUP(L2052,'TB mapping'!A:D,4,0),0)</f>
        <v>0</v>
      </c>
      <c r="C2052" s="125">
        <f>+IFERROR(VLOOKUP(L2052,'TB mapping'!A:C,3,0),0)</f>
        <v>0</v>
      </c>
      <c r="D2052" s="125" t="str">
        <f t="shared" si="215"/>
        <v>LIC350</v>
      </c>
      <c r="E2052" s="125" t="str">
        <f t="shared" si="216"/>
        <v>LIC350</v>
      </c>
      <c r="F2052" s="158" t="str">
        <f>+VLOOKUP(H2052,'code mapping'!A:C,3,0)</f>
        <v>LIC35</v>
      </c>
      <c r="G2052" s="127" t="s">
        <v>453</v>
      </c>
      <c r="H2052" s="127" t="s">
        <v>752</v>
      </c>
      <c r="I2052" s="127" t="s">
        <v>753</v>
      </c>
      <c r="J2052" s="128">
        <v>213000</v>
      </c>
      <c r="K2052" s="127" t="s">
        <v>508</v>
      </c>
      <c r="L2052" s="151">
        <v>213500</v>
      </c>
      <c r="M2052" s="128">
        <v>0</v>
      </c>
      <c r="N2052" s="127" t="s">
        <v>509</v>
      </c>
      <c r="O2052" s="127" t="s">
        <v>457</v>
      </c>
      <c r="P2052" s="128">
        <v>0</v>
      </c>
      <c r="Q2052" s="128">
        <v>34573.980000000003</v>
      </c>
      <c r="R2052" s="128">
        <v>0</v>
      </c>
      <c r="S2052" s="128">
        <v>0</v>
      </c>
      <c r="T2052" s="128">
        <v>0</v>
      </c>
      <c r="U2052" s="128">
        <v>34573.980000000003</v>
      </c>
      <c r="V2052" s="128">
        <v>0</v>
      </c>
      <c r="W2052" s="128">
        <v>34573.980000000003</v>
      </c>
      <c r="X2052" s="128">
        <v>0</v>
      </c>
      <c r="Y2052" s="128">
        <v>0</v>
      </c>
      <c r="Z2052" s="128">
        <v>0</v>
      </c>
      <c r="AA2052" s="128">
        <v>34573.980000000003</v>
      </c>
      <c r="AB2052" s="126">
        <f t="shared" si="217"/>
        <v>-3.4573980000000004E-3</v>
      </c>
      <c r="AC2052" s="122" t="s">
        <v>1838</v>
      </c>
      <c r="AD2052" s="123">
        <f t="shared" si="213"/>
        <v>1983.9723217250009</v>
      </c>
    </row>
    <row r="2053" spans="1:30" ht="12.75" hidden="1" customHeight="1">
      <c r="A2053" s="125" t="str">
        <f t="shared" si="214"/>
        <v>LIC35Other Adjustment A/c.</v>
      </c>
      <c r="B2053" s="125">
        <f>+IFERROR(VLOOKUP(L2053,'TB mapping'!A:D,4,0),0)</f>
        <v>0</v>
      </c>
      <c r="C2053" s="125">
        <f>+IFERROR(VLOOKUP(L2053,'TB mapping'!A:C,3,0),0)</f>
        <v>0</v>
      </c>
      <c r="D2053" s="125" t="str">
        <f t="shared" si="215"/>
        <v>LIC350</v>
      </c>
      <c r="E2053" s="125" t="str">
        <f t="shared" si="216"/>
        <v>LIC350</v>
      </c>
      <c r="F2053" s="158" t="str">
        <f>+VLOOKUP(H2053,'code mapping'!A:C,3,0)</f>
        <v>LIC35</v>
      </c>
      <c r="G2053" s="127" t="s">
        <v>453</v>
      </c>
      <c r="H2053" s="127" t="s">
        <v>752</v>
      </c>
      <c r="I2053" s="127" t="s">
        <v>753</v>
      </c>
      <c r="J2053" s="128">
        <v>220000</v>
      </c>
      <c r="K2053" s="127" t="s">
        <v>510</v>
      </c>
      <c r="L2053" s="151">
        <v>190000</v>
      </c>
      <c r="M2053" s="128">
        <v>0</v>
      </c>
      <c r="N2053" s="127" t="s">
        <v>511</v>
      </c>
      <c r="O2053" s="127" t="s">
        <v>457</v>
      </c>
      <c r="P2053" s="128">
        <v>0</v>
      </c>
      <c r="Q2053" s="128">
        <v>0.5</v>
      </c>
      <c r="R2053" s="128">
        <v>0</v>
      </c>
      <c r="S2053" s="128">
        <v>0</v>
      </c>
      <c r="T2053" s="128">
        <v>0</v>
      </c>
      <c r="U2053" s="128">
        <v>0.5</v>
      </c>
      <c r="V2053" s="128">
        <v>0</v>
      </c>
      <c r="W2053" s="128">
        <v>0.5</v>
      </c>
      <c r="X2053" s="128">
        <v>0</v>
      </c>
      <c r="Y2053" s="128">
        <v>0</v>
      </c>
      <c r="Z2053" s="128">
        <v>0</v>
      </c>
      <c r="AA2053" s="128">
        <v>0.5</v>
      </c>
      <c r="AB2053" s="126">
        <f t="shared" si="217"/>
        <v>-4.9999999999999998E-8</v>
      </c>
      <c r="AC2053" s="122" t="s">
        <v>1838</v>
      </c>
      <c r="AD2053" s="123">
        <f t="shared" si="213"/>
        <v>1983.9723217250009</v>
      </c>
    </row>
    <row r="2054" spans="1:30" ht="12.75" hidden="1" customHeight="1">
      <c r="A2054" s="125" t="str">
        <f t="shared" si="214"/>
        <v>LIC35Prov For Withholding Brokerage</v>
      </c>
      <c r="B2054" s="125">
        <f>+IFERROR(VLOOKUP(L2054,'TB mapping'!A:D,4,0),0)</f>
        <v>0</v>
      </c>
      <c r="C2054" s="125">
        <f>+IFERROR(VLOOKUP(L2054,'TB mapping'!A:C,3,0),0)</f>
        <v>0</v>
      </c>
      <c r="D2054" s="125" t="str">
        <f t="shared" si="215"/>
        <v>LIC350</v>
      </c>
      <c r="E2054" s="125" t="str">
        <f t="shared" si="216"/>
        <v>LIC350</v>
      </c>
      <c r="F2054" s="158" t="str">
        <f>+VLOOKUP(H2054,'code mapping'!A:C,3,0)</f>
        <v>LIC35</v>
      </c>
      <c r="G2054" s="127" t="s">
        <v>453</v>
      </c>
      <c r="H2054" s="127" t="s">
        <v>752</v>
      </c>
      <c r="I2054" s="127" t="s">
        <v>753</v>
      </c>
      <c r="J2054" s="128">
        <v>220000</v>
      </c>
      <c r="K2054" s="127" t="s">
        <v>510</v>
      </c>
      <c r="L2054" s="151">
        <v>210162</v>
      </c>
      <c r="M2054" s="128">
        <v>0</v>
      </c>
      <c r="N2054" s="127" t="s">
        <v>512</v>
      </c>
      <c r="O2054" s="127" t="s">
        <v>457</v>
      </c>
      <c r="P2054" s="128">
        <v>0</v>
      </c>
      <c r="Q2054" s="128">
        <v>107589.79</v>
      </c>
      <c r="R2054" s="128">
        <v>0</v>
      </c>
      <c r="S2054" s="128">
        <v>0</v>
      </c>
      <c r="T2054" s="128">
        <v>0</v>
      </c>
      <c r="U2054" s="128">
        <v>107589.79</v>
      </c>
      <c r="V2054" s="128">
        <v>0</v>
      </c>
      <c r="W2054" s="128">
        <v>107589.79</v>
      </c>
      <c r="X2054" s="128">
        <v>0</v>
      </c>
      <c r="Y2054" s="128">
        <v>0</v>
      </c>
      <c r="Z2054" s="128">
        <v>0</v>
      </c>
      <c r="AA2054" s="128">
        <v>107589.79</v>
      </c>
      <c r="AB2054" s="126">
        <f t="shared" si="217"/>
        <v>-1.0758979E-2</v>
      </c>
      <c r="AC2054" s="122" t="s">
        <v>1838</v>
      </c>
      <c r="AD2054" s="123">
        <f t="shared" si="213"/>
        <v>1983.9723217250009</v>
      </c>
    </row>
    <row r="2055" spans="1:30" ht="12.75" hidden="1" customHeight="1">
      <c r="A2055" s="125" t="str">
        <f t="shared" si="214"/>
        <v>LIC35Prov  Withholding Brok 2016-17</v>
      </c>
      <c r="B2055" s="125">
        <f>+IFERROR(VLOOKUP(L2055,'TB mapping'!A:D,4,0),0)</f>
        <v>0</v>
      </c>
      <c r="C2055" s="125">
        <f>+IFERROR(VLOOKUP(L2055,'TB mapping'!A:C,3,0),0)</f>
        <v>0</v>
      </c>
      <c r="D2055" s="125" t="str">
        <f t="shared" si="215"/>
        <v>LIC350</v>
      </c>
      <c r="E2055" s="125" t="str">
        <f t="shared" si="216"/>
        <v>LIC350</v>
      </c>
      <c r="F2055" s="158" t="str">
        <f>+VLOOKUP(H2055,'code mapping'!A:C,3,0)</f>
        <v>LIC35</v>
      </c>
      <c r="G2055" s="127" t="s">
        <v>453</v>
      </c>
      <c r="H2055" s="127" t="s">
        <v>752</v>
      </c>
      <c r="I2055" s="127" t="s">
        <v>753</v>
      </c>
      <c r="J2055" s="128">
        <v>220000</v>
      </c>
      <c r="K2055" s="127" t="s">
        <v>510</v>
      </c>
      <c r="L2055" s="151">
        <v>210163</v>
      </c>
      <c r="M2055" s="128">
        <v>0</v>
      </c>
      <c r="N2055" s="127" t="s">
        <v>513</v>
      </c>
      <c r="O2055" s="127" t="s">
        <v>457</v>
      </c>
      <c r="P2055" s="128">
        <v>0</v>
      </c>
      <c r="Q2055" s="128">
        <v>126617.27</v>
      </c>
      <c r="R2055" s="128">
        <v>0</v>
      </c>
      <c r="S2055" s="128">
        <v>0</v>
      </c>
      <c r="T2055" s="128">
        <v>0</v>
      </c>
      <c r="U2055" s="128">
        <v>126617.27</v>
      </c>
      <c r="V2055" s="128">
        <v>0</v>
      </c>
      <c r="W2055" s="128">
        <v>126617.27</v>
      </c>
      <c r="X2055" s="128">
        <v>0</v>
      </c>
      <c r="Y2055" s="128">
        <v>0</v>
      </c>
      <c r="Z2055" s="128">
        <v>0</v>
      </c>
      <c r="AA2055" s="128">
        <v>126617.27</v>
      </c>
      <c r="AB2055" s="126">
        <f t="shared" si="217"/>
        <v>-1.2661727000000001E-2</v>
      </c>
      <c r="AC2055" s="122" t="s">
        <v>1838</v>
      </c>
      <c r="AD2055" s="123">
        <f t="shared" si="213"/>
        <v>1983.9723217250009</v>
      </c>
    </row>
    <row r="2056" spans="1:30" ht="12.75" hidden="1" customHeight="1">
      <c r="A2056" s="125" t="str">
        <f t="shared" si="214"/>
        <v>LIC35Unit Capital</v>
      </c>
      <c r="B2056" s="125">
        <f>+IFERROR(VLOOKUP(L2056,'TB mapping'!A:D,4,0),0)</f>
        <v>0</v>
      </c>
      <c r="C2056" s="125">
        <f>+IFERROR(VLOOKUP(L2056,'TB mapping'!A:C,3,0),0)</f>
        <v>0</v>
      </c>
      <c r="D2056" s="125" t="str">
        <f t="shared" si="215"/>
        <v>LIC350</v>
      </c>
      <c r="E2056" s="125" t="str">
        <f t="shared" si="216"/>
        <v>LIC350</v>
      </c>
      <c r="F2056" s="158" t="str">
        <f>+VLOOKUP(H2056,'code mapping'!A:C,3,0)</f>
        <v>LIC35</v>
      </c>
      <c r="G2056" s="127" t="s">
        <v>453</v>
      </c>
      <c r="H2056" s="127" t="s">
        <v>752</v>
      </c>
      <c r="I2056" s="127" t="s">
        <v>753</v>
      </c>
      <c r="J2056" s="128">
        <v>301000</v>
      </c>
      <c r="K2056" s="127" t="s">
        <v>514</v>
      </c>
      <c r="L2056" s="151">
        <v>310000</v>
      </c>
      <c r="M2056" s="128">
        <v>0</v>
      </c>
      <c r="N2056" s="127" t="s">
        <v>515</v>
      </c>
      <c r="O2056" s="127" t="s">
        <v>457</v>
      </c>
      <c r="P2056" s="128">
        <v>0</v>
      </c>
      <c r="Q2056" s="128">
        <v>102553935.95999999</v>
      </c>
      <c r="R2056" s="128">
        <v>0</v>
      </c>
      <c r="S2056" s="128">
        <v>0</v>
      </c>
      <c r="T2056" s="128">
        <v>0</v>
      </c>
      <c r="U2056" s="128">
        <v>102553935.95999999</v>
      </c>
      <c r="V2056" s="128">
        <v>0</v>
      </c>
      <c r="W2056" s="128">
        <v>102553935.95999999</v>
      </c>
      <c r="X2056" s="128">
        <v>0</v>
      </c>
      <c r="Y2056" s="128">
        <v>0</v>
      </c>
      <c r="Z2056" s="128">
        <v>0</v>
      </c>
      <c r="AA2056" s="128">
        <v>102553935.95999999</v>
      </c>
      <c r="AB2056" s="126">
        <f t="shared" si="217"/>
        <v>-10.255393595999999</v>
      </c>
      <c r="AC2056" s="122" t="s">
        <v>1838</v>
      </c>
      <c r="AD2056" s="123">
        <f t="shared" si="213"/>
        <v>1983.9723217250009</v>
      </c>
    </row>
    <row r="2057" spans="1:30" ht="12.75" hidden="1" customHeight="1">
      <c r="A2057" s="125" t="str">
        <f t="shared" si="214"/>
        <v>LIC35Unit Premium Reserve- RG</v>
      </c>
      <c r="B2057" s="125">
        <f>+IFERROR(VLOOKUP(L2057,'TB mapping'!A:D,4,0),0)</f>
        <v>0</v>
      </c>
      <c r="C2057" s="125">
        <f>+IFERROR(VLOOKUP(L2057,'TB mapping'!A:C,3,0),0)</f>
        <v>0</v>
      </c>
      <c r="D2057" s="125" t="str">
        <f t="shared" si="215"/>
        <v>LIC350</v>
      </c>
      <c r="E2057" s="125" t="str">
        <f t="shared" si="216"/>
        <v>LIC350</v>
      </c>
      <c r="F2057" s="158" t="str">
        <f>+VLOOKUP(H2057,'code mapping'!A:C,3,0)</f>
        <v>LIC35</v>
      </c>
      <c r="G2057" s="127" t="s">
        <v>453</v>
      </c>
      <c r="H2057" s="127" t="s">
        <v>752</v>
      </c>
      <c r="I2057" s="127" t="s">
        <v>753</v>
      </c>
      <c r="J2057" s="128">
        <v>303000</v>
      </c>
      <c r="K2057" s="127" t="s">
        <v>516</v>
      </c>
      <c r="L2057" s="151">
        <v>303201</v>
      </c>
      <c r="M2057" s="128">
        <v>0</v>
      </c>
      <c r="N2057" s="127" t="s">
        <v>517</v>
      </c>
      <c r="O2057" s="127" t="s">
        <v>457</v>
      </c>
      <c r="P2057" s="128">
        <v>0</v>
      </c>
      <c r="Q2057" s="128">
        <v>17606282.829999998</v>
      </c>
      <c r="R2057" s="128">
        <v>0</v>
      </c>
      <c r="S2057" s="128">
        <v>0</v>
      </c>
      <c r="T2057" s="128">
        <v>0</v>
      </c>
      <c r="U2057" s="128">
        <v>17606282.829999998</v>
      </c>
      <c r="V2057" s="128">
        <v>0</v>
      </c>
      <c r="W2057" s="128">
        <v>17606282.829999998</v>
      </c>
      <c r="X2057" s="128">
        <v>0</v>
      </c>
      <c r="Y2057" s="128">
        <v>0</v>
      </c>
      <c r="Z2057" s="128">
        <v>0</v>
      </c>
      <c r="AA2057" s="128">
        <v>17606282.829999998</v>
      </c>
      <c r="AB2057" s="126">
        <f t="shared" si="217"/>
        <v>-1.7606282829999997</v>
      </c>
      <c r="AC2057" s="122" t="s">
        <v>1838</v>
      </c>
      <c r="AD2057" s="123">
        <f t="shared" si="213"/>
        <v>1983.9723217250009</v>
      </c>
    </row>
    <row r="2058" spans="1:30" ht="12.75" hidden="1" customHeight="1">
      <c r="A2058" s="125" t="str">
        <f t="shared" si="214"/>
        <v>LIC35Unit Premium Reserve-GDP</v>
      </c>
      <c r="B2058" s="125">
        <f>+IFERROR(VLOOKUP(L2058,'TB mapping'!A:D,4,0),0)</f>
        <v>0</v>
      </c>
      <c r="C2058" s="125">
        <f>+IFERROR(VLOOKUP(L2058,'TB mapping'!A:C,3,0),0)</f>
        <v>0</v>
      </c>
      <c r="D2058" s="125" t="str">
        <f t="shared" si="215"/>
        <v>LIC350</v>
      </c>
      <c r="E2058" s="125" t="str">
        <f t="shared" si="216"/>
        <v>LIC350</v>
      </c>
      <c r="F2058" s="158" t="str">
        <f>+VLOOKUP(H2058,'code mapping'!A:C,3,0)</f>
        <v>LIC35</v>
      </c>
      <c r="G2058" s="127" t="s">
        <v>453</v>
      </c>
      <c r="H2058" s="127" t="s">
        <v>752</v>
      </c>
      <c r="I2058" s="127" t="s">
        <v>753</v>
      </c>
      <c r="J2058" s="128">
        <v>303000</v>
      </c>
      <c r="K2058" s="127" t="s">
        <v>516</v>
      </c>
      <c r="L2058" s="151">
        <v>303245</v>
      </c>
      <c r="M2058" s="128">
        <v>0</v>
      </c>
      <c r="N2058" s="127" t="s">
        <v>519</v>
      </c>
      <c r="O2058" s="127" t="s">
        <v>457</v>
      </c>
      <c r="P2058" s="128">
        <v>-16825884.829999998</v>
      </c>
      <c r="Q2058" s="128">
        <v>0</v>
      </c>
      <c r="R2058" s="128">
        <v>0</v>
      </c>
      <c r="S2058" s="128">
        <v>0</v>
      </c>
      <c r="T2058" s="128">
        <v>-16825884.829999998</v>
      </c>
      <c r="U2058" s="128">
        <v>0</v>
      </c>
      <c r="V2058" s="128">
        <v>-16825884.829999998</v>
      </c>
      <c r="W2058" s="128">
        <v>0</v>
      </c>
      <c r="X2058" s="128">
        <v>0</v>
      </c>
      <c r="Y2058" s="128">
        <v>0</v>
      </c>
      <c r="Z2058" s="128">
        <v>-16825884.829999998</v>
      </c>
      <c r="AA2058" s="128">
        <v>0</v>
      </c>
      <c r="AB2058" s="126">
        <f t="shared" si="217"/>
        <v>1.6825884829999997</v>
      </c>
      <c r="AC2058" s="122" t="s">
        <v>1838</v>
      </c>
      <c r="AD2058" s="123">
        <f t="shared" si="213"/>
        <v>1983.9723217250009</v>
      </c>
    </row>
    <row r="2059" spans="1:30" ht="12.75" hidden="1" customHeight="1">
      <c r="A2059" s="125" t="str">
        <f t="shared" si="214"/>
        <v>LIC35Net Earnings</v>
      </c>
      <c r="B2059" s="125">
        <f>+IFERROR(VLOOKUP(L2059,'TB mapping'!A:D,4,0),0)</f>
        <v>0</v>
      </c>
      <c r="C2059" s="125">
        <f>+IFERROR(VLOOKUP(L2059,'TB mapping'!A:C,3,0),0)</f>
        <v>0</v>
      </c>
      <c r="D2059" s="125" t="str">
        <f t="shared" si="215"/>
        <v>LIC350</v>
      </c>
      <c r="E2059" s="125" t="str">
        <f t="shared" si="216"/>
        <v>LIC350</v>
      </c>
      <c r="F2059" s="158" t="str">
        <f>+VLOOKUP(H2059,'code mapping'!A:C,3,0)</f>
        <v>LIC35</v>
      </c>
      <c r="G2059" s="127" t="s">
        <v>453</v>
      </c>
      <c r="H2059" s="127" t="s">
        <v>752</v>
      </c>
      <c r="I2059" s="127" t="s">
        <v>753</v>
      </c>
      <c r="J2059" s="128">
        <v>303000</v>
      </c>
      <c r="K2059" s="127" t="s">
        <v>516</v>
      </c>
      <c r="L2059" s="151">
        <v>390000</v>
      </c>
      <c r="M2059" s="128">
        <v>0</v>
      </c>
      <c r="N2059" s="127" t="s">
        <v>521</v>
      </c>
      <c r="O2059" s="127" t="s">
        <v>457</v>
      </c>
      <c r="P2059" s="128">
        <v>0</v>
      </c>
      <c r="Q2059" s="128">
        <v>47055490</v>
      </c>
      <c r="R2059" s="128">
        <v>0</v>
      </c>
      <c r="S2059" s="128">
        <v>0</v>
      </c>
      <c r="T2059" s="128">
        <v>0</v>
      </c>
      <c r="U2059" s="128">
        <v>47055490</v>
      </c>
      <c r="V2059" s="128">
        <v>0</v>
      </c>
      <c r="W2059" s="128">
        <v>47055490</v>
      </c>
      <c r="X2059" s="128">
        <v>0</v>
      </c>
      <c r="Y2059" s="128">
        <v>0</v>
      </c>
      <c r="Z2059" s="128">
        <v>0</v>
      </c>
      <c r="AA2059" s="128">
        <v>47055490</v>
      </c>
      <c r="AB2059" s="126">
        <f t="shared" si="217"/>
        <v>-4.7055490000000004</v>
      </c>
      <c r="AC2059" s="122" t="s">
        <v>1838</v>
      </c>
      <c r="AD2059" s="123">
        <f t="shared" si="213"/>
        <v>1983.9723217250009</v>
      </c>
    </row>
    <row r="2060" spans="1:30" ht="12.75" hidden="1" customHeight="1">
      <c r="A2060" s="125" t="str">
        <f t="shared" si="214"/>
        <v>LIC35R/L G/P - Equities</v>
      </c>
      <c r="B2060" s="125">
        <f>+IFERROR(VLOOKUP(L2060,'TB mapping'!A:D,4,0),0)</f>
        <v>0</v>
      </c>
      <c r="C2060" s="125">
        <f>+IFERROR(VLOOKUP(L2060,'TB mapping'!A:C,3,0),0)</f>
        <v>5.3</v>
      </c>
      <c r="D2060" s="125" t="str">
        <f t="shared" si="215"/>
        <v>LIC350</v>
      </c>
      <c r="E2060" s="125" t="str">
        <f t="shared" si="216"/>
        <v>LIC355.3</v>
      </c>
      <c r="F2060" s="158" t="str">
        <f>+VLOOKUP(H2060,'code mapping'!A:C,3,0)</f>
        <v>LIC35</v>
      </c>
      <c r="G2060" s="127" t="s">
        <v>453</v>
      </c>
      <c r="H2060" s="127" t="s">
        <v>752</v>
      </c>
      <c r="I2060" s="127" t="s">
        <v>753</v>
      </c>
      <c r="J2060" s="128">
        <v>410000</v>
      </c>
      <c r="K2060" s="127" t="s">
        <v>522</v>
      </c>
      <c r="L2060" s="151">
        <v>411100</v>
      </c>
      <c r="M2060" s="128">
        <v>0</v>
      </c>
      <c r="N2060" s="127" t="s">
        <v>596</v>
      </c>
      <c r="O2060" s="127" t="s">
        <v>457</v>
      </c>
      <c r="P2060" s="128">
        <v>0</v>
      </c>
      <c r="Q2060" s="128">
        <v>25933913.039999999</v>
      </c>
      <c r="R2060" s="128">
        <v>0</v>
      </c>
      <c r="S2060" s="128">
        <v>0</v>
      </c>
      <c r="T2060" s="128">
        <v>0</v>
      </c>
      <c r="U2060" s="128">
        <v>25933913.039999999</v>
      </c>
      <c r="V2060" s="128">
        <v>0</v>
      </c>
      <c r="W2060" s="128">
        <v>25933913.039999999</v>
      </c>
      <c r="X2060" s="128">
        <v>0</v>
      </c>
      <c r="Y2060" s="128">
        <v>0</v>
      </c>
      <c r="Z2060" s="128">
        <v>0</v>
      </c>
      <c r="AA2060" s="128">
        <v>25933913.039999999</v>
      </c>
      <c r="AB2060" s="126">
        <f t="shared" si="217"/>
        <v>-2.5933913039999998</v>
      </c>
      <c r="AC2060" s="122" t="s">
        <v>1838</v>
      </c>
      <c r="AD2060" s="123">
        <f>SUMIF(E:E,E2060,AB:AB)</f>
        <v>-2.2057089979999995</v>
      </c>
    </row>
    <row r="2061" spans="1:30" ht="12.75" hidden="1" customHeight="1">
      <c r="A2061" s="125" t="str">
        <f t="shared" si="214"/>
        <v>LIC35Profit on Sale-Mutual Fd Units</v>
      </c>
      <c r="B2061" s="125">
        <f>+IFERROR(VLOOKUP(L2061,'TB mapping'!A:D,4,0),0)</f>
        <v>0</v>
      </c>
      <c r="C2061" s="125">
        <f>+IFERROR(VLOOKUP(L2061,'TB mapping'!A:C,3,0),0)</f>
        <v>5.3</v>
      </c>
      <c r="D2061" s="125" t="str">
        <f t="shared" si="215"/>
        <v>LIC350</v>
      </c>
      <c r="E2061" s="125" t="str">
        <f t="shared" si="216"/>
        <v>LIC355.3</v>
      </c>
      <c r="F2061" s="158" t="str">
        <f>+VLOOKUP(H2061,'code mapping'!A:C,3,0)</f>
        <v>LIC35</v>
      </c>
      <c r="G2061" s="127" t="s">
        <v>453</v>
      </c>
      <c r="H2061" s="127" t="s">
        <v>752</v>
      </c>
      <c r="I2061" s="127" t="s">
        <v>753</v>
      </c>
      <c r="J2061" s="128">
        <v>410000</v>
      </c>
      <c r="K2061" s="127" t="s">
        <v>522</v>
      </c>
      <c r="L2061" s="151">
        <v>415102</v>
      </c>
      <c r="M2061" s="128">
        <v>0</v>
      </c>
      <c r="N2061" s="127" t="s">
        <v>526</v>
      </c>
      <c r="O2061" s="127" t="s">
        <v>457</v>
      </c>
      <c r="P2061" s="128">
        <v>0</v>
      </c>
      <c r="Q2061" s="128">
        <v>2681208.9300000002</v>
      </c>
      <c r="R2061" s="128">
        <v>0</v>
      </c>
      <c r="S2061" s="128">
        <v>0</v>
      </c>
      <c r="T2061" s="128">
        <v>0</v>
      </c>
      <c r="U2061" s="128">
        <v>2681208.9300000002</v>
      </c>
      <c r="V2061" s="128">
        <v>0</v>
      </c>
      <c r="W2061" s="128">
        <v>2681208.9300000002</v>
      </c>
      <c r="X2061" s="128">
        <v>0</v>
      </c>
      <c r="Y2061" s="128">
        <v>0</v>
      </c>
      <c r="Z2061" s="128">
        <v>0</v>
      </c>
      <c r="AA2061" s="128">
        <v>2681208.9300000002</v>
      </c>
      <c r="AB2061" s="126">
        <f t="shared" si="217"/>
        <v>-0.26812089300000003</v>
      </c>
      <c r="AC2061" s="122" t="s">
        <v>1838</v>
      </c>
      <c r="AD2061" s="123">
        <f>SUMIF(E:E,E2061,AB:AB)</f>
        <v>-2.2057089979999995</v>
      </c>
    </row>
    <row r="2062" spans="1:30" ht="12.75" hidden="1" customHeight="1">
      <c r="A2062" s="125" t="str">
        <f t="shared" si="214"/>
        <v>LIC35R/L Gain - Inter Sch Bond/Deb</v>
      </c>
      <c r="B2062" s="125">
        <f>+IFERROR(VLOOKUP(L2062,'TB mapping'!A:D,4,0),0)</f>
        <v>0</v>
      </c>
      <c r="C2062" s="125">
        <f>+IFERROR(VLOOKUP(L2062,'TB mapping'!A:C,3,0),0)</f>
        <v>5.4</v>
      </c>
      <c r="D2062" s="125" t="str">
        <f t="shared" si="215"/>
        <v>LIC350</v>
      </c>
      <c r="E2062" s="125" t="str">
        <f t="shared" si="216"/>
        <v>LIC355.4</v>
      </c>
      <c r="F2062" s="158" t="str">
        <f>+VLOOKUP(H2062,'code mapping'!A:C,3,0)</f>
        <v>LIC35</v>
      </c>
      <c r="G2062" s="127" t="s">
        <v>453</v>
      </c>
      <c r="H2062" s="127" t="s">
        <v>752</v>
      </c>
      <c r="I2062" s="127" t="s">
        <v>753</v>
      </c>
      <c r="J2062" s="128">
        <v>410000</v>
      </c>
      <c r="K2062" s="127" t="s">
        <v>522</v>
      </c>
      <c r="L2062" s="151">
        <v>427302</v>
      </c>
      <c r="M2062" s="128">
        <v>0</v>
      </c>
      <c r="N2062" s="127" t="s">
        <v>659</v>
      </c>
      <c r="O2062" s="127" t="s">
        <v>457</v>
      </c>
      <c r="P2062" s="128">
        <v>0</v>
      </c>
      <c r="Q2062" s="128">
        <v>364487.5</v>
      </c>
      <c r="R2062" s="128">
        <v>0</v>
      </c>
      <c r="S2062" s="128">
        <v>0</v>
      </c>
      <c r="T2062" s="128">
        <v>0</v>
      </c>
      <c r="U2062" s="128">
        <v>364487.5</v>
      </c>
      <c r="V2062" s="128">
        <v>0</v>
      </c>
      <c r="W2062" s="128">
        <v>364487.5</v>
      </c>
      <c r="X2062" s="128">
        <v>0</v>
      </c>
      <c r="Y2062" s="128">
        <v>0</v>
      </c>
      <c r="Z2062" s="128">
        <v>0</v>
      </c>
      <c r="AA2062" s="128">
        <v>364487.5</v>
      </c>
      <c r="AB2062" s="126">
        <f t="shared" si="217"/>
        <v>-3.6448750000000002E-2</v>
      </c>
      <c r="AC2062" s="122" t="s">
        <v>1838</v>
      </c>
      <c r="AD2062" s="123">
        <f>SUMIF(E:E,E2062,AB:AB)</f>
        <v>-3.6448750000000002E-2</v>
      </c>
    </row>
    <row r="2063" spans="1:30" ht="12.75" hidden="1" customHeight="1">
      <c r="A2063" s="125" t="str">
        <f t="shared" si="214"/>
        <v>LIC35UR/L G/P - Equities</v>
      </c>
      <c r="B2063" s="125">
        <f>+IFERROR(VLOOKUP(L2063,'TB mapping'!A:D,4,0),0)</f>
        <v>0</v>
      </c>
      <c r="C2063" s="125" t="str">
        <f>+IFERROR(VLOOKUP(L2063,'TB mapping'!A:C,3,0),0)</f>
        <v>Ignore</v>
      </c>
      <c r="D2063" s="125" t="str">
        <f t="shared" si="215"/>
        <v>LIC350</v>
      </c>
      <c r="E2063" s="125" t="str">
        <f t="shared" si="216"/>
        <v>LIC35Ignore</v>
      </c>
      <c r="F2063" s="158" t="str">
        <f>+VLOOKUP(H2063,'code mapping'!A:C,3,0)</f>
        <v>LIC35</v>
      </c>
      <c r="G2063" s="127" t="s">
        <v>453</v>
      </c>
      <c r="H2063" s="127" t="s">
        <v>752</v>
      </c>
      <c r="I2063" s="127" t="s">
        <v>753</v>
      </c>
      <c r="J2063" s="128">
        <v>430000</v>
      </c>
      <c r="K2063" s="127" t="s">
        <v>528</v>
      </c>
      <c r="L2063" s="151">
        <v>431100</v>
      </c>
      <c r="M2063" s="128">
        <v>0</v>
      </c>
      <c r="N2063" s="127" t="s">
        <v>597</v>
      </c>
      <c r="O2063" s="127" t="s">
        <v>457</v>
      </c>
      <c r="P2063" s="128">
        <v>-4830879.93</v>
      </c>
      <c r="Q2063" s="128">
        <v>0</v>
      </c>
      <c r="R2063" s="128">
        <v>0</v>
      </c>
      <c r="S2063" s="128">
        <v>0</v>
      </c>
      <c r="T2063" s="128">
        <v>-4830879.93</v>
      </c>
      <c r="U2063" s="128">
        <v>0</v>
      </c>
      <c r="V2063" s="128">
        <v>-4830879.93</v>
      </c>
      <c r="W2063" s="128">
        <v>0</v>
      </c>
      <c r="X2063" s="128">
        <v>0</v>
      </c>
      <c r="Y2063" s="128">
        <v>0</v>
      </c>
      <c r="Z2063" s="128">
        <v>-4830879.93</v>
      </c>
      <c r="AA2063" s="128">
        <v>0</v>
      </c>
      <c r="AB2063" s="126">
        <f t="shared" si="217"/>
        <v>0.48308799299999999</v>
      </c>
      <c r="AC2063" s="122" t="s">
        <v>1838</v>
      </c>
      <c r="AD2063" s="123">
        <f>SUMIF(C:C,C2063,AB:AB)</f>
        <v>-291.7660984179999</v>
      </c>
    </row>
    <row r="2064" spans="1:30" ht="12.75" hidden="1" customHeight="1">
      <c r="A2064" s="125" t="str">
        <f t="shared" si="214"/>
        <v>LIC35UR/L G/P - Fund of Funds</v>
      </c>
      <c r="B2064" s="125">
        <f>+IFERROR(VLOOKUP(L2064,'TB mapping'!A:D,4,0),0)</f>
        <v>0</v>
      </c>
      <c r="C2064" s="125" t="str">
        <f>+IFERROR(VLOOKUP(L2064,'TB mapping'!A:C,3,0),0)</f>
        <v>Ignore</v>
      </c>
      <c r="D2064" s="125" t="str">
        <f t="shared" si="215"/>
        <v>LIC350</v>
      </c>
      <c r="E2064" s="125" t="str">
        <f t="shared" si="216"/>
        <v>LIC35Ignore</v>
      </c>
      <c r="F2064" s="158" t="str">
        <f>+VLOOKUP(H2064,'code mapping'!A:C,3,0)</f>
        <v>LIC35</v>
      </c>
      <c r="G2064" s="127" t="s">
        <v>453</v>
      </c>
      <c r="H2064" s="127" t="s">
        <v>752</v>
      </c>
      <c r="I2064" s="127" t="s">
        <v>753</v>
      </c>
      <c r="J2064" s="128">
        <v>430000</v>
      </c>
      <c r="K2064" s="127" t="s">
        <v>528</v>
      </c>
      <c r="L2064" s="151">
        <v>435100</v>
      </c>
      <c r="M2064" s="128">
        <v>0</v>
      </c>
      <c r="N2064" s="127" t="s">
        <v>755</v>
      </c>
      <c r="O2064" s="127" t="s">
        <v>457</v>
      </c>
      <c r="P2064" s="128">
        <v>0</v>
      </c>
      <c r="Q2064" s="128">
        <v>101168.69</v>
      </c>
      <c r="R2064" s="128">
        <v>0</v>
      </c>
      <c r="S2064" s="128">
        <v>0</v>
      </c>
      <c r="T2064" s="128">
        <v>0</v>
      </c>
      <c r="U2064" s="128">
        <v>101168.69</v>
      </c>
      <c r="V2064" s="128">
        <v>0</v>
      </c>
      <c r="W2064" s="128">
        <v>101168.69</v>
      </c>
      <c r="X2064" s="128">
        <v>0</v>
      </c>
      <c r="Y2064" s="128">
        <v>0</v>
      </c>
      <c r="Z2064" s="128">
        <v>0</v>
      </c>
      <c r="AA2064" s="128">
        <v>101168.69</v>
      </c>
      <c r="AB2064" s="126">
        <f t="shared" si="217"/>
        <v>-1.0116869000000001E-2</v>
      </c>
      <c r="AC2064" s="122" t="s">
        <v>1838</v>
      </c>
      <c r="AD2064" s="123">
        <f>SUMIF(C:C,C2064,AB:AB)</f>
        <v>-291.7660984179999</v>
      </c>
    </row>
    <row r="2065" spans="1:30" ht="12.75" hidden="1" customHeight="1">
      <c r="A2065" s="125" t="str">
        <f t="shared" si="214"/>
        <v>LIC35Dividend Income - Equities</v>
      </c>
      <c r="B2065" s="125">
        <f>+IFERROR(VLOOKUP(L2065,'TB mapping'!A:D,4,0),0)</f>
        <v>0</v>
      </c>
      <c r="C2065" s="125">
        <f>+IFERROR(VLOOKUP(L2065,'TB mapping'!A:C,3,0),0)</f>
        <v>5.0999999999999996</v>
      </c>
      <c r="D2065" s="125" t="str">
        <f t="shared" si="215"/>
        <v>LIC350</v>
      </c>
      <c r="E2065" s="125" t="str">
        <f t="shared" si="216"/>
        <v>LIC355.1</v>
      </c>
      <c r="F2065" s="158" t="str">
        <f>+VLOOKUP(H2065,'code mapping'!A:C,3,0)</f>
        <v>LIC35</v>
      </c>
      <c r="G2065" s="127" t="s">
        <v>453</v>
      </c>
      <c r="H2065" s="127" t="s">
        <v>752</v>
      </c>
      <c r="I2065" s="127" t="s">
        <v>753</v>
      </c>
      <c r="J2065" s="128">
        <v>450000</v>
      </c>
      <c r="K2065" s="127" t="s">
        <v>532</v>
      </c>
      <c r="L2065" s="151">
        <v>451100</v>
      </c>
      <c r="M2065" s="128">
        <v>0</v>
      </c>
      <c r="N2065" s="127" t="s">
        <v>598</v>
      </c>
      <c r="O2065" s="127" t="s">
        <v>457</v>
      </c>
      <c r="P2065" s="128">
        <v>0</v>
      </c>
      <c r="Q2065" s="128">
        <v>1315484.3599999999</v>
      </c>
      <c r="R2065" s="128">
        <v>0</v>
      </c>
      <c r="S2065" s="128">
        <v>0</v>
      </c>
      <c r="T2065" s="128">
        <v>0</v>
      </c>
      <c r="U2065" s="128">
        <v>1315484.3599999999</v>
      </c>
      <c r="V2065" s="128">
        <v>0</v>
      </c>
      <c r="W2065" s="128">
        <v>1315484.3599999999</v>
      </c>
      <c r="X2065" s="128">
        <v>0</v>
      </c>
      <c r="Y2065" s="128">
        <v>0</v>
      </c>
      <c r="Z2065" s="128">
        <v>0</v>
      </c>
      <c r="AA2065" s="128">
        <v>1315484.3599999999</v>
      </c>
      <c r="AB2065" s="126">
        <f t="shared" si="217"/>
        <v>-0.13154843599999999</v>
      </c>
      <c r="AC2065" s="122" t="s">
        <v>1838</v>
      </c>
      <c r="AD2065" s="123">
        <f t="shared" ref="AD2065:AD2108" si="218">SUMIF(E:E,E2065,AB:AB)</f>
        <v>-0.13154843599999999</v>
      </c>
    </row>
    <row r="2066" spans="1:30" ht="12.75" hidden="1" customHeight="1">
      <c r="A2066" s="125" t="str">
        <f t="shared" si="214"/>
        <v>LIC35Interest Income - CCIL Margin</v>
      </c>
      <c r="B2066" s="125">
        <f>+IFERROR(VLOOKUP(L2066,'TB mapping'!A:D,4,0),0)</f>
        <v>0</v>
      </c>
      <c r="C2066" s="125">
        <f>+IFERROR(VLOOKUP(L2066,'TB mapping'!A:C,3,0),0)</f>
        <v>5.2</v>
      </c>
      <c r="D2066" s="125" t="str">
        <f t="shared" si="215"/>
        <v>LIC350</v>
      </c>
      <c r="E2066" s="125" t="str">
        <f t="shared" si="216"/>
        <v>LIC355.2</v>
      </c>
      <c r="F2066" s="158" t="str">
        <f>+VLOOKUP(H2066,'code mapping'!A:C,3,0)</f>
        <v>LIC35</v>
      </c>
      <c r="G2066" s="127" t="s">
        <v>453</v>
      </c>
      <c r="H2066" s="127" t="s">
        <v>752</v>
      </c>
      <c r="I2066" s="127" t="s">
        <v>753</v>
      </c>
      <c r="J2066" s="128">
        <v>450000</v>
      </c>
      <c r="K2066" s="127" t="s">
        <v>532</v>
      </c>
      <c r="L2066" s="151">
        <v>452111</v>
      </c>
      <c r="M2066" s="128">
        <v>0</v>
      </c>
      <c r="N2066" s="127" t="s">
        <v>533</v>
      </c>
      <c r="O2066" s="127" t="s">
        <v>457</v>
      </c>
      <c r="P2066" s="128">
        <v>0</v>
      </c>
      <c r="Q2066" s="128">
        <v>470.97</v>
      </c>
      <c r="R2066" s="128">
        <v>0</v>
      </c>
      <c r="S2066" s="128">
        <v>0</v>
      </c>
      <c r="T2066" s="128">
        <v>0</v>
      </c>
      <c r="U2066" s="128">
        <v>470.97</v>
      </c>
      <c r="V2066" s="128">
        <v>0</v>
      </c>
      <c r="W2066" s="128">
        <v>470.97</v>
      </c>
      <c r="X2066" s="128">
        <v>0</v>
      </c>
      <c r="Y2066" s="128">
        <v>0</v>
      </c>
      <c r="Z2066" s="128">
        <v>0</v>
      </c>
      <c r="AA2066" s="128">
        <v>470.97</v>
      </c>
      <c r="AB2066" s="126">
        <f t="shared" si="217"/>
        <v>-4.7097E-5</v>
      </c>
      <c r="AC2066" s="122" t="s">
        <v>1838</v>
      </c>
      <c r="AD2066" s="123">
        <f t="shared" si="218"/>
        <v>-0.42811103</v>
      </c>
    </row>
    <row r="2067" spans="1:30" ht="12.75" hidden="1" customHeight="1">
      <c r="A2067" s="125" t="str">
        <f t="shared" si="214"/>
        <v>LIC35Int Income - Corporate Bonds</v>
      </c>
      <c r="B2067" s="125">
        <f>+IFERROR(VLOOKUP(L2067,'TB mapping'!A:D,4,0),0)</f>
        <v>0</v>
      </c>
      <c r="C2067" s="125">
        <f>+IFERROR(VLOOKUP(L2067,'TB mapping'!A:C,3,0),0)</f>
        <v>5.2</v>
      </c>
      <c r="D2067" s="125" t="str">
        <f t="shared" si="215"/>
        <v>LIC350</v>
      </c>
      <c r="E2067" s="125" t="str">
        <f t="shared" si="216"/>
        <v>LIC355.2</v>
      </c>
      <c r="F2067" s="158" t="str">
        <f>+VLOOKUP(H2067,'code mapping'!A:C,3,0)</f>
        <v>LIC35</v>
      </c>
      <c r="G2067" s="127" t="s">
        <v>453</v>
      </c>
      <c r="H2067" s="127" t="s">
        <v>752</v>
      </c>
      <c r="I2067" s="127" t="s">
        <v>753</v>
      </c>
      <c r="J2067" s="128">
        <v>450000</v>
      </c>
      <c r="K2067" s="127" t="s">
        <v>532</v>
      </c>
      <c r="L2067" s="151">
        <v>452120</v>
      </c>
      <c r="M2067" s="128">
        <v>0</v>
      </c>
      <c r="N2067" s="127" t="s">
        <v>534</v>
      </c>
      <c r="O2067" s="127" t="s">
        <v>457</v>
      </c>
      <c r="P2067" s="128">
        <v>0</v>
      </c>
      <c r="Q2067" s="128">
        <v>333087.32</v>
      </c>
      <c r="R2067" s="128">
        <v>0</v>
      </c>
      <c r="S2067" s="128">
        <v>0</v>
      </c>
      <c r="T2067" s="128">
        <v>0</v>
      </c>
      <c r="U2067" s="128">
        <v>333087.32</v>
      </c>
      <c r="V2067" s="128">
        <v>0</v>
      </c>
      <c r="W2067" s="128">
        <v>333087.32</v>
      </c>
      <c r="X2067" s="128">
        <v>0</v>
      </c>
      <c r="Y2067" s="128">
        <v>0</v>
      </c>
      <c r="Z2067" s="128">
        <v>0</v>
      </c>
      <c r="AA2067" s="128">
        <v>333087.32</v>
      </c>
      <c r="AB2067" s="126">
        <f t="shared" si="217"/>
        <v>-3.3308732000000001E-2</v>
      </c>
      <c r="AC2067" s="122" t="s">
        <v>1838</v>
      </c>
      <c r="AD2067" s="123">
        <f t="shared" si="218"/>
        <v>-0.42811103</v>
      </c>
    </row>
    <row r="2068" spans="1:30" ht="12.75" hidden="1" customHeight="1">
      <c r="A2068" s="125" t="str">
        <f t="shared" si="214"/>
        <v>LIC35Int Income - Government Bonds</v>
      </c>
      <c r="B2068" s="125">
        <f>+IFERROR(VLOOKUP(L2068,'TB mapping'!A:D,4,0),0)</f>
        <v>0</v>
      </c>
      <c r="C2068" s="125">
        <f>+IFERROR(VLOOKUP(L2068,'TB mapping'!A:C,3,0),0)</f>
        <v>5.2</v>
      </c>
      <c r="D2068" s="125" t="str">
        <f t="shared" si="215"/>
        <v>LIC350</v>
      </c>
      <c r="E2068" s="125" t="str">
        <f t="shared" si="216"/>
        <v>LIC355.2</v>
      </c>
      <c r="F2068" s="158" t="str">
        <f>+VLOOKUP(H2068,'code mapping'!A:C,3,0)</f>
        <v>LIC35</v>
      </c>
      <c r="G2068" s="127" t="s">
        <v>453</v>
      </c>
      <c r="H2068" s="127" t="s">
        <v>752</v>
      </c>
      <c r="I2068" s="127" t="s">
        <v>753</v>
      </c>
      <c r="J2068" s="128">
        <v>450000</v>
      </c>
      <c r="K2068" s="127" t="s">
        <v>532</v>
      </c>
      <c r="L2068" s="151">
        <v>452130</v>
      </c>
      <c r="M2068" s="128">
        <v>0</v>
      </c>
      <c r="N2068" s="127" t="s">
        <v>535</v>
      </c>
      <c r="O2068" s="127" t="s">
        <v>457</v>
      </c>
      <c r="P2068" s="128">
        <v>0</v>
      </c>
      <c r="Q2068" s="128">
        <v>456030.55</v>
      </c>
      <c r="R2068" s="128">
        <v>0</v>
      </c>
      <c r="S2068" s="128">
        <v>0</v>
      </c>
      <c r="T2068" s="128">
        <v>0</v>
      </c>
      <c r="U2068" s="128">
        <v>456030.55</v>
      </c>
      <c r="V2068" s="128">
        <v>0</v>
      </c>
      <c r="W2068" s="128">
        <v>456030.55</v>
      </c>
      <c r="X2068" s="128">
        <v>0</v>
      </c>
      <c r="Y2068" s="128">
        <v>0</v>
      </c>
      <c r="Z2068" s="128">
        <v>0</v>
      </c>
      <c r="AA2068" s="128">
        <v>456030.55</v>
      </c>
      <c r="AB2068" s="126">
        <f t="shared" si="217"/>
        <v>-4.5603054999999997E-2</v>
      </c>
      <c r="AC2068" s="122" t="s">
        <v>1838</v>
      </c>
      <c r="AD2068" s="123">
        <f t="shared" si="218"/>
        <v>-0.42811103</v>
      </c>
    </row>
    <row r="2069" spans="1:30" ht="12.75" hidden="1" customHeight="1">
      <c r="A2069" s="125" t="str">
        <f t="shared" si="214"/>
        <v>LIC35Amort. Income - CBLO</v>
      </c>
      <c r="B2069" s="125">
        <f>+IFERROR(VLOOKUP(L2069,'TB mapping'!A:D,4,0),0)</f>
        <v>0</v>
      </c>
      <c r="C2069" s="125">
        <f>+IFERROR(VLOOKUP(L2069,'TB mapping'!A:C,3,0),0)</f>
        <v>5.2</v>
      </c>
      <c r="D2069" s="125" t="str">
        <f t="shared" si="215"/>
        <v>LIC350</v>
      </c>
      <c r="E2069" s="125" t="str">
        <f t="shared" si="216"/>
        <v>LIC355.2</v>
      </c>
      <c r="F2069" s="158" t="str">
        <f>+VLOOKUP(H2069,'code mapping'!A:C,3,0)</f>
        <v>LIC35</v>
      </c>
      <c r="G2069" s="127" t="s">
        <v>453</v>
      </c>
      <c r="H2069" s="127" t="s">
        <v>752</v>
      </c>
      <c r="I2069" s="127" t="s">
        <v>753</v>
      </c>
      <c r="J2069" s="128">
        <v>450000</v>
      </c>
      <c r="K2069" s="127" t="s">
        <v>532</v>
      </c>
      <c r="L2069" s="151">
        <v>452228</v>
      </c>
      <c r="M2069" s="128">
        <v>0</v>
      </c>
      <c r="N2069" s="127" t="s">
        <v>537</v>
      </c>
      <c r="O2069" s="127" t="s">
        <v>457</v>
      </c>
      <c r="P2069" s="128">
        <v>0</v>
      </c>
      <c r="Q2069" s="128">
        <v>3491521.46</v>
      </c>
      <c r="R2069" s="128">
        <v>0</v>
      </c>
      <c r="S2069" s="128">
        <v>0</v>
      </c>
      <c r="T2069" s="128">
        <v>0</v>
      </c>
      <c r="U2069" s="128">
        <v>3491521.46</v>
      </c>
      <c r="V2069" s="128">
        <v>0</v>
      </c>
      <c r="W2069" s="128">
        <v>3491521.46</v>
      </c>
      <c r="X2069" s="128">
        <v>0</v>
      </c>
      <c r="Y2069" s="128">
        <v>0</v>
      </c>
      <c r="Z2069" s="128">
        <v>0</v>
      </c>
      <c r="AA2069" s="128">
        <v>3491521.46</v>
      </c>
      <c r="AB2069" s="126">
        <f t="shared" si="217"/>
        <v>-0.349152146</v>
      </c>
      <c r="AC2069" s="122" t="s">
        <v>1838</v>
      </c>
      <c r="AD2069" s="123">
        <f t="shared" si="218"/>
        <v>-0.42811103</v>
      </c>
    </row>
    <row r="2070" spans="1:30" ht="12.75" hidden="1" customHeight="1">
      <c r="A2070" s="125" t="str">
        <f t="shared" si="214"/>
        <v>LIC35Load Income</v>
      </c>
      <c r="B2070" s="125">
        <f>+IFERROR(VLOOKUP(L2070,'TB mapping'!A:D,4,0),0)</f>
        <v>0</v>
      </c>
      <c r="C2070" s="125">
        <f>+IFERROR(VLOOKUP(L2070,'TB mapping'!A:C,3,0),0)</f>
        <v>5.5</v>
      </c>
      <c r="D2070" s="125" t="str">
        <f t="shared" si="215"/>
        <v>LIC350</v>
      </c>
      <c r="E2070" s="125" t="str">
        <f t="shared" si="216"/>
        <v>LIC355.5</v>
      </c>
      <c r="F2070" s="158" t="str">
        <f>+VLOOKUP(H2070,'code mapping'!A:C,3,0)</f>
        <v>LIC35</v>
      </c>
      <c r="G2070" s="127" t="s">
        <v>453</v>
      </c>
      <c r="H2070" s="127" t="s">
        <v>752</v>
      </c>
      <c r="I2070" s="127" t="s">
        <v>753</v>
      </c>
      <c r="J2070" s="128">
        <v>460000</v>
      </c>
      <c r="K2070" s="127" t="s">
        <v>539</v>
      </c>
      <c r="L2070" s="151">
        <v>455103</v>
      </c>
      <c r="M2070" s="128">
        <v>0</v>
      </c>
      <c r="N2070" s="127" t="s">
        <v>540</v>
      </c>
      <c r="O2070" s="127" t="s">
        <v>457</v>
      </c>
      <c r="P2070" s="128">
        <v>0</v>
      </c>
      <c r="Q2070" s="128">
        <v>99610.45</v>
      </c>
      <c r="R2070" s="128">
        <v>0</v>
      </c>
      <c r="S2070" s="128">
        <v>0</v>
      </c>
      <c r="T2070" s="128">
        <v>0</v>
      </c>
      <c r="U2070" s="128">
        <v>99610.45</v>
      </c>
      <c r="V2070" s="128">
        <v>0</v>
      </c>
      <c r="W2070" s="128">
        <v>99610.45</v>
      </c>
      <c r="X2070" s="128">
        <v>0</v>
      </c>
      <c r="Y2070" s="128">
        <v>0</v>
      </c>
      <c r="Z2070" s="128">
        <v>0</v>
      </c>
      <c r="AA2070" s="128">
        <v>99610.45</v>
      </c>
      <c r="AB2070" s="126">
        <f t="shared" si="217"/>
        <v>-9.961045E-3</v>
      </c>
      <c r="AC2070" s="122" t="s">
        <v>1838</v>
      </c>
      <c r="AD2070" s="123">
        <f t="shared" si="218"/>
        <v>-3.3480800000000062E-4</v>
      </c>
    </row>
    <row r="2071" spans="1:30" ht="12.75" hidden="1" customHeight="1">
      <c r="A2071" s="125" t="str">
        <f t="shared" si="214"/>
        <v>LIC35Other Income</v>
      </c>
      <c r="B2071" s="125">
        <f>+IFERROR(VLOOKUP(L2071,'TB mapping'!A:D,4,0),0)</f>
        <v>0</v>
      </c>
      <c r="C2071" s="125">
        <f>+IFERROR(VLOOKUP(L2071,'TB mapping'!A:C,3,0),0)</f>
        <v>5.5</v>
      </c>
      <c r="D2071" s="125" t="str">
        <f t="shared" si="215"/>
        <v>LIC350</v>
      </c>
      <c r="E2071" s="125" t="str">
        <f t="shared" si="216"/>
        <v>LIC355.5</v>
      </c>
      <c r="F2071" s="158" t="str">
        <f>+VLOOKUP(H2071,'code mapping'!A:C,3,0)</f>
        <v>LIC35</v>
      </c>
      <c r="G2071" s="127" t="s">
        <v>453</v>
      </c>
      <c r="H2071" s="127" t="s">
        <v>752</v>
      </c>
      <c r="I2071" s="127" t="s">
        <v>753</v>
      </c>
      <c r="J2071" s="128">
        <v>460000</v>
      </c>
      <c r="K2071" s="127" t="s">
        <v>539</v>
      </c>
      <c r="L2071" s="151">
        <v>460000</v>
      </c>
      <c r="M2071" s="128">
        <v>0</v>
      </c>
      <c r="N2071" s="127" t="s">
        <v>541</v>
      </c>
      <c r="O2071" s="127" t="s">
        <v>457</v>
      </c>
      <c r="P2071" s="128">
        <v>-96262.37</v>
      </c>
      <c r="Q2071" s="128">
        <v>0</v>
      </c>
      <c r="R2071" s="128">
        <v>0</v>
      </c>
      <c r="S2071" s="128">
        <v>0</v>
      </c>
      <c r="T2071" s="128">
        <v>-96262.37</v>
      </c>
      <c r="U2071" s="128">
        <v>0</v>
      </c>
      <c r="V2071" s="128">
        <v>-96262.37</v>
      </c>
      <c r="W2071" s="128">
        <v>0</v>
      </c>
      <c r="X2071" s="128">
        <v>0</v>
      </c>
      <c r="Y2071" s="128">
        <v>0</v>
      </c>
      <c r="Z2071" s="128">
        <v>-96262.37</v>
      </c>
      <c r="AA2071" s="128">
        <v>0</v>
      </c>
      <c r="AB2071" s="126">
        <f t="shared" si="217"/>
        <v>9.6262369999999993E-3</v>
      </c>
      <c r="AC2071" s="122" t="s">
        <v>1838</v>
      </c>
      <c r="AD2071" s="123">
        <f t="shared" si="218"/>
        <v>-3.3480800000000062E-4</v>
      </c>
    </row>
    <row r="2072" spans="1:30" ht="12.75" hidden="1" customHeight="1">
      <c r="A2072" s="125" t="str">
        <f t="shared" si="214"/>
        <v>LIC35Interplan Adjustment</v>
      </c>
      <c r="B2072" s="125">
        <f>+IFERROR(VLOOKUP(L2072,'TB mapping'!A:D,4,0),0)</f>
        <v>0</v>
      </c>
      <c r="C2072" s="125">
        <f>+IFERROR(VLOOKUP(L2072,'TB mapping'!A:C,3,0),0)</f>
        <v>5.5</v>
      </c>
      <c r="D2072" s="125" t="str">
        <f t="shared" si="215"/>
        <v>LIC350</v>
      </c>
      <c r="E2072" s="125" t="str">
        <f t="shared" si="216"/>
        <v>LIC355.5</v>
      </c>
      <c r="F2072" s="158" t="str">
        <f>+VLOOKUP(H2072,'code mapping'!A:C,3,0)</f>
        <v>LIC35</v>
      </c>
      <c r="G2072" s="127" t="s">
        <v>453</v>
      </c>
      <c r="H2072" s="127" t="s">
        <v>752</v>
      </c>
      <c r="I2072" s="127" t="s">
        <v>753</v>
      </c>
      <c r="J2072" s="128">
        <v>460000</v>
      </c>
      <c r="K2072" s="127" t="s">
        <v>539</v>
      </c>
      <c r="L2072" s="151">
        <v>460100</v>
      </c>
      <c r="M2072" s="128">
        <v>0</v>
      </c>
      <c r="N2072" s="127" t="s">
        <v>633</v>
      </c>
      <c r="O2072" s="127" t="s">
        <v>457</v>
      </c>
      <c r="P2072" s="128">
        <v>0</v>
      </c>
      <c r="Q2072" s="128">
        <v>4735.0200000000004</v>
      </c>
      <c r="R2072" s="128">
        <v>0</v>
      </c>
      <c r="S2072" s="128">
        <v>0</v>
      </c>
      <c r="T2072" s="128">
        <v>0</v>
      </c>
      <c r="U2072" s="128">
        <v>4735.0200000000004</v>
      </c>
      <c r="V2072" s="128">
        <v>0</v>
      </c>
      <c r="W2072" s="128">
        <v>4735.0200000000004</v>
      </c>
      <c r="X2072" s="128">
        <v>0</v>
      </c>
      <c r="Y2072" s="128">
        <v>0</v>
      </c>
      <c r="Z2072" s="128">
        <v>0</v>
      </c>
      <c r="AA2072" s="128">
        <v>4735.0200000000004</v>
      </c>
      <c r="AB2072" s="126">
        <f t="shared" si="217"/>
        <v>-4.7350200000000005E-4</v>
      </c>
      <c r="AC2072" s="122" t="s">
        <v>1838</v>
      </c>
      <c r="AD2072" s="123">
        <f t="shared" si="218"/>
        <v>-3.3480800000000062E-4</v>
      </c>
    </row>
    <row r="2073" spans="1:30" ht="12.75" hidden="1" customHeight="1">
      <c r="A2073" s="125" t="str">
        <f t="shared" si="214"/>
        <v>LIC35Interplan Adjustment- RG</v>
      </c>
      <c r="B2073" s="125">
        <f>+IFERROR(VLOOKUP(L2073,'TB mapping'!A:D,4,0),0)</f>
        <v>0</v>
      </c>
      <c r="C2073" s="125">
        <f>+IFERROR(VLOOKUP(L2073,'TB mapping'!A:C,3,0),0)</f>
        <v>5.5</v>
      </c>
      <c r="D2073" s="125" t="str">
        <f t="shared" si="215"/>
        <v>LIC350</v>
      </c>
      <c r="E2073" s="125" t="str">
        <f t="shared" si="216"/>
        <v>LIC355.5</v>
      </c>
      <c r="F2073" s="158" t="str">
        <f>+VLOOKUP(H2073,'code mapping'!A:C,3,0)</f>
        <v>LIC35</v>
      </c>
      <c r="G2073" s="127" t="s">
        <v>453</v>
      </c>
      <c r="H2073" s="127" t="s">
        <v>752</v>
      </c>
      <c r="I2073" s="127" t="s">
        <v>753</v>
      </c>
      <c r="J2073" s="128">
        <v>460000</v>
      </c>
      <c r="K2073" s="127" t="s">
        <v>539</v>
      </c>
      <c r="L2073" s="151">
        <v>460101</v>
      </c>
      <c r="M2073" s="128">
        <v>0</v>
      </c>
      <c r="N2073" s="127" t="s">
        <v>542</v>
      </c>
      <c r="O2073" s="127" t="s">
        <v>457</v>
      </c>
      <c r="P2073" s="128">
        <v>-4720.4800000000005</v>
      </c>
      <c r="Q2073" s="128">
        <v>0</v>
      </c>
      <c r="R2073" s="128">
        <v>0</v>
      </c>
      <c r="S2073" s="128">
        <v>0</v>
      </c>
      <c r="T2073" s="128">
        <v>-4720.4800000000005</v>
      </c>
      <c r="U2073" s="128">
        <v>0</v>
      </c>
      <c r="V2073" s="128">
        <v>-4720.4800000000005</v>
      </c>
      <c r="W2073" s="128">
        <v>0</v>
      </c>
      <c r="X2073" s="128">
        <v>0</v>
      </c>
      <c r="Y2073" s="128">
        <v>0</v>
      </c>
      <c r="Z2073" s="128">
        <v>-4720.4800000000005</v>
      </c>
      <c r="AA2073" s="128">
        <v>0</v>
      </c>
      <c r="AB2073" s="126">
        <f t="shared" si="217"/>
        <v>4.7204800000000003E-4</v>
      </c>
      <c r="AC2073" s="122" t="s">
        <v>1838</v>
      </c>
      <c r="AD2073" s="123">
        <f t="shared" si="218"/>
        <v>-3.3480800000000062E-4</v>
      </c>
    </row>
    <row r="2074" spans="1:30" ht="12.75" hidden="1" customHeight="1">
      <c r="A2074" s="125" t="str">
        <f t="shared" si="214"/>
        <v>LIC35Interplan Adjustment- GDP</v>
      </c>
      <c r="B2074" s="125">
        <f>+IFERROR(VLOOKUP(L2074,'TB mapping'!A:D,4,0),0)</f>
        <v>0</v>
      </c>
      <c r="C2074" s="125">
        <f>+IFERROR(VLOOKUP(L2074,'TB mapping'!A:C,3,0),0)</f>
        <v>5.5</v>
      </c>
      <c r="D2074" s="125" t="str">
        <f t="shared" si="215"/>
        <v>LIC350</v>
      </c>
      <c r="E2074" s="125" t="str">
        <f t="shared" si="216"/>
        <v>LIC355.5</v>
      </c>
      <c r="F2074" s="158" t="str">
        <f>+VLOOKUP(H2074,'code mapping'!A:C,3,0)</f>
        <v>LIC35</v>
      </c>
      <c r="G2074" s="127" t="s">
        <v>453</v>
      </c>
      <c r="H2074" s="127" t="s">
        <v>752</v>
      </c>
      <c r="I2074" s="127" t="s">
        <v>753</v>
      </c>
      <c r="J2074" s="128">
        <v>460000</v>
      </c>
      <c r="K2074" s="127" t="s">
        <v>539</v>
      </c>
      <c r="L2074" s="151">
        <v>460143</v>
      </c>
      <c r="M2074" s="128">
        <v>0</v>
      </c>
      <c r="N2074" s="127" t="s">
        <v>544</v>
      </c>
      <c r="O2074" s="127" t="s">
        <v>457</v>
      </c>
      <c r="P2074" s="128">
        <v>-14.54</v>
      </c>
      <c r="Q2074" s="128">
        <v>0</v>
      </c>
      <c r="R2074" s="128">
        <v>0</v>
      </c>
      <c r="S2074" s="128">
        <v>0</v>
      </c>
      <c r="T2074" s="128">
        <v>-14.54</v>
      </c>
      <c r="U2074" s="128">
        <v>0</v>
      </c>
      <c r="V2074" s="128">
        <v>-14.54</v>
      </c>
      <c r="W2074" s="128">
        <v>0</v>
      </c>
      <c r="X2074" s="128">
        <v>0</v>
      </c>
      <c r="Y2074" s="128">
        <v>0</v>
      </c>
      <c r="Z2074" s="128">
        <v>-14.54</v>
      </c>
      <c r="AA2074" s="128">
        <v>0</v>
      </c>
      <c r="AB2074" s="126">
        <f t="shared" si="217"/>
        <v>1.454E-6</v>
      </c>
      <c r="AC2074" s="122" t="s">
        <v>1838</v>
      </c>
      <c r="AD2074" s="123">
        <f t="shared" si="218"/>
        <v>-3.3480800000000062E-4</v>
      </c>
    </row>
    <row r="2075" spans="1:30" ht="12.75" hidden="1" customHeight="1">
      <c r="A2075" s="125" t="str">
        <f t="shared" si="214"/>
        <v>LIC35R/L L/P - Equities</v>
      </c>
      <c r="B2075" s="125">
        <f>+IFERROR(VLOOKUP(L2075,'TB mapping'!A:D,4,0),0)</f>
        <v>0</v>
      </c>
      <c r="C2075" s="125">
        <f>+IFERROR(VLOOKUP(L2075,'TB mapping'!A:C,3,0),0)</f>
        <v>5.3</v>
      </c>
      <c r="D2075" s="125" t="str">
        <f t="shared" si="215"/>
        <v>LIC350</v>
      </c>
      <c r="E2075" s="125" t="str">
        <f t="shared" si="216"/>
        <v>LIC355.3</v>
      </c>
      <c r="F2075" s="158" t="str">
        <f>+VLOOKUP(H2075,'code mapping'!A:C,3,0)</f>
        <v>LIC35</v>
      </c>
      <c r="G2075" s="127" t="s">
        <v>453</v>
      </c>
      <c r="H2075" s="127" t="s">
        <v>752</v>
      </c>
      <c r="I2075" s="127" t="s">
        <v>753</v>
      </c>
      <c r="J2075" s="128">
        <v>510000</v>
      </c>
      <c r="K2075" s="127" t="s">
        <v>546</v>
      </c>
      <c r="L2075" s="151">
        <v>511100</v>
      </c>
      <c r="M2075" s="128">
        <v>0</v>
      </c>
      <c r="N2075" s="127" t="s">
        <v>599</v>
      </c>
      <c r="O2075" s="127" t="s">
        <v>457</v>
      </c>
      <c r="P2075" s="128">
        <v>-6516281.9400000004</v>
      </c>
      <c r="Q2075" s="128">
        <v>0</v>
      </c>
      <c r="R2075" s="128">
        <v>0</v>
      </c>
      <c r="S2075" s="128">
        <v>0</v>
      </c>
      <c r="T2075" s="128">
        <v>-6516281.9400000004</v>
      </c>
      <c r="U2075" s="128">
        <v>0</v>
      </c>
      <c r="V2075" s="128">
        <v>-6516281.9400000004</v>
      </c>
      <c r="W2075" s="128">
        <v>0</v>
      </c>
      <c r="X2075" s="128">
        <v>0</v>
      </c>
      <c r="Y2075" s="128">
        <v>0</v>
      </c>
      <c r="Z2075" s="128">
        <v>-6516281.9400000004</v>
      </c>
      <c r="AA2075" s="128">
        <v>0</v>
      </c>
      <c r="AB2075" s="126">
        <f t="shared" si="217"/>
        <v>0.65162819400000005</v>
      </c>
      <c r="AC2075" s="122" t="s">
        <v>1838</v>
      </c>
      <c r="AD2075" s="123">
        <f t="shared" si="218"/>
        <v>-2.2057089979999995</v>
      </c>
    </row>
    <row r="2076" spans="1:30" ht="12.75" hidden="1" customHeight="1">
      <c r="A2076" s="125" t="str">
        <f t="shared" si="214"/>
        <v>LIC35R/L L/P - Government Bonds</v>
      </c>
      <c r="B2076" s="125">
        <f>+IFERROR(VLOOKUP(L2076,'TB mapping'!A:D,4,0),0)</f>
        <v>0</v>
      </c>
      <c r="C2076" s="125">
        <f>+IFERROR(VLOOKUP(L2076,'TB mapping'!A:C,3,0),0)</f>
        <v>5.3</v>
      </c>
      <c r="D2076" s="125" t="str">
        <f t="shared" si="215"/>
        <v>LIC350</v>
      </c>
      <c r="E2076" s="125" t="str">
        <f t="shared" si="216"/>
        <v>LIC355.3</v>
      </c>
      <c r="F2076" s="158" t="str">
        <f>+VLOOKUP(H2076,'code mapping'!A:C,3,0)</f>
        <v>LIC35</v>
      </c>
      <c r="G2076" s="127" t="s">
        <v>453</v>
      </c>
      <c r="H2076" s="127" t="s">
        <v>752</v>
      </c>
      <c r="I2076" s="127" t="s">
        <v>753</v>
      </c>
      <c r="J2076" s="128">
        <v>510000</v>
      </c>
      <c r="K2076" s="127" t="s">
        <v>546</v>
      </c>
      <c r="L2076" s="151">
        <v>512130</v>
      </c>
      <c r="M2076" s="128">
        <v>0</v>
      </c>
      <c r="N2076" s="127" t="s">
        <v>548</v>
      </c>
      <c r="O2076" s="127" t="s">
        <v>457</v>
      </c>
      <c r="P2076" s="128">
        <v>-41750</v>
      </c>
      <c r="Q2076" s="128">
        <v>0</v>
      </c>
      <c r="R2076" s="128">
        <v>0</v>
      </c>
      <c r="S2076" s="128">
        <v>0</v>
      </c>
      <c r="T2076" s="128">
        <v>-41750</v>
      </c>
      <c r="U2076" s="128">
        <v>0</v>
      </c>
      <c r="V2076" s="128">
        <v>-41750</v>
      </c>
      <c r="W2076" s="128">
        <v>0</v>
      </c>
      <c r="X2076" s="128">
        <v>0</v>
      </c>
      <c r="Y2076" s="128">
        <v>0</v>
      </c>
      <c r="Z2076" s="128">
        <v>-41750</v>
      </c>
      <c r="AA2076" s="128">
        <v>0</v>
      </c>
      <c r="AB2076" s="126">
        <f t="shared" si="217"/>
        <v>4.1749999999999999E-3</v>
      </c>
      <c r="AC2076" s="122" t="s">
        <v>1838</v>
      </c>
      <c r="AD2076" s="123">
        <f t="shared" si="218"/>
        <v>-2.2057089979999995</v>
      </c>
    </row>
    <row r="2077" spans="1:30" ht="12.75" hidden="1" customHeight="1">
      <c r="A2077" s="125" t="str">
        <f t="shared" si="214"/>
        <v>LIC35Loss On Sale  Mutual Fund Unit</v>
      </c>
      <c r="B2077" s="125">
        <f>+IFERROR(VLOOKUP(L2077,'TB mapping'!A:D,4,0),0)</f>
        <v>0</v>
      </c>
      <c r="C2077" s="125">
        <f>+IFERROR(VLOOKUP(L2077,'TB mapping'!A:C,3,0),0)</f>
        <v>5.3</v>
      </c>
      <c r="D2077" s="125" t="str">
        <f t="shared" si="215"/>
        <v>LIC350</v>
      </c>
      <c r="E2077" s="125" t="str">
        <f t="shared" si="216"/>
        <v>LIC355.3</v>
      </c>
      <c r="F2077" s="158" t="str">
        <f>+VLOOKUP(H2077,'code mapping'!A:C,3,0)</f>
        <v>LIC35</v>
      </c>
      <c r="G2077" s="127" t="s">
        <v>453</v>
      </c>
      <c r="H2077" s="127" t="s">
        <v>752</v>
      </c>
      <c r="I2077" s="127" t="s">
        <v>753</v>
      </c>
      <c r="J2077" s="128">
        <v>520000</v>
      </c>
      <c r="K2077" s="127" t="s">
        <v>756</v>
      </c>
      <c r="L2077" s="151">
        <v>522229</v>
      </c>
      <c r="M2077" s="128">
        <v>0</v>
      </c>
      <c r="N2077" s="127" t="s">
        <v>757</v>
      </c>
      <c r="O2077" s="127" t="s">
        <v>457</v>
      </c>
      <c r="P2077" s="128">
        <v>-0.05</v>
      </c>
      <c r="Q2077" s="128">
        <v>0</v>
      </c>
      <c r="R2077" s="128">
        <v>0</v>
      </c>
      <c r="S2077" s="128">
        <v>0</v>
      </c>
      <c r="T2077" s="128">
        <v>-0.05</v>
      </c>
      <c r="U2077" s="128">
        <v>0</v>
      </c>
      <c r="V2077" s="128">
        <v>-0.05</v>
      </c>
      <c r="W2077" s="128">
        <v>0</v>
      </c>
      <c r="X2077" s="128">
        <v>0</v>
      </c>
      <c r="Y2077" s="128">
        <v>0</v>
      </c>
      <c r="Z2077" s="128">
        <v>-0.05</v>
      </c>
      <c r="AA2077" s="128">
        <v>0</v>
      </c>
      <c r="AB2077" s="126">
        <f t="shared" si="217"/>
        <v>5.0000000000000001E-9</v>
      </c>
      <c r="AC2077" s="122" t="s">
        <v>1838</v>
      </c>
      <c r="AD2077" s="123">
        <f t="shared" si="218"/>
        <v>-2.2057089979999995</v>
      </c>
    </row>
    <row r="2078" spans="1:30" ht="12.75" hidden="1" customHeight="1">
      <c r="A2078" s="125" t="str">
        <f t="shared" si="214"/>
        <v>LIC35SEBI Fees</v>
      </c>
      <c r="B2078" s="125">
        <f>+IFERROR(VLOOKUP(L2078,'TB mapping'!A:D,4,0),0)</f>
        <v>0</v>
      </c>
      <c r="C2078" s="125">
        <f>+IFERROR(VLOOKUP(L2078,'TB mapping'!A:C,3,0),0)</f>
        <v>6.3</v>
      </c>
      <c r="D2078" s="125" t="str">
        <f t="shared" si="215"/>
        <v>LIC350</v>
      </c>
      <c r="E2078" s="125" t="str">
        <f t="shared" si="216"/>
        <v>LIC356.3</v>
      </c>
      <c r="F2078" s="158" t="str">
        <f>+VLOOKUP(H2078,'code mapping'!A:C,3,0)</f>
        <v>LIC35</v>
      </c>
      <c r="G2078" s="127" t="s">
        <v>453</v>
      </c>
      <c r="H2078" s="127" t="s">
        <v>752</v>
      </c>
      <c r="I2078" s="127" t="s">
        <v>753</v>
      </c>
      <c r="J2078" s="128">
        <v>550000</v>
      </c>
      <c r="K2078" s="127" t="s">
        <v>550</v>
      </c>
      <c r="L2078" s="151">
        <v>553007</v>
      </c>
      <c r="M2078" s="128">
        <v>0</v>
      </c>
      <c r="N2078" s="127" t="s">
        <v>551</v>
      </c>
      <c r="O2078" s="127" t="s">
        <v>457</v>
      </c>
      <c r="P2078" s="128">
        <v>-2744.06</v>
      </c>
      <c r="Q2078" s="128">
        <v>0</v>
      </c>
      <c r="R2078" s="128">
        <v>0</v>
      </c>
      <c r="S2078" s="128">
        <v>0</v>
      </c>
      <c r="T2078" s="128">
        <v>-2744.06</v>
      </c>
      <c r="U2078" s="128">
        <v>0</v>
      </c>
      <c r="V2078" s="128">
        <v>-2744.06</v>
      </c>
      <c r="W2078" s="128">
        <v>0</v>
      </c>
      <c r="X2078" s="128">
        <v>0</v>
      </c>
      <c r="Y2078" s="128">
        <v>0</v>
      </c>
      <c r="Z2078" s="128">
        <v>-2744.06</v>
      </c>
      <c r="AA2078" s="128">
        <v>0</v>
      </c>
      <c r="AB2078" s="126">
        <f t="shared" si="217"/>
        <v>2.7440599999999999E-4</v>
      </c>
      <c r="AC2078" s="122" t="s">
        <v>1838</v>
      </c>
      <c r="AD2078" s="123">
        <f t="shared" si="218"/>
        <v>0.42607626199999998</v>
      </c>
    </row>
    <row r="2079" spans="1:30" ht="12.75" hidden="1" customHeight="1">
      <c r="A2079" s="125" t="str">
        <f t="shared" si="214"/>
        <v>LIC35Audit Fee</v>
      </c>
      <c r="B2079" s="125">
        <f>+IFERROR(VLOOKUP(L2079,'TB mapping'!A:D,4,0),0)</f>
        <v>0</v>
      </c>
      <c r="C2079" s="125">
        <f>+IFERROR(VLOOKUP(L2079,'TB mapping'!A:C,3,0),0)</f>
        <v>6.3</v>
      </c>
      <c r="D2079" s="125" t="str">
        <f t="shared" si="215"/>
        <v>LIC350</v>
      </c>
      <c r="E2079" s="125" t="str">
        <f t="shared" si="216"/>
        <v>LIC356.3</v>
      </c>
      <c r="F2079" s="158" t="str">
        <f>+VLOOKUP(H2079,'code mapping'!A:C,3,0)</f>
        <v>LIC35</v>
      </c>
      <c r="G2079" s="127" t="s">
        <v>453</v>
      </c>
      <c r="H2079" s="127" t="s">
        <v>752</v>
      </c>
      <c r="I2079" s="127" t="s">
        <v>753</v>
      </c>
      <c r="J2079" s="128">
        <v>550000</v>
      </c>
      <c r="K2079" s="127" t="s">
        <v>550</v>
      </c>
      <c r="L2079" s="151">
        <v>553105</v>
      </c>
      <c r="M2079" s="128">
        <v>0</v>
      </c>
      <c r="N2079" s="127" t="s">
        <v>552</v>
      </c>
      <c r="O2079" s="127" t="s">
        <v>457</v>
      </c>
      <c r="P2079" s="128">
        <v>-11526.89</v>
      </c>
      <c r="Q2079" s="128">
        <v>0</v>
      </c>
      <c r="R2079" s="128">
        <v>0</v>
      </c>
      <c r="S2079" s="128">
        <v>0</v>
      </c>
      <c r="T2079" s="128">
        <v>-11526.89</v>
      </c>
      <c r="U2079" s="128">
        <v>0</v>
      </c>
      <c r="V2079" s="128">
        <v>-11526.89</v>
      </c>
      <c r="W2079" s="128">
        <v>0</v>
      </c>
      <c r="X2079" s="128">
        <v>0</v>
      </c>
      <c r="Y2079" s="128">
        <v>0</v>
      </c>
      <c r="Z2079" s="128">
        <v>-11526.89</v>
      </c>
      <c r="AA2079" s="128">
        <v>0</v>
      </c>
      <c r="AB2079" s="126">
        <f t="shared" si="217"/>
        <v>1.1526889999999999E-3</v>
      </c>
      <c r="AC2079" s="122" t="s">
        <v>1838</v>
      </c>
      <c r="AD2079" s="123">
        <f t="shared" si="218"/>
        <v>0.42607626199999998</v>
      </c>
    </row>
    <row r="2080" spans="1:30" ht="12.75" hidden="1" customHeight="1">
      <c r="A2080" s="125" t="str">
        <f t="shared" si="214"/>
        <v>LIC35Custody Fee</v>
      </c>
      <c r="B2080" s="125">
        <f>+IFERROR(VLOOKUP(L2080,'TB mapping'!A:D,4,0),0)</f>
        <v>0</v>
      </c>
      <c r="C2080" s="125">
        <f>+IFERROR(VLOOKUP(L2080,'TB mapping'!A:C,3,0),0)</f>
        <v>6.3</v>
      </c>
      <c r="D2080" s="125" t="str">
        <f t="shared" si="215"/>
        <v>LIC350</v>
      </c>
      <c r="E2080" s="125" t="str">
        <f t="shared" si="216"/>
        <v>LIC356.3</v>
      </c>
      <c r="F2080" s="158" t="str">
        <f>+VLOOKUP(H2080,'code mapping'!A:C,3,0)</f>
        <v>LIC35</v>
      </c>
      <c r="G2080" s="127" t="s">
        <v>453</v>
      </c>
      <c r="H2080" s="127" t="s">
        <v>752</v>
      </c>
      <c r="I2080" s="127" t="s">
        <v>753</v>
      </c>
      <c r="J2080" s="128">
        <v>550000</v>
      </c>
      <c r="K2080" s="127" t="s">
        <v>550</v>
      </c>
      <c r="L2080" s="151">
        <v>553107</v>
      </c>
      <c r="M2080" s="128">
        <v>0</v>
      </c>
      <c r="N2080" s="127" t="s">
        <v>553</v>
      </c>
      <c r="O2080" s="127" t="s">
        <v>457</v>
      </c>
      <c r="P2080" s="128">
        <v>-88619.69</v>
      </c>
      <c r="Q2080" s="128">
        <v>0</v>
      </c>
      <c r="R2080" s="128">
        <v>0</v>
      </c>
      <c r="S2080" s="128">
        <v>0</v>
      </c>
      <c r="T2080" s="128">
        <v>-88619.69</v>
      </c>
      <c r="U2080" s="128">
        <v>0</v>
      </c>
      <c r="V2080" s="128">
        <v>-88619.69</v>
      </c>
      <c r="W2080" s="128">
        <v>0</v>
      </c>
      <c r="X2080" s="128">
        <v>0</v>
      </c>
      <c r="Y2080" s="128">
        <v>0</v>
      </c>
      <c r="Z2080" s="128">
        <v>-88619.69</v>
      </c>
      <c r="AA2080" s="128">
        <v>0</v>
      </c>
      <c r="AB2080" s="126">
        <f t="shared" si="217"/>
        <v>8.8619690000000008E-3</v>
      </c>
      <c r="AC2080" s="122" t="s">
        <v>1838</v>
      </c>
      <c r="AD2080" s="123">
        <f t="shared" si="218"/>
        <v>0.42607626199999998</v>
      </c>
    </row>
    <row r="2081" spans="1:30" ht="12.75" hidden="1" customHeight="1">
      <c r="A2081" s="125" t="str">
        <f t="shared" si="214"/>
        <v>LIC35Expense Allocation Account</v>
      </c>
      <c r="B2081" s="125">
        <f>+IFERROR(VLOOKUP(L2081,'TB mapping'!A:D,4,0),0)</f>
        <v>0</v>
      </c>
      <c r="C2081" s="125">
        <f>+IFERROR(VLOOKUP(L2081,'TB mapping'!A:C,3,0),0)</f>
        <v>6.3</v>
      </c>
      <c r="D2081" s="125" t="str">
        <f t="shared" si="215"/>
        <v>LIC350</v>
      </c>
      <c r="E2081" s="125" t="str">
        <f t="shared" si="216"/>
        <v>LIC356.3</v>
      </c>
      <c r="F2081" s="158" t="str">
        <f>+VLOOKUP(H2081,'code mapping'!A:C,3,0)</f>
        <v>LIC35</v>
      </c>
      <c r="G2081" s="127" t="s">
        <v>453</v>
      </c>
      <c r="H2081" s="127" t="s">
        <v>752</v>
      </c>
      <c r="I2081" s="127" t="s">
        <v>753</v>
      </c>
      <c r="J2081" s="128">
        <v>550000</v>
      </c>
      <c r="K2081" s="127" t="s">
        <v>550</v>
      </c>
      <c r="L2081" s="151">
        <v>553111</v>
      </c>
      <c r="M2081" s="128">
        <v>0</v>
      </c>
      <c r="N2081" s="127" t="s">
        <v>554</v>
      </c>
      <c r="O2081" s="127" t="s">
        <v>457</v>
      </c>
      <c r="P2081" s="128">
        <v>0</v>
      </c>
      <c r="Q2081" s="128">
        <v>200777.62</v>
      </c>
      <c r="R2081" s="128">
        <v>0</v>
      </c>
      <c r="S2081" s="128">
        <v>0</v>
      </c>
      <c r="T2081" s="128">
        <v>0</v>
      </c>
      <c r="U2081" s="128">
        <v>200777.62</v>
      </c>
      <c r="V2081" s="128">
        <v>0</v>
      </c>
      <c r="W2081" s="128">
        <v>200777.62</v>
      </c>
      <c r="X2081" s="128">
        <v>0</v>
      </c>
      <c r="Y2081" s="128">
        <v>0</v>
      </c>
      <c r="Z2081" s="128">
        <v>0</v>
      </c>
      <c r="AA2081" s="128">
        <v>200777.62</v>
      </c>
      <c r="AB2081" s="126">
        <f t="shared" si="217"/>
        <v>-2.0077761999999999E-2</v>
      </c>
      <c r="AC2081" s="122" t="s">
        <v>1838</v>
      </c>
      <c r="AD2081" s="123">
        <f t="shared" si="218"/>
        <v>0.42607626199999998</v>
      </c>
    </row>
    <row r="2082" spans="1:30" ht="12.75" hidden="1" customHeight="1">
      <c r="A2082" s="125" t="str">
        <f t="shared" si="214"/>
        <v>LIC35Trustee Fee</v>
      </c>
      <c r="B2082" s="125">
        <f>+IFERROR(VLOOKUP(L2082,'TB mapping'!A:D,4,0),0)</f>
        <v>6.2</v>
      </c>
      <c r="C2082" s="125">
        <f>+IFERROR(VLOOKUP(L2082,'TB mapping'!A:C,3,0),0)</f>
        <v>6.3</v>
      </c>
      <c r="D2082" s="125" t="str">
        <f t="shared" si="215"/>
        <v>LIC356.2</v>
      </c>
      <c r="E2082" s="125" t="str">
        <f t="shared" si="216"/>
        <v>LIC356.3</v>
      </c>
      <c r="F2082" s="158" t="str">
        <f>+VLOOKUP(H2082,'code mapping'!A:C,3,0)</f>
        <v>LIC35</v>
      </c>
      <c r="G2082" s="127" t="s">
        <v>453</v>
      </c>
      <c r="H2082" s="127" t="s">
        <v>752</v>
      </c>
      <c r="I2082" s="127" t="s">
        <v>753</v>
      </c>
      <c r="J2082" s="128">
        <v>550000</v>
      </c>
      <c r="K2082" s="127" t="s">
        <v>550</v>
      </c>
      <c r="L2082" s="151">
        <v>553131</v>
      </c>
      <c r="M2082" s="128">
        <v>0</v>
      </c>
      <c r="N2082" s="127" t="s">
        <v>555</v>
      </c>
      <c r="O2082" s="127" t="s">
        <v>457</v>
      </c>
      <c r="P2082" s="128">
        <v>-2124.2600000000002</v>
      </c>
      <c r="Q2082" s="128">
        <v>0</v>
      </c>
      <c r="R2082" s="128">
        <v>0</v>
      </c>
      <c r="S2082" s="128">
        <v>0</v>
      </c>
      <c r="T2082" s="128">
        <v>-2124.2600000000002</v>
      </c>
      <c r="U2082" s="128">
        <v>0</v>
      </c>
      <c r="V2082" s="128">
        <v>-2124.2600000000002</v>
      </c>
      <c r="W2082" s="128">
        <v>0</v>
      </c>
      <c r="X2082" s="128">
        <v>0</v>
      </c>
      <c r="Y2082" s="128">
        <v>0</v>
      </c>
      <c r="Z2082" s="128">
        <v>-2124.2600000000002</v>
      </c>
      <c r="AA2082" s="128">
        <v>0</v>
      </c>
      <c r="AB2082" s="126">
        <f t="shared" si="217"/>
        <v>2.1242600000000002E-4</v>
      </c>
      <c r="AC2082" s="122" t="s">
        <v>1838</v>
      </c>
      <c r="AD2082" s="123">
        <f t="shared" si="218"/>
        <v>0.42607626199999998</v>
      </c>
    </row>
    <row r="2083" spans="1:30" ht="12.75" hidden="1" customHeight="1">
      <c r="A2083" s="125" t="str">
        <f t="shared" si="214"/>
        <v>LIC35Bank Charges</v>
      </c>
      <c r="B2083" s="125">
        <f>+IFERROR(VLOOKUP(L2083,'TB mapping'!A:D,4,0),0)</f>
        <v>0</v>
      </c>
      <c r="C2083" s="125">
        <f>+IFERROR(VLOOKUP(L2083,'TB mapping'!A:C,3,0),0)</f>
        <v>6.3</v>
      </c>
      <c r="D2083" s="125" t="str">
        <f t="shared" si="215"/>
        <v>LIC350</v>
      </c>
      <c r="E2083" s="125" t="str">
        <f t="shared" si="216"/>
        <v>LIC356.3</v>
      </c>
      <c r="F2083" s="158" t="str">
        <f>+VLOOKUP(H2083,'code mapping'!A:C,3,0)</f>
        <v>LIC35</v>
      </c>
      <c r="G2083" s="127" t="s">
        <v>453</v>
      </c>
      <c r="H2083" s="127" t="s">
        <v>752</v>
      </c>
      <c r="I2083" s="127" t="s">
        <v>753</v>
      </c>
      <c r="J2083" s="128">
        <v>550000</v>
      </c>
      <c r="K2083" s="127" t="s">
        <v>550</v>
      </c>
      <c r="L2083" s="151">
        <v>553141</v>
      </c>
      <c r="M2083" s="128">
        <v>0</v>
      </c>
      <c r="N2083" s="127" t="s">
        <v>556</v>
      </c>
      <c r="O2083" s="127" t="s">
        <v>457</v>
      </c>
      <c r="P2083" s="128">
        <v>-6667</v>
      </c>
      <c r="Q2083" s="128">
        <v>0</v>
      </c>
      <c r="R2083" s="128">
        <v>0</v>
      </c>
      <c r="S2083" s="128">
        <v>0</v>
      </c>
      <c r="T2083" s="128">
        <v>-6667</v>
      </c>
      <c r="U2083" s="128">
        <v>0</v>
      </c>
      <c r="V2083" s="128">
        <v>-6667</v>
      </c>
      <c r="W2083" s="128">
        <v>0</v>
      </c>
      <c r="X2083" s="128">
        <v>0</v>
      </c>
      <c r="Y2083" s="128">
        <v>0</v>
      </c>
      <c r="Z2083" s="128">
        <v>-6667</v>
      </c>
      <c r="AA2083" s="128">
        <v>0</v>
      </c>
      <c r="AB2083" s="126">
        <f t="shared" si="217"/>
        <v>6.667E-4</v>
      </c>
      <c r="AC2083" s="122" t="s">
        <v>1838</v>
      </c>
      <c r="AD2083" s="123">
        <f t="shared" si="218"/>
        <v>0.42607626199999998</v>
      </c>
    </row>
    <row r="2084" spans="1:30" ht="12.75" hidden="1" customHeight="1">
      <c r="A2084" s="125" t="str">
        <f t="shared" si="214"/>
        <v>LIC35Investor Education Fund Exps</v>
      </c>
      <c r="B2084" s="125">
        <f>+IFERROR(VLOOKUP(L2084,'TB mapping'!A:D,4,0),0)</f>
        <v>0</v>
      </c>
      <c r="C2084" s="125">
        <f>+IFERROR(VLOOKUP(L2084,'TB mapping'!A:C,3,0),0)</f>
        <v>6.3</v>
      </c>
      <c r="D2084" s="125" t="str">
        <f t="shared" si="215"/>
        <v>LIC350</v>
      </c>
      <c r="E2084" s="125" t="str">
        <f t="shared" si="216"/>
        <v>LIC356.3</v>
      </c>
      <c r="F2084" s="158" t="str">
        <f>+VLOOKUP(H2084,'code mapping'!A:C,3,0)</f>
        <v>LIC35</v>
      </c>
      <c r="G2084" s="127" t="s">
        <v>453</v>
      </c>
      <c r="H2084" s="127" t="s">
        <v>752</v>
      </c>
      <c r="I2084" s="127" t="s">
        <v>753</v>
      </c>
      <c r="J2084" s="128">
        <v>550000</v>
      </c>
      <c r="K2084" s="127" t="s">
        <v>550</v>
      </c>
      <c r="L2084" s="151">
        <v>553171</v>
      </c>
      <c r="M2084" s="128">
        <v>0</v>
      </c>
      <c r="N2084" s="127" t="s">
        <v>557</v>
      </c>
      <c r="O2084" s="127" t="s">
        <v>457</v>
      </c>
      <c r="P2084" s="128">
        <v>-21689.94</v>
      </c>
      <c r="Q2084" s="128">
        <v>0</v>
      </c>
      <c r="R2084" s="128">
        <v>0</v>
      </c>
      <c r="S2084" s="128">
        <v>0</v>
      </c>
      <c r="T2084" s="128">
        <v>-21689.94</v>
      </c>
      <c r="U2084" s="128">
        <v>0</v>
      </c>
      <c r="V2084" s="128">
        <v>-21689.94</v>
      </c>
      <c r="W2084" s="128">
        <v>0</v>
      </c>
      <c r="X2084" s="128">
        <v>0</v>
      </c>
      <c r="Y2084" s="128">
        <v>0</v>
      </c>
      <c r="Z2084" s="128">
        <v>-21689.94</v>
      </c>
      <c r="AA2084" s="128">
        <v>0</v>
      </c>
      <c r="AB2084" s="126">
        <f t="shared" si="217"/>
        <v>2.168994E-3</v>
      </c>
      <c r="AC2084" s="122" t="s">
        <v>1838</v>
      </c>
      <c r="AD2084" s="123">
        <f t="shared" si="218"/>
        <v>0.42607626199999998</v>
      </c>
    </row>
    <row r="2085" spans="1:30" ht="12.75" hidden="1" customHeight="1">
      <c r="A2085" s="125" t="str">
        <f t="shared" si="214"/>
        <v>LIC35Service Tax on Management Fees</v>
      </c>
      <c r="B2085" s="125">
        <f>+IFERROR(VLOOKUP(L2085,'TB mapping'!A:D,4,0),0)</f>
        <v>6.1</v>
      </c>
      <c r="C2085" s="125">
        <f>+IFERROR(VLOOKUP(L2085,'TB mapping'!A:C,3,0),0)</f>
        <v>6.3</v>
      </c>
      <c r="D2085" s="125" t="str">
        <f t="shared" si="215"/>
        <v>LIC356.1</v>
      </c>
      <c r="E2085" s="125" t="str">
        <f t="shared" si="216"/>
        <v>LIC356.3</v>
      </c>
      <c r="F2085" s="158" t="str">
        <f>+VLOOKUP(H2085,'code mapping'!A:C,3,0)</f>
        <v>LIC35</v>
      </c>
      <c r="G2085" s="127" t="s">
        <v>453</v>
      </c>
      <c r="H2085" s="127" t="s">
        <v>752</v>
      </c>
      <c r="I2085" s="127" t="s">
        <v>753</v>
      </c>
      <c r="J2085" s="128">
        <v>550000</v>
      </c>
      <c r="K2085" s="127" t="s">
        <v>550</v>
      </c>
      <c r="L2085" s="151">
        <v>553172</v>
      </c>
      <c r="M2085" s="128">
        <v>0</v>
      </c>
      <c r="N2085" s="127" t="s">
        <v>558</v>
      </c>
      <c r="O2085" s="127" t="s">
        <v>457</v>
      </c>
      <c r="P2085" s="128">
        <v>-75676.14</v>
      </c>
      <c r="Q2085" s="128">
        <v>0</v>
      </c>
      <c r="R2085" s="128">
        <v>0</v>
      </c>
      <c r="S2085" s="128">
        <v>0</v>
      </c>
      <c r="T2085" s="128">
        <v>-75676.14</v>
      </c>
      <c r="U2085" s="128">
        <v>0</v>
      </c>
      <c r="V2085" s="128">
        <v>-75676.14</v>
      </c>
      <c r="W2085" s="128">
        <v>0</v>
      </c>
      <c r="X2085" s="128">
        <v>0</v>
      </c>
      <c r="Y2085" s="128">
        <v>0</v>
      </c>
      <c r="Z2085" s="128">
        <v>-75676.14</v>
      </c>
      <c r="AA2085" s="128">
        <v>0</v>
      </c>
      <c r="AB2085" s="126">
        <f t="shared" si="217"/>
        <v>7.5676140000000003E-3</v>
      </c>
      <c r="AC2085" s="122" t="s">
        <v>1838</v>
      </c>
      <c r="AD2085" s="123">
        <f t="shared" si="218"/>
        <v>0.42607626199999998</v>
      </c>
    </row>
    <row r="2086" spans="1:30" ht="12.75" hidden="1" customHeight="1">
      <c r="A2086" s="125" t="str">
        <f t="shared" si="214"/>
        <v>LIC35CCIL Expenses</v>
      </c>
      <c r="B2086" s="125">
        <f>+IFERROR(VLOOKUP(L2086,'TB mapping'!A:D,4,0),0)</f>
        <v>0</v>
      </c>
      <c r="C2086" s="125">
        <f>+IFERROR(VLOOKUP(L2086,'TB mapping'!A:C,3,0),0)</f>
        <v>6.3</v>
      </c>
      <c r="D2086" s="125" t="str">
        <f t="shared" si="215"/>
        <v>LIC350</v>
      </c>
      <c r="E2086" s="125" t="str">
        <f t="shared" si="216"/>
        <v>LIC356.3</v>
      </c>
      <c r="F2086" s="158" t="str">
        <f>+VLOOKUP(H2086,'code mapping'!A:C,3,0)</f>
        <v>LIC35</v>
      </c>
      <c r="G2086" s="127" t="s">
        <v>453</v>
      </c>
      <c r="H2086" s="127" t="s">
        <v>752</v>
      </c>
      <c r="I2086" s="127" t="s">
        <v>753</v>
      </c>
      <c r="J2086" s="128">
        <v>550000</v>
      </c>
      <c r="K2086" s="127" t="s">
        <v>550</v>
      </c>
      <c r="L2086" s="151">
        <v>553176</v>
      </c>
      <c r="M2086" s="128">
        <v>0</v>
      </c>
      <c r="N2086" s="127" t="s">
        <v>559</v>
      </c>
      <c r="O2086" s="127" t="s">
        <v>457</v>
      </c>
      <c r="P2086" s="128">
        <v>-18193.189999999999</v>
      </c>
      <c r="Q2086" s="128">
        <v>0</v>
      </c>
      <c r="R2086" s="128">
        <v>0</v>
      </c>
      <c r="S2086" s="128">
        <v>0</v>
      </c>
      <c r="T2086" s="128">
        <v>-18193.189999999999</v>
      </c>
      <c r="U2086" s="128">
        <v>0</v>
      </c>
      <c r="V2086" s="128">
        <v>-18193.189999999999</v>
      </c>
      <c r="W2086" s="128">
        <v>0</v>
      </c>
      <c r="X2086" s="128">
        <v>0</v>
      </c>
      <c r="Y2086" s="128">
        <v>0</v>
      </c>
      <c r="Z2086" s="128">
        <v>-18193.189999999999</v>
      </c>
      <c r="AA2086" s="128">
        <v>0</v>
      </c>
      <c r="AB2086" s="126">
        <f t="shared" si="217"/>
        <v>1.8193189999999998E-3</v>
      </c>
      <c r="AC2086" s="122" t="s">
        <v>1838</v>
      </c>
      <c r="AD2086" s="123">
        <f t="shared" si="218"/>
        <v>0.42607626199999998</v>
      </c>
    </row>
    <row r="2087" spans="1:30" ht="12.75" hidden="1" customHeight="1">
      <c r="A2087" s="125" t="str">
        <f t="shared" si="214"/>
        <v>LIC35Out of Pocket Expenses - R&amp;T</v>
      </c>
      <c r="B2087" s="125">
        <f>+IFERROR(VLOOKUP(L2087,'TB mapping'!A:D,4,0),0)</f>
        <v>0</v>
      </c>
      <c r="C2087" s="125">
        <f>+IFERROR(VLOOKUP(L2087,'TB mapping'!A:C,3,0),0)</f>
        <v>6.3</v>
      </c>
      <c r="D2087" s="125" t="str">
        <f t="shared" si="215"/>
        <v>LIC350</v>
      </c>
      <c r="E2087" s="125" t="str">
        <f t="shared" si="216"/>
        <v>LIC356.3</v>
      </c>
      <c r="F2087" s="158" t="str">
        <f>+VLOOKUP(H2087,'code mapping'!A:C,3,0)</f>
        <v>LIC35</v>
      </c>
      <c r="G2087" s="127" t="s">
        <v>453</v>
      </c>
      <c r="H2087" s="127" t="s">
        <v>752</v>
      </c>
      <c r="I2087" s="127" t="s">
        <v>753</v>
      </c>
      <c r="J2087" s="128">
        <v>550000</v>
      </c>
      <c r="K2087" s="127" t="s">
        <v>550</v>
      </c>
      <c r="L2087" s="151">
        <v>553180</v>
      </c>
      <c r="M2087" s="128">
        <v>0</v>
      </c>
      <c r="N2087" s="127" t="s">
        <v>560</v>
      </c>
      <c r="O2087" s="127" t="s">
        <v>457</v>
      </c>
      <c r="P2087" s="128">
        <v>-24538.12</v>
      </c>
      <c r="Q2087" s="128">
        <v>0</v>
      </c>
      <c r="R2087" s="128">
        <v>0</v>
      </c>
      <c r="S2087" s="128">
        <v>0</v>
      </c>
      <c r="T2087" s="128">
        <v>-24538.12</v>
      </c>
      <c r="U2087" s="128">
        <v>0</v>
      </c>
      <c r="V2087" s="128">
        <v>-24538.12</v>
      </c>
      <c r="W2087" s="128">
        <v>0</v>
      </c>
      <c r="X2087" s="128">
        <v>0</v>
      </c>
      <c r="Y2087" s="128">
        <v>0</v>
      </c>
      <c r="Z2087" s="128">
        <v>-24538.12</v>
      </c>
      <c r="AA2087" s="128">
        <v>0</v>
      </c>
      <c r="AB2087" s="126">
        <f t="shared" si="217"/>
        <v>2.4538120000000001E-3</v>
      </c>
      <c r="AC2087" s="122" t="s">
        <v>1838</v>
      </c>
      <c r="AD2087" s="123">
        <f t="shared" si="218"/>
        <v>0.42607626199999998</v>
      </c>
    </row>
    <row r="2088" spans="1:30" ht="12.75" hidden="1" customHeight="1">
      <c r="A2088" s="125" t="str">
        <f t="shared" si="214"/>
        <v>LIC35Other Expenses</v>
      </c>
      <c r="B2088" s="125">
        <f>+IFERROR(VLOOKUP(L2088,'TB mapping'!A:D,4,0),0)</f>
        <v>0</v>
      </c>
      <c r="C2088" s="125">
        <f>+IFERROR(VLOOKUP(L2088,'TB mapping'!A:C,3,0),0)</f>
        <v>6.3</v>
      </c>
      <c r="D2088" s="125" t="str">
        <f t="shared" si="215"/>
        <v>LIC350</v>
      </c>
      <c r="E2088" s="125" t="str">
        <f t="shared" si="216"/>
        <v>LIC356.3</v>
      </c>
      <c r="F2088" s="158" t="str">
        <f>+VLOOKUP(H2088,'code mapping'!A:C,3,0)</f>
        <v>LIC35</v>
      </c>
      <c r="G2088" s="127" t="s">
        <v>453</v>
      </c>
      <c r="H2088" s="127" t="s">
        <v>752</v>
      </c>
      <c r="I2088" s="127" t="s">
        <v>753</v>
      </c>
      <c r="J2088" s="128">
        <v>550000</v>
      </c>
      <c r="K2088" s="127" t="s">
        <v>550</v>
      </c>
      <c r="L2088" s="151">
        <v>553190</v>
      </c>
      <c r="M2088" s="128">
        <v>0</v>
      </c>
      <c r="N2088" s="127" t="s">
        <v>561</v>
      </c>
      <c r="O2088" s="127" t="s">
        <v>457</v>
      </c>
      <c r="P2088" s="128">
        <v>0</v>
      </c>
      <c r="Q2088" s="128">
        <v>52354.44</v>
      </c>
      <c r="R2088" s="128">
        <v>0</v>
      </c>
      <c r="S2088" s="128">
        <v>0</v>
      </c>
      <c r="T2088" s="128">
        <v>0</v>
      </c>
      <c r="U2088" s="128">
        <v>52354.44</v>
      </c>
      <c r="V2088" s="128">
        <v>0</v>
      </c>
      <c r="W2088" s="128">
        <v>52354.44</v>
      </c>
      <c r="X2088" s="128">
        <v>0</v>
      </c>
      <c r="Y2088" s="128">
        <v>0</v>
      </c>
      <c r="Z2088" s="128">
        <v>0</v>
      </c>
      <c r="AA2088" s="128">
        <v>52354.44</v>
      </c>
      <c r="AB2088" s="126">
        <f t="shared" si="217"/>
        <v>-5.2354440000000006E-3</v>
      </c>
      <c r="AC2088" s="122" t="s">
        <v>1838</v>
      </c>
      <c r="AD2088" s="123">
        <f t="shared" si="218"/>
        <v>0.42607626199999998</v>
      </c>
    </row>
    <row r="2089" spans="1:30" ht="12.75" hidden="1" customHeight="1">
      <c r="A2089" s="125" t="str">
        <f t="shared" si="214"/>
        <v>LIC35Other Expenses-RG</v>
      </c>
      <c r="B2089" s="125">
        <f>+IFERROR(VLOOKUP(L2089,'TB mapping'!A:D,4,0),0)</f>
        <v>0</v>
      </c>
      <c r="C2089" s="125">
        <f>+IFERROR(VLOOKUP(L2089,'TB mapping'!A:C,3,0),0)</f>
        <v>6.3</v>
      </c>
      <c r="D2089" s="125" t="str">
        <f t="shared" si="215"/>
        <v>LIC350</v>
      </c>
      <c r="E2089" s="125" t="str">
        <f t="shared" si="216"/>
        <v>LIC356.3</v>
      </c>
      <c r="F2089" s="158" t="str">
        <f>+VLOOKUP(H2089,'code mapping'!A:C,3,0)</f>
        <v>LIC35</v>
      </c>
      <c r="G2089" s="127" t="s">
        <v>453</v>
      </c>
      <c r="H2089" s="127" t="s">
        <v>752</v>
      </c>
      <c r="I2089" s="127" t="s">
        <v>753</v>
      </c>
      <c r="J2089" s="128">
        <v>550000</v>
      </c>
      <c r="K2089" s="127" t="s">
        <v>550</v>
      </c>
      <c r="L2089" s="151">
        <v>553191</v>
      </c>
      <c r="M2089" s="128">
        <v>0</v>
      </c>
      <c r="N2089" s="127" t="s">
        <v>562</v>
      </c>
      <c r="O2089" s="127" t="s">
        <v>457</v>
      </c>
      <c r="P2089" s="128">
        <v>-224599.45</v>
      </c>
      <c r="Q2089" s="128">
        <v>0</v>
      </c>
      <c r="R2089" s="128">
        <v>0</v>
      </c>
      <c r="S2089" s="128">
        <v>0</v>
      </c>
      <c r="T2089" s="128">
        <v>-224599.45</v>
      </c>
      <c r="U2089" s="128">
        <v>0</v>
      </c>
      <c r="V2089" s="128">
        <v>-224599.45</v>
      </c>
      <c r="W2089" s="128">
        <v>0</v>
      </c>
      <c r="X2089" s="128">
        <v>0</v>
      </c>
      <c r="Y2089" s="128">
        <v>0</v>
      </c>
      <c r="Z2089" s="128">
        <v>-224599.45</v>
      </c>
      <c r="AA2089" s="128">
        <v>0</v>
      </c>
      <c r="AB2089" s="126">
        <f t="shared" si="217"/>
        <v>2.2459945000000002E-2</v>
      </c>
      <c r="AC2089" s="122" t="s">
        <v>1838</v>
      </c>
      <c r="AD2089" s="123">
        <f t="shared" si="218"/>
        <v>0.42607626199999998</v>
      </c>
    </row>
    <row r="2090" spans="1:30" ht="12.75" hidden="1" customHeight="1">
      <c r="A2090" s="125" t="str">
        <f t="shared" si="214"/>
        <v>LIC35Other Exp - Brok - Indirect</v>
      </c>
      <c r="B2090" s="125">
        <f>+IFERROR(VLOOKUP(L2090,'TB mapping'!A:D,4,0),0)</f>
        <v>0</v>
      </c>
      <c r="C2090" s="125">
        <f>+IFERROR(VLOOKUP(L2090,'TB mapping'!A:C,3,0),0)</f>
        <v>6.3</v>
      </c>
      <c r="D2090" s="125" t="str">
        <f t="shared" si="215"/>
        <v>LIC350</v>
      </c>
      <c r="E2090" s="125" t="str">
        <f t="shared" si="216"/>
        <v>LIC356.3</v>
      </c>
      <c r="F2090" s="158" t="str">
        <f>+VLOOKUP(H2090,'code mapping'!A:C,3,0)</f>
        <v>LIC35</v>
      </c>
      <c r="G2090" s="127" t="s">
        <v>453</v>
      </c>
      <c r="H2090" s="127" t="s">
        <v>752</v>
      </c>
      <c r="I2090" s="127" t="s">
        <v>753</v>
      </c>
      <c r="J2090" s="128">
        <v>550000</v>
      </c>
      <c r="K2090" s="127" t="s">
        <v>550</v>
      </c>
      <c r="L2090" s="151">
        <v>553202</v>
      </c>
      <c r="M2090" s="128">
        <v>0</v>
      </c>
      <c r="N2090" s="127" t="s">
        <v>564</v>
      </c>
      <c r="O2090" s="127" t="s">
        <v>457</v>
      </c>
      <c r="P2090" s="128">
        <v>-807978.31</v>
      </c>
      <c r="Q2090" s="128">
        <v>0</v>
      </c>
      <c r="R2090" s="128">
        <v>0</v>
      </c>
      <c r="S2090" s="128">
        <v>0</v>
      </c>
      <c r="T2090" s="128">
        <v>-807978.31</v>
      </c>
      <c r="U2090" s="128">
        <v>0</v>
      </c>
      <c r="V2090" s="128">
        <v>-807978.31</v>
      </c>
      <c r="W2090" s="128">
        <v>0</v>
      </c>
      <c r="X2090" s="128">
        <v>0</v>
      </c>
      <c r="Y2090" s="128">
        <v>0</v>
      </c>
      <c r="Z2090" s="128">
        <v>-807978.31</v>
      </c>
      <c r="AA2090" s="128">
        <v>0</v>
      </c>
      <c r="AB2090" s="126">
        <f t="shared" si="217"/>
        <v>8.0797831000000001E-2</v>
      </c>
      <c r="AC2090" s="122" t="s">
        <v>1838</v>
      </c>
      <c r="AD2090" s="123">
        <f t="shared" si="218"/>
        <v>0.42607626199999998</v>
      </c>
    </row>
    <row r="2091" spans="1:30" ht="12.75" hidden="1" customHeight="1">
      <c r="A2091" s="125" t="str">
        <f t="shared" si="214"/>
        <v>LIC35Brokerage/Dist Exps</v>
      </c>
      <c r="B2091" s="125">
        <f>+IFERROR(VLOOKUP(L2091,'TB mapping'!A:D,4,0),0)</f>
        <v>0</v>
      </c>
      <c r="C2091" s="125">
        <f>+IFERROR(VLOOKUP(L2091,'TB mapping'!A:C,3,0),0)</f>
        <v>6.3</v>
      </c>
      <c r="D2091" s="125" t="str">
        <f t="shared" si="215"/>
        <v>LIC350</v>
      </c>
      <c r="E2091" s="125" t="str">
        <f t="shared" si="216"/>
        <v>LIC356.3</v>
      </c>
      <c r="F2091" s="158" t="str">
        <f>+VLOOKUP(H2091,'code mapping'!A:C,3,0)</f>
        <v>LIC35</v>
      </c>
      <c r="G2091" s="127" t="s">
        <v>453</v>
      </c>
      <c r="H2091" s="127" t="s">
        <v>752</v>
      </c>
      <c r="I2091" s="127" t="s">
        <v>753</v>
      </c>
      <c r="J2091" s="128">
        <v>550000</v>
      </c>
      <c r="K2091" s="127" t="s">
        <v>550</v>
      </c>
      <c r="L2091" s="151">
        <v>553208</v>
      </c>
      <c r="M2091" s="128">
        <v>0</v>
      </c>
      <c r="N2091" s="127" t="s">
        <v>565</v>
      </c>
      <c r="O2091" s="127" t="s">
        <v>457</v>
      </c>
      <c r="P2091" s="128">
        <v>0</v>
      </c>
      <c r="Q2091" s="128">
        <v>399800.1</v>
      </c>
      <c r="R2091" s="128">
        <v>0</v>
      </c>
      <c r="S2091" s="128">
        <v>0</v>
      </c>
      <c r="T2091" s="128">
        <v>0</v>
      </c>
      <c r="U2091" s="128">
        <v>399800.1</v>
      </c>
      <c r="V2091" s="128">
        <v>0</v>
      </c>
      <c r="W2091" s="128">
        <v>399800.1</v>
      </c>
      <c r="X2091" s="128">
        <v>0</v>
      </c>
      <c r="Y2091" s="128">
        <v>0</v>
      </c>
      <c r="Z2091" s="128">
        <v>0</v>
      </c>
      <c r="AA2091" s="128">
        <v>399800.1</v>
      </c>
      <c r="AB2091" s="126">
        <f t="shared" si="217"/>
        <v>-3.9980009999999996E-2</v>
      </c>
      <c r="AC2091" s="122" t="s">
        <v>1838</v>
      </c>
      <c r="AD2091" s="123">
        <f t="shared" si="218"/>
        <v>0.42607626199999998</v>
      </c>
    </row>
    <row r="2092" spans="1:30" ht="12.75" hidden="1" customHeight="1">
      <c r="A2092" s="125" t="str">
        <f t="shared" si="214"/>
        <v>LIC35Internal Audit Fee</v>
      </c>
      <c r="B2092" s="125">
        <f>+IFERROR(VLOOKUP(L2092,'TB mapping'!A:D,4,0),0)</f>
        <v>0</v>
      </c>
      <c r="C2092" s="125">
        <f>+IFERROR(VLOOKUP(L2092,'TB mapping'!A:C,3,0),0)</f>
        <v>6.3</v>
      </c>
      <c r="D2092" s="125" t="str">
        <f t="shared" si="215"/>
        <v>LIC350</v>
      </c>
      <c r="E2092" s="125" t="str">
        <f t="shared" si="216"/>
        <v>LIC356.3</v>
      </c>
      <c r="F2092" s="158" t="str">
        <f>+VLOOKUP(H2092,'code mapping'!A:C,3,0)</f>
        <v>LIC35</v>
      </c>
      <c r="G2092" s="127" t="s">
        <v>453</v>
      </c>
      <c r="H2092" s="127" t="s">
        <v>752</v>
      </c>
      <c r="I2092" s="127" t="s">
        <v>753</v>
      </c>
      <c r="J2092" s="128">
        <v>550000</v>
      </c>
      <c r="K2092" s="127" t="s">
        <v>550</v>
      </c>
      <c r="L2092" s="151">
        <v>553213</v>
      </c>
      <c r="M2092" s="128">
        <v>0</v>
      </c>
      <c r="N2092" s="127" t="s">
        <v>566</v>
      </c>
      <c r="O2092" s="127" t="s">
        <v>457</v>
      </c>
      <c r="P2092" s="128">
        <v>-7408.27</v>
      </c>
      <c r="Q2092" s="128">
        <v>0</v>
      </c>
      <c r="R2092" s="128">
        <v>0</v>
      </c>
      <c r="S2092" s="128">
        <v>0</v>
      </c>
      <c r="T2092" s="128">
        <v>-7408.27</v>
      </c>
      <c r="U2092" s="128">
        <v>0</v>
      </c>
      <c r="V2092" s="128">
        <v>-7408.27</v>
      </c>
      <c r="W2092" s="128">
        <v>0</v>
      </c>
      <c r="X2092" s="128">
        <v>0</v>
      </c>
      <c r="Y2092" s="128">
        <v>0</v>
      </c>
      <c r="Z2092" s="128">
        <v>-7408.27</v>
      </c>
      <c r="AA2092" s="128">
        <v>0</v>
      </c>
      <c r="AB2092" s="126">
        <f t="shared" si="217"/>
        <v>7.40827E-4</v>
      </c>
      <c r="AC2092" s="122" t="s">
        <v>1838</v>
      </c>
      <c r="AD2092" s="123">
        <f t="shared" si="218"/>
        <v>0.42607626199999998</v>
      </c>
    </row>
    <row r="2093" spans="1:30" ht="12.75" hidden="1" customHeight="1">
      <c r="A2093" s="125" t="str">
        <f t="shared" si="214"/>
        <v>LIC35Other Expenses-GDP</v>
      </c>
      <c r="B2093" s="125">
        <f>+IFERROR(VLOOKUP(L2093,'TB mapping'!A:D,4,0),0)</f>
        <v>0</v>
      </c>
      <c r="C2093" s="125">
        <f>+IFERROR(VLOOKUP(L2093,'TB mapping'!A:C,3,0),0)</f>
        <v>6.3</v>
      </c>
      <c r="D2093" s="125" t="str">
        <f t="shared" si="215"/>
        <v>LIC350</v>
      </c>
      <c r="E2093" s="125" t="str">
        <f t="shared" si="216"/>
        <v>LIC356.3</v>
      </c>
      <c r="F2093" s="158" t="str">
        <f>+VLOOKUP(H2093,'code mapping'!A:C,3,0)</f>
        <v>LIC35</v>
      </c>
      <c r="G2093" s="127" t="s">
        <v>453</v>
      </c>
      <c r="H2093" s="127" t="s">
        <v>752</v>
      </c>
      <c r="I2093" s="127" t="s">
        <v>753</v>
      </c>
      <c r="J2093" s="128">
        <v>550000</v>
      </c>
      <c r="K2093" s="127" t="s">
        <v>550</v>
      </c>
      <c r="L2093" s="151">
        <v>553329</v>
      </c>
      <c r="M2093" s="128">
        <v>0</v>
      </c>
      <c r="N2093" s="127" t="s">
        <v>567</v>
      </c>
      <c r="O2093" s="127" t="s">
        <v>457</v>
      </c>
      <c r="P2093" s="128">
        <v>-115669.13</v>
      </c>
      <c r="Q2093" s="128">
        <v>0</v>
      </c>
      <c r="R2093" s="128">
        <v>0</v>
      </c>
      <c r="S2093" s="128">
        <v>0</v>
      </c>
      <c r="T2093" s="128">
        <v>-115669.13</v>
      </c>
      <c r="U2093" s="128">
        <v>0</v>
      </c>
      <c r="V2093" s="128">
        <v>-115669.13</v>
      </c>
      <c r="W2093" s="128">
        <v>0</v>
      </c>
      <c r="X2093" s="128">
        <v>0</v>
      </c>
      <c r="Y2093" s="128">
        <v>0</v>
      </c>
      <c r="Z2093" s="128">
        <v>-115669.13</v>
      </c>
      <c r="AA2093" s="128">
        <v>0</v>
      </c>
      <c r="AB2093" s="126">
        <f t="shared" si="217"/>
        <v>1.1566913E-2</v>
      </c>
      <c r="AC2093" s="122" t="s">
        <v>1838</v>
      </c>
      <c r="AD2093" s="123">
        <f t="shared" si="218"/>
        <v>0.42607626199999998</v>
      </c>
    </row>
    <row r="2094" spans="1:30" ht="12.75" hidden="1" customHeight="1">
      <c r="A2094" s="125" t="str">
        <f t="shared" si="214"/>
        <v>LIC35Inv Educ Fund Expense - Amfi</v>
      </c>
      <c r="B2094" s="125">
        <f>+IFERROR(VLOOKUP(L2094,'TB mapping'!A:D,4,0),0)</f>
        <v>0</v>
      </c>
      <c r="C2094" s="125">
        <f>+IFERROR(VLOOKUP(L2094,'TB mapping'!A:C,3,0),0)</f>
        <v>6.3</v>
      </c>
      <c r="D2094" s="125" t="str">
        <f t="shared" si="215"/>
        <v>LIC350</v>
      </c>
      <c r="E2094" s="125" t="str">
        <f t="shared" si="216"/>
        <v>LIC356.3</v>
      </c>
      <c r="F2094" s="158" t="str">
        <f>+VLOOKUP(H2094,'code mapping'!A:C,3,0)</f>
        <v>LIC35</v>
      </c>
      <c r="G2094" s="127" t="s">
        <v>453</v>
      </c>
      <c r="H2094" s="127" t="s">
        <v>752</v>
      </c>
      <c r="I2094" s="127" t="s">
        <v>753</v>
      </c>
      <c r="J2094" s="128">
        <v>550000</v>
      </c>
      <c r="K2094" s="127" t="s">
        <v>550</v>
      </c>
      <c r="L2094" s="151">
        <v>554526</v>
      </c>
      <c r="M2094" s="128">
        <v>0</v>
      </c>
      <c r="N2094" s="127" t="s">
        <v>569</v>
      </c>
      <c r="O2094" s="127" t="s">
        <v>457</v>
      </c>
      <c r="P2094" s="128">
        <v>-21689.94</v>
      </c>
      <c r="Q2094" s="128">
        <v>0</v>
      </c>
      <c r="R2094" s="128">
        <v>0</v>
      </c>
      <c r="S2094" s="128">
        <v>0</v>
      </c>
      <c r="T2094" s="128">
        <v>-21689.94</v>
      </c>
      <c r="U2094" s="128">
        <v>0</v>
      </c>
      <c r="V2094" s="128">
        <v>-21689.94</v>
      </c>
      <c r="W2094" s="128">
        <v>0</v>
      </c>
      <c r="X2094" s="128">
        <v>0</v>
      </c>
      <c r="Y2094" s="128">
        <v>0</v>
      </c>
      <c r="Z2094" s="128">
        <v>-21689.94</v>
      </c>
      <c r="AA2094" s="128">
        <v>0</v>
      </c>
      <c r="AB2094" s="126">
        <f t="shared" si="217"/>
        <v>2.168994E-3</v>
      </c>
      <c r="AC2094" s="122" t="s">
        <v>1838</v>
      </c>
      <c r="AD2094" s="123">
        <f t="shared" si="218"/>
        <v>0.42607626199999998</v>
      </c>
    </row>
    <row r="2095" spans="1:30" ht="12.75" hidden="1" customHeight="1">
      <c r="A2095" s="125" t="str">
        <f t="shared" si="214"/>
        <v>LIC35Transaction Processing Charges</v>
      </c>
      <c r="B2095" s="125">
        <f>+IFERROR(VLOOKUP(L2095,'TB mapping'!A:D,4,0),0)</f>
        <v>0</v>
      </c>
      <c r="C2095" s="125">
        <f>+IFERROR(VLOOKUP(L2095,'TB mapping'!A:C,3,0),0)</f>
        <v>6.3</v>
      </c>
      <c r="D2095" s="125" t="str">
        <f t="shared" si="215"/>
        <v>LIC350</v>
      </c>
      <c r="E2095" s="125" t="str">
        <f t="shared" si="216"/>
        <v>LIC356.3</v>
      </c>
      <c r="F2095" s="158" t="str">
        <f>+VLOOKUP(H2095,'code mapping'!A:C,3,0)</f>
        <v>LIC35</v>
      </c>
      <c r="G2095" s="127" t="s">
        <v>453</v>
      </c>
      <c r="H2095" s="127" t="s">
        <v>752</v>
      </c>
      <c r="I2095" s="127" t="s">
        <v>753</v>
      </c>
      <c r="J2095" s="128">
        <v>550000</v>
      </c>
      <c r="K2095" s="127" t="s">
        <v>550</v>
      </c>
      <c r="L2095" s="151">
        <v>554527</v>
      </c>
      <c r="M2095" s="128">
        <v>0</v>
      </c>
      <c r="N2095" s="127" t="s">
        <v>570</v>
      </c>
      <c r="O2095" s="127" t="s">
        <v>457</v>
      </c>
      <c r="P2095" s="128">
        <v>-142</v>
      </c>
      <c r="Q2095" s="128">
        <v>0</v>
      </c>
      <c r="R2095" s="128">
        <v>0</v>
      </c>
      <c r="S2095" s="128">
        <v>0</v>
      </c>
      <c r="T2095" s="128">
        <v>-142</v>
      </c>
      <c r="U2095" s="128">
        <v>0</v>
      </c>
      <c r="V2095" s="128">
        <v>-142</v>
      </c>
      <c r="W2095" s="128">
        <v>0</v>
      </c>
      <c r="X2095" s="128">
        <v>0</v>
      </c>
      <c r="Y2095" s="128">
        <v>0</v>
      </c>
      <c r="Z2095" s="128">
        <v>-142</v>
      </c>
      <c r="AA2095" s="128">
        <v>0</v>
      </c>
      <c r="AB2095" s="126">
        <f t="shared" si="217"/>
        <v>1.42E-5</v>
      </c>
      <c r="AC2095" s="122" t="s">
        <v>1838</v>
      </c>
      <c r="AD2095" s="123">
        <f t="shared" si="218"/>
        <v>0.42607626199999998</v>
      </c>
    </row>
    <row r="2096" spans="1:30" ht="12.75" hidden="1" customHeight="1">
      <c r="A2096" s="125" t="str">
        <f t="shared" si="214"/>
        <v>LIC35Client Servicing Expenes</v>
      </c>
      <c r="B2096" s="125">
        <f>+IFERROR(VLOOKUP(L2096,'TB mapping'!A:D,4,0),0)</f>
        <v>0</v>
      </c>
      <c r="C2096" s="125">
        <f>+IFERROR(VLOOKUP(L2096,'TB mapping'!A:C,3,0),0)</f>
        <v>6.3</v>
      </c>
      <c r="D2096" s="125" t="str">
        <f t="shared" si="215"/>
        <v>LIC350</v>
      </c>
      <c r="E2096" s="125" t="str">
        <f t="shared" si="216"/>
        <v>LIC356.3</v>
      </c>
      <c r="F2096" s="158" t="str">
        <f>+VLOOKUP(H2096,'code mapping'!A:C,3,0)</f>
        <v>LIC35</v>
      </c>
      <c r="G2096" s="127" t="s">
        <v>453</v>
      </c>
      <c r="H2096" s="127" t="s">
        <v>752</v>
      </c>
      <c r="I2096" s="127" t="s">
        <v>753</v>
      </c>
      <c r="J2096" s="128">
        <v>550000</v>
      </c>
      <c r="K2096" s="127" t="s">
        <v>550</v>
      </c>
      <c r="L2096" s="151">
        <v>555157</v>
      </c>
      <c r="M2096" s="128">
        <v>0</v>
      </c>
      <c r="N2096" s="127" t="s">
        <v>571</v>
      </c>
      <c r="O2096" s="127" t="s">
        <v>457</v>
      </c>
      <c r="P2096" s="128">
        <v>-923837.28</v>
      </c>
      <c r="Q2096" s="128">
        <v>0</v>
      </c>
      <c r="R2096" s="128">
        <v>0</v>
      </c>
      <c r="S2096" s="128">
        <v>0</v>
      </c>
      <c r="T2096" s="128">
        <v>-923837.28</v>
      </c>
      <c r="U2096" s="128">
        <v>0</v>
      </c>
      <c r="V2096" s="128">
        <v>-923837.28</v>
      </c>
      <c r="W2096" s="128">
        <v>0</v>
      </c>
      <c r="X2096" s="128">
        <v>0</v>
      </c>
      <c r="Y2096" s="128">
        <v>0</v>
      </c>
      <c r="Z2096" s="128">
        <v>-923837.28</v>
      </c>
      <c r="AA2096" s="128">
        <v>0</v>
      </c>
      <c r="AB2096" s="126">
        <f t="shared" si="217"/>
        <v>9.2383727999999998E-2</v>
      </c>
      <c r="AC2096" s="122" t="s">
        <v>1838</v>
      </c>
      <c r="AD2096" s="123">
        <f t="shared" si="218"/>
        <v>0.42607626199999998</v>
      </c>
    </row>
    <row r="2097" spans="1:30" ht="12.75" hidden="1" customHeight="1">
      <c r="A2097" s="125" t="str">
        <f t="shared" si="214"/>
        <v>LIC35Management Fee-Reclassfication</v>
      </c>
      <c r="B2097" s="125">
        <f>+IFERROR(VLOOKUP(L2097,'TB mapping'!A:D,4,0),0)</f>
        <v>6.1</v>
      </c>
      <c r="C2097" s="125">
        <f>+IFERROR(VLOOKUP(L2097,'TB mapping'!A:C,3,0),0)</f>
        <v>6.3</v>
      </c>
      <c r="D2097" s="125" t="str">
        <f t="shared" si="215"/>
        <v>LIC356.1</v>
      </c>
      <c r="E2097" s="125" t="str">
        <f t="shared" si="216"/>
        <v>LIC356.3</v>
      </c>
      <c r="F2097" s="158" t="str">
        <f>+VLOOKUP(H2097,'code mapping'!A:C,3,0)</f>
        <v>LIC35</v>
      </c>
      <c r="G2097" s="127" t="s">
        <v>453</v>
      </c>
      <c r="H2097" s="127" t="s">
        <v>752</v>
      </c>
      <c r="I2097" s="127" t="s">
        <v>753</v>
      </c>
      <c r="J2097" s="128">
        <v>550000</v>
      </c>
      <c r="K2097" s="127" t="s">
        <v>550</v>
      </c>
      <c r="L2097" s="151">
        <v>555274</v>
      </c>
      <c r="M2097" s="128">
        <v>0</v>
      </c>
      <c r="N2097" s="127" t="s">
        <v>583</v>
      </c>
      <c r="O2097" s="127" t="s">
        <v>457</v>
      </c>
      <c r="P2097" s="128">
        <v>-190678.44</v>
      </c>
      <c r="Q2097" s="128">
        <v>0</v>
      </c>
      <c r="R2097" s="128">
        <v>0</v>
      </c>
      <c r="S2097" s="128">
        <v>0</v>
      </c>
      <c r="T2097" s="128">
        <v>-190678.44</v>
      </c>
      <c r="U2097" s="128">
        <v>0</v>
      </c>
      <c r="V2097" s="128">
        <v>-190678.44</v>
      </c>
      <c r="W2097" s="128">
        <v>0</v>
      </c>
      <c r="X2097" s="128">
        <v>0</v>
      </c>
      <c r="Y2097" s="128">
        <v>0</v>
      </c>
      <c r="Z2097" s="128">
        <v>-190678.44</v>
      </c>
      <c r="AA2097" s="128">
        <v>0</v>
      </c>
      <c r="AB2097" s="126">
        <f t="shared" si="217"/>
        <v>1.9067844E-2</v>
      </c>
      <c r="AC2097" s="122" t="s">
        <v>1838</v>
      </c>
      <c r="AD2097" s="123">
        <f t="shared" si="218"/>
        <v>0.42607626199999998</v>
      </c>
    </row>
    <row r="2098" spans="1:30" ht="12.75" hidden="1" customHeight="1">
      <c r="A2098" s="125" t="str">
        <f t="shared" si="214"/>
        <v>LIC35Brokerage_Indirect_Reclassify</v>
      </c>
      <c r="B2098" s="125">
        <f>+IFERROR(VLOOKUP(L2098,'TB mapping'!A:D,4,0),0)</f>
        <v>0</v>
      </c>
      <c r="C2098" s="125">
        <f>+IFERROR(VLOOKUP(L2098,'TB mapping'!A:C,3,0),0)</f>
        <v>6.3</v>
      </c>
      <c r="D2098" s="125" t="str">
        <f t="shared" si="215"/>
        <v>LIC350</v>
      </c>
      <c r="E2098" s="125" t="str">
        <f t="shared" si="216"/>
        <v>LIC356.3</v>
      </c>
      <c r="F2098" s="158" t="str">
        <f>+VLOOKUP(H2098,'code mapping'!A:C,3,0)</f>
        <v>LIC35</v>
      </c>
      <c r="G2098" s="127" t="s">
        <v>453</v>
      </c>
      <c r="H2098" s="127" t="s">
        <v>752</v>
      </c>
      <c r="I2098" s="127" t="s">
        <v>753</v>
      </c>
      <c r="J2098" s="128">
        <v>550000</v>
      </c>
      <c r="K2098" s="127" t="s">
        <v>550</v>
      </c>
      <c r="L2098" s="151">
        <v>555275</v>
      </c>
      <c r="M2098" s="128">
        <v>0</v>
      </c>
      <c r="N2098" s="127" t="s">
        <v>600</v>
      </c>
      <c r="O2098" s="127" t="s">
        <v>457</v>
      </c>
      <c r="P2098" s="128">
        <v>0</v>
      </c>
      <c r="Q2098" s="128">
        <v>25000</v>
      </c>
      <c r="R2098" s="128">
        <v>0</v>
      </c>
      <c r="S2098" s="128">
        <v>0</v>
      </c>
      <c r="T2098" s="128">
        <v>0</v>
      </c>
      <c r="U2098" s="128">
        <v>25000</v>
      </c>
      <c r="V2098" s="128">
        <v>0</v>
      </c>
      <c r="W2098" s="128">
        <v>25000</v>
      </c>
      <c r="X2098" s="128">
        <v>0</v>
      </c>
      <c r="Y2098" s="128">
        <v>0</v>
      </c>
      <c r="Z2098" s="128">
        <v>0</v>
      </c>
      <c r="AA2098" s="128">
        <v>25000</v>
      </c>
      <c r="AB2098" s="126">
        <f t="shared" si="217"/>
        <v>-2.5000000000000001E-3</v>
      </c>
      <c r="AC2098" s="122" t="s">
        <v>1838</v>
      </c>
      <c r="AD2098" s="123">
        <f t="shared" si="218"/>
        <v>0.42607626199999998</v>
      </c>
    </row>
    <row r="2099" spans="1:30" ht="12.75" hidden="1" customHeight="1">
      <c r="A2099" s="125" t="str">
        <f t="shared" si="214"/>
        <v>LIC35CGST on Reclassify of Exp</v>
      </c>
      <c r="B2099" s="125">
        <f>+IFERROR(VLOOKUP(L2099,'TB mapping'!A:D,4,0),0)</f>
        <v>0</v>
      </c>
      <c r="C2099" s="125">
        <f>+IFERROR(VLOOKUP(L2099,'TB mapping'!A:C,3,0),0)</f>
        <v>6.3</v>
      </c>
      <c r="D2099" s="125" t="str">
        <f t="shared" si="215"/>
        <v>LIC350</v>
      </c>
      <c r="E2099" s="125" t="str">
        <f t="shared" si="216"/>
        <v>LIC356.3</v>
      </c>
      <c r="F2099" s="158" t="str">
        <f>+VLOOKUP(H2099,'code mapping'!A:C,3,0)</f>
        <v>LIC35</v>
      </c>
      <c r="G2099" s="127" t="s">
        <v>453</v>
      </c>
      <c r="H2099" s="127" t="s">
        <v>752</v>
      </c>
      <c r="I2099" s="127" t="s">
        <v>753</v>
      </c>
      <c r="J2099" s="128">
        <v>550000</v>
      </c>
      <c r="K2099" s="127" t="s">
        <v>550</v>
      </c>
      <c r="L2099" s="151">
        <v>555276</v>
      </c>
      <c r="M2099" s="128">
        <v>0</v>
      </c>
      <c r="N2099" s="127" t="s">
        <v>572</v>
      </c>
      <c r="O2099" s="127" t="s">
        <v>457</v>
      </c>
      <c r="P2099" s="128">
        <v>-1906.78</v>
      </c>
      <c r="Q2099" s="128">
        <v>0</v>
      </c>
      <c r="R2099" s="128">
        <v>0</v>
      </c>
      <c r="S2099" s="128">
        <v>0</v>
      </c>
      <c r="T2099" s="128">
        <v>-1906.78</v>
      </c>
      <c r="U2099" s="128">
        <v>0</v>
      </c>
      <c r="V2099" s="128">
        <v>-1906.78</v>
      </c>
      <c r="W2099" s="128">
        <v>0</v>
      </c>
      <c r="X2099" s="128">
        <v>0</v>
      </c>
      <c r="Y2099" s="128">
        <v>0</v>
      </c>
      <c r="Z2099" s="128">
        <v>-1906.78</v>
      </c>
      <c r="AA2099" s="128">
        <v>0</v>
      </c>
      <c r="AB2099" s="126">
        <f t="shared" si="217"/>
        <v>1.9067800000000001E-4</v>
      </c>
      <c r="AC2099" s="122" t="s">
        <v>1838</v>
      </c>
      <c r="AD2099" s="123">
        <f t="shared" si="218"/>
        <v>0.42607626199999998</v>
      </c>
    </row>
    <row r="2100" spans="1:30" ht="12.75" hidden="1" customHeight="1">
      <c r="A2100" s="125" t="str">
        <f t="shared" si="214"/>
        <v>LIC35SGST on Reclassify of Exp</v>
      </c>
      <c r="B2100" s="125">
        <f>+IFERROR(VLOOKUP(L2100,'TB mapping'!A:D,4,0),0)</f>
        <v>0</v>
      </c>
      <c r="C2100" s="125">
        <f>+IFERROR(VLOOKUP(L2100,'TB mapping'!A:C,3,0),0)</f>
        <v>6.3</v>
      </c>
      <c r="D2100" s="125" t="str">
        <f t="shared" si="215"/>
        <v>LIC350</v>
      </c>
      <c r="E2100" s="125" t="str">
        <f t="shared" si="216"/>
        <v>LIC356.3</v>
      </c>
      <c r="F2100" s="158" t="str">
        <f>+VLOOKUP(H2100,'code mapping'!A:C,3,0)</f>
        <v>LIC35</v>
      </c>
      <c r="G2100" s="127" t="s">
        <v>453</v>
      </c>
      <c r="H2100" s="127" t="s">
        <v>752</v>
      </c>
      <c r="I2100" s="127" t="s">
        <v>753</v>
      </c>
      <c r="J2100" s="128">
        <v>550000</v>
      </c>
      <c r="K2100" s="127" t="s">
        <v>550</v>
      </c>
      <c r="L2100" s="151">
        <v>555277</v>
      </c>
      <c r="M2100" s="128">
        <v>0</v>
      </c>
      <c r="N2100" s="127" t="s">
        <v>573</v>
      </c>
      <c r="O2100" s="127" t="s">
        <v>457</v>
      </c>
      <c r="P2100" s="128">
        <v>-1906.78</v>
      </c>
      <c r="Q2100" s="128">
        <v>0</v>
      </c>
      <c r="R2100" s="128">
        <v>0</v>
      </c>
      <c r="S2100" s="128">
        <v>0</v>
      </c>
      <c r="T2100" s="128">
        <v>-1906.78</v>
      </c>
      <c r="U2100" s="128">
        <v>0</v>
      </c>
      <c r="V2100" s="128">
        <v>-1906.78</v>
      </c>
      <c r="W2100" s="128">
        <v>0</v>
      </c>
      <c r="X2100" s="128">
        <v>0</v>
      </c>
      <c r="Y2100" s="128">
        <v>0</v>
      </c>
      <c r="Z2100" s="128">
        <v>-1906.78</v>
      </c>
      <c r="AA2100" s="128">
        <v>0</v>
      </c>
      <c r="AB2100" s="126">
        <f t="shared" si="217"/>
        <v>1.9067800000000001E-4</v>
      </c>
      <c r="AC2100" s="122" t="s">
        <v>1838</v>
      </c>
      <c r="AD2100" s="123">
        <f t="shared" si="218"/>
        <v>0.42607626199999998</v>
      </c>
    </row>
    <row r="2101" spans="1:30" ht="12.75" hidden="1" customHeight="1">
      <c r="A2101" s="125" t="str">
        <f t="shared" si="214"/>
        <v>LIC35CGST on Mfees</v>
      </c>
      <c r="B2101" s="125">
        <f>+IFERROR(VLOOKUP(L2101,'TB mapping'!A:D,4,0),0)</f>
        <v>6.1</v>
      </c>
      <c r="C2101" s="125">
        <f>+IFERROR(VLOOKUP(L2101,'TB mapping'!A:C,3,0),0)</f>
        <v>6.3</v>
      </c>
      <c r="D2101" s="125" t="str">
        <f t="shared" si="215"/>
        <v>LIC356.1</v>
      </c>
      <c r="E2101" s="125" t="str">
        <f t="shared" si="216"/>
        <v>LIC356.3</v>
      </c>
      <c r="F2101" s="158" t="str">
        <f>+VLOOKUP(H2101,'code mapping'!A:C,3,0)</f>
        <v>LIC35</v>
      </c>
      <c r="G2101" s="127" t="s">
        <v>453</v>
      </c>
      <c r="H2101" s="127" t="s">
        <v>752</v>
      </c>
      <c r="I2101" s="127" t="s">
        <v>753</v>
      </c>
      <c r="J2101" s="128">
        <v>550000</v>
      </c>
      <c r="K2101" s="127" t="s">
        <v>550</v>
      </c>
      <c r="L2101" s="151">
        <v>555597</v>
      </c>
      <c r="M2101" s="128">
        <v>0</v>
      </c>
      <c r="N2101" s="127" t="s">
        <v>574</v>
      </c>
      <c r="O2101" s="127" t="s">
        <v>457</v>
      </c>
      <c r="P2101" s="128">
        <v>-156838.88</v>
      </c>
      <c r="Q2101" s="128">
        <v>0</v>
      </c>
      <c r="R2101" s="128">
        <v>0</v>
      </c>
      <c r="S2101" s="128">
        <v>0</v>
      </c>
      <c r="T2101" s="128">
        <v>-156838.88</v>
      </c>
      <c r="U2101" s="128">
        <v>0</v>
      </c>
      <c r="V2101" s="128">
        <v>-156838.88</v>
      </c>
      <c r="W2101" s="128">
        <v>0</v>
      </c>
      <c r="X2101" s="128">
        <v>0</v>
      </c>
      <c r="Y2101" s="128">
        <v>0</v>
      </c>
      <c r="Z2101" s="128">
        <v>-156838.88</v>
      </c>
      <c r="AA2101" s="128">
        <v>0</v>
      </c>
      <c r="AB2101" s="126">
        <f t="shared" si="217"/>
        <v>1.5683888E-2</v>
      </c>
      <c r="AC2101" s="122" t="s">
        <v>1838</v>
      </c>
      <c r="AD2101" s="123">
        <f t="shared" si="218"/>
        <v>0.42607626199999998</v>
      </c>
    </row>
    <row r="2102" spans="1:30" ht="12.75" hidden="1" customHeight="1">
      <c r="A2102" s="125" t="str">
        <f t="shared" si="214"/>
        <v>LIC35SGST on Mfees</v>
      </c>
      <c r="B2102" s="125">
        <f>+IFERROR(VLOOKUP(L2102,'TB mapping'!A:D,4,0),0)</f>
        <v>6.1</v>
      </c>
      <c r="C2102" s="125">
        <f>+IFERROR(VLOOKUP(L2102,'TB mapping'!A:C,3,0),0)</f>
        <v>6.3</v>
      </c>
      <c r="D2102" s="125" t="str">
        <f t="shared" si="215"/>
        <v>LIC356.1</v>
      </c>
      <c r="E2102" s="125" t="str">
        <f t="shared" si="216"/>
        <v>LIC356.3</v>
      </c>
      <c r="F2102" s="158" t="str">
        <f>+VLOOKUP(H2102,'code mapping'!A:C,3,0)</f>
        <v>LIC35</v>
      </c>
      <c r="G2102" s="127" t="s">
        <v>453</v>
      </c>
      <c r="H2102" s="127" t="s">
        <v>752</v>
      </c>
      <c r="I2102" s="127" t="s">
        <v>753</v>
      </c>
      <c r="J2102" s="128">
        <v>550000</v>
      </c>
      <c r="K2102" s="127" t="s">
        <v>550</v>
      </c>
      <c r="L2102" s="151">
        <v>555598</v>
      </c>
      <c r="M2102" s="128">
        <v>0</v>
      </c>
      <c r="N2102" s="127" t="s">
        <v>575</v>
      </c>
      <c r="O2102" s="127" t="s">
        <v>457</v>
      </c>
      <c r="P2102" s="128">
        <v>-156838.89000000001</v>
      </c>
      <c r="Q2102" s="128">
        <v>0</v>
      </c>
      <c r="R2102" s="128">
        <v>0</v>
      </c>
      <c r="S2102" s="128">
        <v>0</v>
      </c>
      <c r="T2102" s="128">
        <v>-156838.89000000001</v>
      </c>
      <c r="U2102" s="128">
        <v>0</v>
      </c>
      <c r="V2102" s="128">
        <v>-156838.89000000001</v>
      </c>
      <c r="W2102" s="128">
        <v>0</v>
      </c>
      <c r="X2102" s="128">
        <v>0</v>
      </c>
      <c r="Y2102" s="128">
        <v>0</v>
      </c>
      <c r="Z2102" s="128">
        <v>-156838.89000000001</v>
      </c>
      <c r="AA2102" s="128">
        <v>0</v>
      </c>
      <c r="AB2102" s="126">
        <f t="shared" si="217"/>
        <v>1.5683889000000003E-2</v>
      </c>
      <c r="AC2102" s="122" t="s">
        <v>1838</v>
      </c>
      <c r="AD2102" s="123">
        <f t="shared" si="218"/>
        <v>0.42607626199999998</v>
      </c>
    </row>
    <row r="2103" spans="1:30" ht="12.75" hidden="1" customHeight="1">
      <c r="A2103" s="125" t="str">
        <f t="shared" si="214"/>
        <v>LIC35CGST on Mfees -GDP</v>
      </c>
      <c r="B2103" s="125">
        <f>+IFERROR(VLOOKUP(L2103,'TB mapping'!A:D,4,0),0)</f>
        <v>6.1</v>
      </c>
      <c r="C2103" s="125">
        <f>+IFERROR(VLOOKUP(L2103,'TB mapping'!A:C,3,0),0)</f>
        <v>6.3</v>
      </c>
      <c r="D2103" s="125" t="str">
        <f t="shared" si="215"/>
        <v>LIC356.1</v>
      </c>
      <c r="E2103" s="125" t="str">
        <f t="shared" si="216"/>
        <v>LIC356.3</v>
      </c>
      <c r="F2103" s="158" t="str">
        <f>+VLOOKUP(H2103,'code mapping'!A:C,3,0)</f>
        <v>LIC35</v>
      </c>
      <c r="G2103" s="127" t="s">
        <v>453</v>
      </c>
      <c r="H2103" s="127" t="s">
        <v>752</v>
      </c>
      <c r="I2103" s="127" t="s">
        <v>753</v>
      </c>
      <c r="J2103" s="128">
        <v>550000</v>
      </c>
      <c r="K2103" s="127" t="s">
        <v>550</v>
      </c>
      <c r="L2103" s="151">
        <v>555599</v>
      </c>
      <c r="M2103" s="128">
        <v>0</v>
      </c>
      <c r="N2103" s="127" t="s">
        <v>576</v>
      </c>
      <c r="O2103" s="127" t="s">
        <v>457</v>
      </c>
      <c r="P2103" s="128">
        <v>0</v>
      </c>
      <c r="Q2103" s="128">
        <v>314.52</v>
      </c>
      <c r="R2103" s="128">
        <v>0</v>
      </c>
      <c r="S2103" s="128">
        <v>0</v>
      </c>
      <c r="T2103" s="128">
        <v>0</v>
      </c>
      <c r="U2103" s="128">
        <v>314.52</v>
      </c>
      <c r="V2103" s="128">
        <v>0</v>
      </c>
      <c r="W2103" s="128">
        <v>314.52</v>
      </c>
      <c r="X2103" s="128">
        <v>0</v>
      </c>
      <c r="Y2103" s="128">
        <v>0</v>
      </c>
      <c r="Z2103" s="128">
        <v>0</v>
      </c>
      <c r="AA2103" s="128">
        <v>314.52</v>
      </c>
      <c r="AB2103" s="126">
        <f t="shared" si="217"/>
        <v>-3.1451999999999996E-5</v>
      </c>
      <c r="AC2103" s="122" t="s">
        <v>1838</v>
      </c>
      <c r="AD2103" s="123">
        <f t="shared" si="218"/>
        <v>0.42607626199999998</v>
      </c>
    </row>
    <row r="2104" spans="1:30" ht="12.75" hidden="1" customHeight="1">
      <c r="A2104" s="125" t="str">
        <f t="shared" si="214"/>
        <v>LIC35SGST on Mfees -GDP</v>
      </c>
      <c r="B2104" s="125">
        <f>+IFERROR(VLOOKUP(L2104,'TB mapping'!A:D,4,0),0)</f>
        <v>6.1</v>
      </c>
      <c r="C2104" s="125">
        <f>+IFERROR(VLOOKUP(L2104,'TB mapping'!A:C,3,0),0)</f>
        <v>6.3</v>
      </c>
      <c r="D2104" s="125" t="str">
        <f t="shared" si="215"/>
        <v>LIC356.1</v>
      </c>
      <c r="E2104" s="125" t="str">
        <f t="shared" si="216"/>
        <v>LIC356.3</v>
      </c>
      <c r="F2104" s="158" t="str">
        <f>+VLOOKUP(H2104,'code mapping'!A:C,3,0)</f>
        <v>LIC35</v>
      </c>
      <c r="G2104" s="127" t="s">
        <v>453</v>
      </c>
      <c r="H2104" s="127" t="s">
        <v>752</v>
      </c>
      <c r="I2104" s="127" t="s">
        <v>753</v>
      </c>
      <c r="J2104" s="128">
        <v>550000</v>
      </c>
      <c r="K2104" s="127" t="s">
        <v>550</v>
      </c>
      <c r="L2104" s="151">
        <v>555600</v>
      </c>
      <c r="M2104" s="128">
        <v>0</v>
      </c>
      <c r="N2104" s="127" t="s">
        <v>577</v>
      </c>
      <c r="O2104" s="127" t="s">
        <v>457</v>
      </c>
      <c r="P2104" s="128">
        <v>0</v>
      </c>
      <c r="Q2104" s="128">
        <v>314.53000000000003</v>
      </c>
      <c r="R2104" s="128">
        <v>0</v>
      </c>
      <c r="S2104" s="128">
        <v>0</v>
      </c>
      <c r="T2104" s="128">
        <v>0</v>
      </c>
      <c r="U2104" s="128">
        <v>314.53000000000003</v>
      </c>
      <c r="V2104" s="128">
        <v>0</v>
      </c>
      <c r="W2104" s="128">
        <v>314.53000000000003</v>
      </c>
      <c r="X2104" s="128">
        <v>0</v>
      </c>
      <c r="Y2104" s="128">
        <v>0</v>
      </c>
      <c r="Z2104" s="128">
        <v>0</v>
      </c>
      <c r="AA2104" s="128">
        <v>314.53000000000003</v>
      </c>
      <c r="AB2104" s="126">
        <f t="shared" si="217"/>
        <v>-3.1453000000000005E-5</v>
      </c>
      <c r="AC2104" s="122" t="s">
        <v>1838</v>
      </c>
      <c r="AD2104" s="123">
        <f t="shared" si="218"/>
        <v>0.42607626199999998</v>
      </c>
    </row>
    <row r="2105" spans="1:30" ht="12.75" hidden="1" customHeight="1">
      <c r="A2105" s="125" t="str">
        <f t="shared" ref="A2105:A2168" si="219">+F2105&amp;N2105</f>
        <v>LIC35Operating Expenses</v>
      </c>
      <c r="B2105" s="125">
        <f>+IFERROR(VLOOKUP(L2105,'TB mapping'!A:D,4,0),0)</f>
        <v>0</v>
      </c>
      <c r="C2105" s="125">
        <f>+IFERROR(VLOOKUP(L2105,'TB mapping'!A:C,3,0),0)</f>
        <v>6.3</v>
      </c>
      <c r="D2105" s="125" t="str">
        <f t="shared" ref="D2105:D2168" si="220">+F2105&amp;B2105</f>
        <v>LIC350</v>
      </c>
      <c r="E2105" s="125" t="str">
        <f t="shared" ref="E2105:E2168" si="221">+F2105&amp;C2105</f>
        <v>LIC356.3</v>
      </c>
      <c r="F2105" s="158" t="str">
        <f>+VLOOKUP(H2105,'code mapping'!A:C,3,0)</f>
        <v>LIC35</v>
      </c>
      <c r="G2105" s="127" t="s">
        <v>453</v>
      </c>
      <c r="H2105" s="127" t="s">
        <v>752</v>
      </c>
      <c r="I2105" s="127" t="s">
        <v>753</v>
      </c>
      <c r="J2105" s="128">
        <v>550000</v>
      </c>
      <c r="K2105" s="127" t="s">
        <v>550</v>
      </c>
      <c r="L2105" s="151">
        <v>556421</v>
      </c>
      <c r="M2105" s="128">
        <v>0</v>
      </c>
      <c r="N2105" s="127" t="s">
        <v>578</v>
      </c>
      <c r="O2105" s="127" t="s">
        <v>457</v>
      </c>
      <c r="P2105" s="128">
        <v>-3894.88</v>
      </c>
      <c r="Q2105" s="128">
        <v>0</v>
      </c>
      <c r="R2105" s="128">
        <v>0</v>
      </c>
      <c r="S2105" s="128">
        <v>0</v>
      </c>
      <c r="T2105" s="128">
        <v>-3894.88</v>
      </c>
      <c r="U2105" s="128">
        <v>0</v>
      </c>
      <c r="V2105" s="128">
        <v>-3894.88</v>
      </c>
      <c r="W2105" s="128">
        <v>0</v>
      </c>
      <c r="X2105" s="128">
        <v>0</v>
      </c>
      <c r="Y2105" s="128">
        <v>0</v>
      </c>
      <c r="Z2105" s="128">
        <v>-3894.88</v>
      </c>
      <c r="AA2105" s="128">
        <v>0</v>
      </c>
      <c r="AB2105" s="126">
        <f t="shared" ref="AB2105:AB2168" si="222">SUM(-Z2105-AA2105)/10^7</f>
        <v>3.8948800000000001E-4</v>
      </c>
      <c r="AC2105" s="122" t="s">
        <v>1838</v>
      </c>
      <c r="AD2105" s="123">
        <f t="shared" si="218"/>
        <v>0.42607626199999998</v>
      </c>
    </row>
    <row r="2106" spans="1:30" ht="12.75" hidden="1" customHeight="1">
      <c r="A2106" s="125" t="str">
        <f t="shared" si="219"/>
        <v>LIC35Management Fee</v>
      </c>
      <c r="B2106" s="125">
        <f>+IFERROR(VLOOKUP(L2106,'TB mapping'!A:D,4,0),0)</f>
        <v>6.1</v>
      </c>
      <c r="C2106" s="125">
        <f>+IFERROR(VLOOKUP(L2106,'TB mapping'!A:C,3,0),0)</f>
        <v>6.3</v>
      </c>
      <c r="D2106" s="125" t="str">
        <f t="shared" si="220"/>
        <v>LIC356.1</v>
      </c>
      <c r="E2106" s="125" t="str">
        <f t="shared" si="221"/>
        <v>LIC356.3</v>
      </c>
      <c r="F2106" s="158" t="str">
        <f>+VLOOKUP(H2106,'code mapping'!A:C,3,0)</f>
        <v>LIC35</v>
      </c>
      <c r="G2106" s="127" t="s">
        <v>453</v>
      </c>
      <c r="H2106" s="127" t="s">
        <v>752</v>
      </c>
      <c r="I2106" s="127" t="s">
        <v>753</v>
      </c>
      <c r="J2106" s="128">
        <v>555100</v>
      </c>
      <c r="K2106" s="127" t="s">
        <v>579</v>
      </c>
      <c r="L2106" s="151">
        <v>555100</v>
      </c>
      <c r="M2106" s="128">
        <v>0</v>
      </c>
      <c r="N2106" s="127" t="s">
        <v>580</v>
      </c>
      <c r="O2106" s="127" t="s">
        <v>457</v>
      </c>
      <c r="P2106" s="128">
        <v>-1039088.12</v>
      </c>
      <c r="Q2106" s="128">
        <v>0</v>
      </c>
      <c r="R2106" s="128">
        <v>0</v>
      </c>
      <c r="S2106" s="128">
        <v>0</v>
      </c>
      <c r="T2106" s="128">
        <v>-1039088.12</v>
      </c>
      <c r="U2106" s="128">
        <v>0</v>
      </c>
      <c r="V2106" s="128">
        <v>-1039088.12</v>
      </c>
      <c r="W2106" s="128">
        <v>0</v>
      </c>
      <c r="X2106" s="128">
        <v>0</v>
      </c>
      <c r="Y2106" s="128">
        <v>0</v>
      </c>
      <c r="Z2106" s="128">
        <v>-1039088.12</v>
      </c>
      <c r="AA2106" s="128">
        <v>0</v>
      </c>
      <c r="AB2106" s="126">
        <f t="shared" si="222"/>
        <v>0.103908812</v>
      </c>
      <c r="AC2106" s="122" t="s">
        <v>1838</v>
      </c>
      <c r="AD2106" s="123">
        <f t="shared" si="218"/>
        <v>0.42607626199999998</v>
      </c>
    </row>
    <row r="2107" spans="1:30" ht="12.75" hidden="1" customHeight="1">
      <c r="A2107" s="125" t="str">
        <f t="shared" si="219"/>
        <v>LIC35Management Fees-RG</v>
      </c>
      <c r="B2107" s="125">
        <f>+IFERROR(VLOOKUP(L2107,'TB mapping'!A:D,4,0),0)</f>
        <v>6.1</v>
      </c>
      <c r="C2107" s="125">
        <f>+IFERROR(VLOOKUP(L2107,'TB mapping'!A:C,3,0),0)</f>
        <v>6.3</v>
      </c>
      <c r="D2107" s="125" t="str">
        <f t="shared" si="220"/>
        <v>LIC356.1</v>
      </c>
      <c r="E2107" s="125" t="str">
        <f t="shared" si="221"/>
        <v>LIC356.3</v>
      </c>
      <c r="F2107" s="158" t="str">
        <f>+VLOOKUP(H2107,'code mapping'!A:C,3,0)</f>
        <v>LIC35</v>
      </c>
      <c r="G2107" s="127" t="s">
        <v>453</v>
      </c>
      <c r="H2107" s="127" t="s">
        <v>752</v>
      </c>
      <c r="I2107" s="127" t="s">
        <v>753</v>
      </c>
      <c r="J2107" s="128">
        <v>555100</v>
      </c>
      <c r="K2107" s="127" t="s">
        <v>579</v>
      </c>
      <c r="L2107" s="151">
        <v>555191</v>
      </c>
      <c r="M2107" s="128">
        <v>0</v>
      </c>
      <c r="N2107" s="127" t="s">
        <v>581</v>
      </c>
      <c r="O2107" s="127" t="s">
        <v>457</v>
      </c>
      <c r="P2107" s="128">
        <v>-737219.11</v>
      </c>
      <c r="Q2107" s="128">
        <v>0</v>
      </c>
      <c r="R2107" s="128">
        <v>0</v>
      </c>
      <c r="S2107" s="128">
        <v>0</v>
      </c>
      <c r="T2107" s="128">
        <v>-737219.11</v>
      </c>
      <c r="U2107" s="128">
        <v>0</v>
      </c>
      <c r="V2107" s="128">
        <v>-737219.11</v>
      </c>
      <c r="W2107" s="128">
        <v>0</v>
      </c>
      <c r="X2107" s="128">
        <v>0</v>
      </c>
      <c r="Y2107" s="128">
        <v>0</v>
      </c>
      <c r="Z2107" s="128">
        <v>-737219.11</v>
      </c>
      <c r="AA2107" s="128">
        <v>0</v>
      </c>
      <c r="AB2107" s="126">
        <f t="shared" si="222"/>
        <v>7.3721911000000001E-2</v>
      </c>
      <c r="AC2107" s="122" t="s">
        <v>1838</v>
      </c>
      <c r="AD2107" s="123">
        <f t="shared" si="218"/>
        <v>0.42607626199999998</v>
      </c>
    </row>
    <row r="2108" spans="1:30" ht="12.75" hidden="1" customHeight="1">
      <c r="A2108" s="125" t="str">
        <f t="shared" si="219"/>
        <v>LIC35Management Fees-GDP</v>
      </c>
      <c r="B2108" s="125">
        <f>+IFERROR(VLOOKUP(L2108,'TB mapping'!A:D,4,0),0)</f>
        <v>6.1</v>
      </c>
      <c r="C2108" s="125">
        <f>+IFERROR(VLOOKUP(L2108,'TB mapping'!A:C,3,0),0)</f>
        <v>6.3</v>
      </c>
      <c r="D2108" s="125" t="str">
        <f t="shared" si="220"/>
        <v>LIC356.1</v>
      </c>
      <c r="E2108" s="125" t="str">
        <f t="shared" si="221"/>
        <v>LIC356.3</v>
      </c>
      <c r="F2108" s="158" t="str">
        <f>+VLOOKUP(H2108,'code mapping'!A:C,3,0)</f>
        <v>LIC35</v>
      </c>
      <c r="G2108" s="127" t="s">
        <v>453</v>
      </c>
      <c r="H2108" s="127" t="s">
        <v>752</v>
      </c>
      <c r="I2108" s="127" t="s">
        <v>753</v>
      </c>
      <c r="J2108" s="128">
        <v>555100</v>
      </c>
      <c r="K2108" s="127" t="s">
        <v>579</v>
      </c>
      <c r="L2108" s="151">
        <v>555329</v>
      </c>
      <c r="M2108" s="128">
        <v>0</v>
      </c>
      <c r="N2108" s="127" t="s">
        <v>584</v>
      </c>
      <c r="O2108" s="127" t="s">
        <v>457</v>
      </c>
      <c r="P2108" s="128">
        <v>-297848.28000000003</v>
      </c>
      <c r="Q2108" s="128">
        <v>0</v>
      </c>
      <c r="R2108" s="128">
        <v>0</v>
      </c>
      <c r="S2108" s="128">
        <v>0</v>
      </c>
      <c r="T2108" s="128">
        <v>-297848.28000000003</v>
      </c>
      <c r="U2108" s="128">
        <v>0</v>
      </c>
      <c r="V2108" s="128">
        <v>-297848.28000000003</v>
      </c>
      <c r="W2108" s="128">
        <v>0</v>
      </c>
      <c r="X2108" s="128">
        <v>0</v>
      </c>
      <c r="Y2108" s="128">
        <v>0</v>
      </c>
      <c r="Z2108" s="128">
        <v>-297848.28000000003</v>
      </c>
      <c r="AA2108" s="128">
        <v>0</v>
      </c>
      <c r="AB2108" s="126">
        <f t="shared" si="222"/>
        <v>2.9784828000000003E-2</v>
      </c>
      <c r="AC2108" s="122" t="s">
        <v>1838</v>
      </c>
      <c r="AD2108" s="123">
        <f t="shared" si="218"/>
        <v>0.42607626199999998</v>
      </c>
    </row>
    <row r="2109" spans="1:30" ht="12.75" hidden="1" customHeight="1">
      <c r="A2109" s="125" t="str">
        <f t="shared" si="219"/>
        <v>LIC17Investment - Equities</v>
      </c>
      <c r="B2109" s="125">
        <f>+IFERROR(VLOOKUP(L2109,'TB mapping'!A:D,4,0),0)</f>
        <v>0</v>
      </c>
      <c r="C2109" s="125">
        <f>+IFERROR(VLOOKUP(L2109,'TB mapping'!A:C,3,0),0)</f>
        <v>0</v>
      </c>
      <c r="D2109" s="125" t="str">
        <f t="shared" si="220"/>
        <v>LIC170</v>
      </c>
      <c r="E2109" s="125" t="str">
        <f t="shared" si="221"/>
        <v>LIC170</v>
      </c>
      <c r="F2109" s="158" t="str">
        <f>+VLOOKUP(H2109,'code mapping'!A:C,3,0)</f>
        <v>LIC17</v>
      </c>
      <c r="G2109" s="127" t="s">
        <v>453</v>
      </c>
      <c r="H2109" s="127" t="s">
        <v>762</v>
      </c>
      <c r="I2109" s="127" t="s">
        <v>226</v>
      </c>
      <c r="J2109" s="128">
        <v>101000</v>
      </c>
      <c r="K2109" s="127" t="s">
        <v>591</v>
      </c>
      <c r="L2109" s="151">
        <v>101100</v>
      </c>
      <c r="M2109" s="128">
        <v>0</v>
      </c>
      <c r="N2109" s="127" t="s">
        <v>592</v>
      </c>
      <c r="O2109" s="127" t="s">
        <v>457</v>
      </c>
      <c r="P2109" s="128">
        <v>-3206228792.7199998</v>
      </c>
      <c r="Q2109" s="128">
        <v>0</v>
      </c>
      <c r="R2109" s="128">
        <v>0</v>
      </c>
      <c r="S2109" s="128">
        <v>0</v>
      </c>
      <c r="T2109" s="128">
        <v>-3206228792.7199998</v>
      </c>
      <c r="U2109" s="128">
        <v>0</v>
      </c>
      <c r="V2109" s="128">
        <v>-3206228792.7199998</v>
      </c>
      <c r="W2109" s="128">
        <v>0</v>
      </c>
      <c r="X2109" s="128">
        <v>0</v>
      </c>
      <c r="Y2109" s="128">
        <v>0</v>
      </c>
      <c r="Z2109" s="128">
        <v>-3206228792.7199998</v>
      </c>
      <c r="AA2109" s="128">
        <v>0</v>
      </c>
      <c r="AB2109" s="126">
        <f t="shared" si="222"/>
        <v>320.62287927199998</v>
      </c>
      <c r="AC2109" s="122" t="s">
        <v>1838</v>
      </c>
      <c r="AD2109" s="123">
        <f t="shared" ref="AD2109:AD2140" si="223">SUMIF(C:C,C2109,AB:AB)</f>
        <v>1983.9723217250009</v>
      </c>
    </row>
    <row r="2110" spans="1:30" ht="12.75" hidden="1" customHeight="1">
      <c r="A2110" s="125" t="str">
        <f t="shared" si="219"/>
        <v>LIC17Investment Mutual Fund</v>
      </c>
      <c r="B2110" s="125">
        <f>+IFERROR(VLOOKUP(L2110,'TB mapping'!A:D,4,0),0)</f>
        <v>0</v>
      </c>
      <c r="C2110" s="125">
        <f>+IFERROR(VLOOKUP(L2110,'TB mapping'!A:C,3,0),0)</f>
        <v>0</v>
      </c>
      <c r="D2110" s="125" t="str">
        <f t="shared" si="220"/>
        <v>LIC170</v>
      </c>
      <c r="E2110" s="125" t="str">
        <f t="shared" si="221"/>
        <v>LIC170</v>
      </c>
      <c r="F2110" s="158" t="str">
        <f>+VLOOKUP(H2110,'code mapping'!A:C,3,0)</f>
        <v>LIC17</v>
      </c>
      <c r="G2110" s="127" t="s">
        <v>453</v>
      </c>
      <c r="H2110" s="127" t="s">
        <v>762</v>
      </c>
      <c r="I2110" s="127" t="s">
        <v>226</v>
      </c>
      <c r="J2110" s="128">
        <v>105000</v>
      </c>
      <c r="K2110" s="127" t="s">
        <v>460</v>
      </c>
      <c r="L2110" s="151">
        <v>105100</v>
      </c>
      <c r="M2110" s="128">
        <v>0</v>
      </c>
      <c r="N2110" s="127" t="s">
        <v>461</v>
      </c>
      <c r="O2110" s="127" t="s">
        <v>457</v>
      </c>
      <c r="P2110" s="128">
        <v>-0.01</v>
      </c>
      <c r="Q2110" s="128">
        <v>0</v>
      </c>
      <c r="R2110" s="128">
        <v>0</v>
      </c>
      <c r="S2110" s="128">
        <v>0</v>
      </c>
      <c r="T2110" s="128">
        <v>-0.01</v>
      </c>
      <c r="U2110" s="128">
        <v>0</v>
      </c>
      <c r="V2110" s="128">
        <v>-0.01</v>
      </c>
      <c r="W2110" s="128">
        <v>0</v>
      </c>
      <c r="X2110" s="128">
        <v>0</v>
      </c>
      <c r="Y2110" s="128">
        <v>0</v>
      </c>
      <c r="Z2110" s="128">
        <v>-0.01</v>
      </c>
      <c r="AA2110" s="128">
        <v>0</v>
      </c>
      <c r="AB2110" s="126">
        <f t="shared" si="222"/>
        <v>1.0000000000000001E-9</v>
      </c>
      <c r="AC2110" s="122" t="s">
        <v>1838</v>
      </c>
      <c r="AD2110" s="123">
        <f t="shared" si="223"/>
        <v>1983.9723217250009</v>
      </c>
    </row>
    <row r="2111" spans="1:30" ht="12.75" hidden="1" customHeight="1">
      <c r="A2111" s="125" t="str">
        <f t="shared" si="219"/>
        <v>LIC17Investment - CBLO</v>
      </c>
      <c r="B2111" s="125">
        <f>+IFERROR(VLOOKUP(L2111,'TB mapping'!A:D,4,0),0)</f>
        <v>0</v>
      </c>
      <c r="C2111" s="125">
        <f>+IFERROR(VLOOKUP(L2111,'TB mapping'!A:C,3,0),0)</f>
        <v>0</v>
      </c>
      <c r="D2111" s="125" t="str">
        <f t="shared" si="220"/>
        <v>LIC170</v>
      </c>
      <c r="E2111" s="125" t="str">
        <f t="shared" si="221"/>
        <v>LIC170</v>
      </c>
      <c r="F2111" s="158" t="str">
        <f>+VLOOKUP(H2111,'code mapping'!A:C,3,0)</f>
        <v>LIC17</v>
      </c>
      <c r="G2111" s="127" t="s">
        <v>453</v>
      </c>
      <c r="H2111" s="127" t="s">
        <v>762</v>
      </c>
      <c r="I2111" s="127" t="s">
        <v>226</v>
      </c>
      <c r="J2111" s="128">
        <v>110000</v>
      </c>
      <c r="K2111" s="127" t="s">
        <v>462</v>
      </c>
      <c r="L2111" s="151">
        <v>110100</v>
      </c>
      <c r="M2111" s="128">
        <v>0</v>
      </c>
      <c r="N2111" s="127" t="s">
        <v>463</v>
      </c>
      <c r="O2111" s="127" t="s">
        <v>457</v>
      </c>
      <c r="P2111" s="128">
        <v>-82671858.069999993</v>
      </c>
      <c r="Q2111" s="128">
        <v>0</v>
      </c>
      <c r="R2111" s="128">
        <v>0</v>
      </c>
      <c r="S2111" s="128">
        <v>0</v>
      </c>
      <c r="T2111" s="128">
        <v>-82671858.069999993</v>
      </c>
      <c r="U2111" s="128">
        <v>0</v>
      </c>
      <c r="V2111" s="128">
        <v>-82671858.069999993</v>
      </c>
      <c r="W2111" s="128">
        <v>0</v>
      </c>
      <c r="X2111" s="128">
        <v>0</v>
      </c>
      <c r="Y2111" s="128">
        <v>0</v>
      </c>
      <c r="Z2111" s="128">
        <v>-82671858.069999993</v>
      </c>
      <c r="AA2111" s="128">
        <v>0</v>
      </c>
      <c r="AB2111" s="126">
        <f t="shared" si="222"/>
        <v>8.2671858069999988</v>
      </c>
      <c r="AC2111" s="122" t="s">
        <v>1838</v>
      </c>
      <c r="AD2111" s="123">
        <f t="shared" si="223"/>
        <v>1983.9723217250009</v>
      </c>
    </row>
    <row r="2112" spans="1:30" ht="12.75" hidden="1" customHeight="1">
      <c r="A2112" s="125" t="str">
        <f t="shared" si="219"/>
        <v>LIC17Margin Money Deposits</v>
      </c>
      <c r="B2112" s="125">
        <f>+IFERROR(VLOOKUP(L2112,'TB mapping'!A:D,4,0),0)</f>
        <v>0</v>
      </c>
      <c r="C2112" s="125">
        <f>+IFERROR(VLOOKUP(L2112,'TB mapping'!A:C,3,0),0)</f>
        <v>0</v>
      </c>
      <c r="D2112" s="125" t="str">
        <f t="shared" si="220"/>
        <v>LIC170</v>
      </c>
      <c r="E2112" s="125" t="str">
        <f t="shared" si="221"/>
        <v>LIC170</v>
      </c>
      <c r="F2112" s="158" t="str">
        <f>+VLOOKUP(H2112,'code mapping'!A:C,3,0)</f>
        <v>LIC17</v>
      </c>
      <c r="G2112" s="127" t="s">
        <v>453</v>
      </c>
      <c r="H2112" s="127" t="s">
        <v>762</v>
      </c>
      <c r="I2112" s="127" t="s">
        <v>226</v>
      </c>
      <c r="J2112" s="128">
        <v>110000</v>
      </c>
      <c r="K2112" s="127" t="s">
        <v>462</v>
      </c>
      <c r="L2112" s="151">
        <v>110110</v>
      </c>
      <c r="M2112" s="128">
        <v>0</v>
      </c>
      <c r="N2112" s="127" t="s">
        <v>464</v>
      </c>
      <c r="O2112" s="127" t="s">
        <v>457</v>
      </c>
      <c r="P2112" s="128">
        <v>-55376.86</v>
      </c>
      <c r="Q2112" s="128">
        <v>0</v>
      </c>
      <c r="R2112" s="128">
        <v>0</v>
      </c>
      <c r="S2112" s="128">
        <v>0</v>
      </c>
      <c r="T2112" s="128">
        <v>-55376.86</v>
      </c>
      <c r="U2112" s="128">
        <v>0</v>
      </c>
      <c r="V2112" s="128">
        <v>-55376.86</v>
      </c>
      <c r="W2112" s="128">
        <v>0</v>
      </c>
      <c r="X2112" s="128">
        <v>0</v>
      </c>
      <c r="Y2112" s="128">
        <v>0</v>
      </c>
      <c r="Z2112" s="128">
        <v>-55376.86</v>
      </c>
      <c r="AA2112" s="128">
        <v>0</v>
      </c>
      <c r="AB2112" s="126">
        <f t="shared" si="222"/>
        <v>5.537686E-3</v>
      </c>
      <c r="AC2112" s="122" t="s">
        <v>1838</v>
      </c>
      <c r="AD2112" s="123">
        <f t="shared" si="223"/>
        <v>1983.9723217250009</v>
      </c>
    </row>
    <row r="2113" spans="1:30" ht="12.75" hidden="1" customHeight="1">
      <c r="A2113" s="125" t="str">
        <f t="shared" si="219"/>
        <v>LIC17Margin Deposit For CCIL</v>
      </c>
      <c r="B2113" s="125">
        <f>+IFERROR(VLOOKUP(L2113,'TB mapping'!A:D,4,0),0)</f>
        <v>0</v>
      </c>
      <c r="C2113" s="125">
        <f>+IFERROR(VLOOKUP(L2113,'TB mapping'!A:C,3,0),0)</f>
        <v>0</v>
      </c>
      <c r="D2113" s="125" t="str">
        <f t="shared" si="220"/>
        <v>LIC170</v>
      </c>
      <c r="E2113" s="125" t="str">
        <f t="shared" si="221"/>
        <v>LIC170</v>
      </c>
      <c r="F2113" s="158" t="str">
        <f>+VLOOKUP(H2113,'code mapping'!A:C,3,0)</f>
        <v>LIC17</v>
      </c>
      <c r="G2113" s="127" t="s">
        <v>453</v>
      </c>
      <c r="H2113" s="127" t="s">
        <v>762</v>
      </c>
      <c r="I2113" s="127" t="s">
        <v>226</v>
      </c>
      <c r="J2113" s="128">
        <v>110000</v>
      </c>
      <c r="K2113" s="127" t="s">
        <v>462</v>
      </c>
      <c r="L2113" s="151">
        <v>110116</v>
      </c>
      <c r="M2113" s="128">
        <v>0</v>
      </c>
      <c r="N2113" s="127" t="s">
        <v>465</v>
      </c>
      <c r="O2113" s="127" t="s">
        <v>457</v>
      </c>
      <c r="P2113" s="128">
        <v>-78393.3</v>
      </c>
      <c r="Q2113" s="128">
        <v>0</v>
      </c>
      <c r="R2113" s="128">
        <v>0</v>
      </c>
      <c r="S2113" s="128">
        <v>0</v>
      </c>
      <c r="T2113" s="128">
        <v>-78393.3</v>
      </c>
      <c r="U2113" s="128">
        <v>0</v>
      </c>
      <c r="V2113" s="128">
        <v>-78393.3</v>
      </c>
      <c r="W2113" s="128">
        <v>0</v>
      </c>
      <c r="X2113" s="128">
        <v>0</v>
      </c>
      <c r="Y2113" s="128">
        <v>0</v>
      </c>
      <c r="Z2113" s="128">
        <v>-78393.3</v>
      </c>
      <c r="AA2113" s="128">
        <v>0</v>
      </c>
      <c r="AB2113" s="126">
        <f t="shared" si="222"/>
        <v>7.8393300000000003E-3</v>
      </c>
      <c r="AC2113" s="122" t="s">
        <v>1838</v>
      </c>
      <c r="AD2113" s="123">
        <f t="shared" si="223"/>
        <v>1983.9723217250009</v>
      </c>
    </row>
    <row r="2114" spans="1:30" ht="12.75" hidden="1" customHeight="1">
      <c r="A2114" s="125" t="str">
        <f t="shared" si="219"/>
        <v>LIC17Dividend Receivable</v>
      </c>
      <c r="B2114" s="125">
        <f>+IFERROR(VLOOKUP(L2114,'TB mapping'!A:D,4,0),0)</f>
        <v>0</v>
      </c>
      <c r="C2114" s="125">
        <f>+IFERROR(VLOOKUP(L2114,'TB mapping'!A:C,3,0),0)</f>
        <v>0</v>
      </c>
      <c r="D2114" s="125" t="str">
        <f t="shared" si="220"/>
        <v>LIC170</v>
      </c>
      <c r="E2114" s="125" t="str">
        <f t="shared" si="221"/>
        <v>LIC170</v>
      </c>
      <c r="F2114" s="158" t="str">
        <f>+VLOOKUP(H2114,'code mapping'!A:C,3,0)</f>
        <v>LIC17</v>
      </c>
      <c r="G2114" s="127" t="s">
        <v>453</v>
      </c>
      <c r="H2114" s="127" t="s">
        <v>762</v>
      </c>
      <c r="I2114" s="127" t="s">
        <v>226</v>
      </c>
      <c r="J2114" s="128">
        <v>132000</v>
      </c>
      <c r="K2114" s="127" t="s">
        <v>466</v>
      </c>
      <c r="L2114" s="151">
        <v>132100</v>
      </c>
      <c r="M2114" s="128">
        <v>0</v>
      </c>
      <c r="N2114" s="127" t="s">
        <v>593</v>
      </c>
      <c r="O2114" s="127" t="s">
        <v>457</v>
      </c>
      <c r="P2114" s="128">
        <v>-42700</v>
      </c>
      <c r="Q2114" s="128">
        <v>0</v>
      </c>
      <c r="R2114" s="128">
        <v>0</v>
      </c>
      <c r="S2114" s="128">
        <v>0</v>
      </c>
      <c r="T2114" s="128">
        <v>-42700</v>
      </c>
      <c r="U2114" s="128">
        <v>0</v>
      </c>
      <c r="V2114" s="128">
        <v>-42700</v>
      </c>
      <c r="W2114" s="128">
        <v>0</v>
      </c>
      <c r="X2114" s="128">
        <v>0</v>
      </c>
      <c r="Y2114" s="128">
        <v>0</v>
      </c>
      <c r="Z2114" s="128">
        <v>-42700</v>
      </c>
      <c r="AA2114" s="128">
        <v>0</v>
      </c>
      <c r="AB2114" s="126">
        <f t="shared" si="222"/>
        <v>4.2700000000000004E-3</v>
      </c>
      <c r="AC2114" s="122" t="s">
        <v>1838</v>
      </c>
      <c r="AD2114" s="123">
        <f t="shared" si="223"/>
        <v>1983.9723217250009</v>
      </c>
    </row>
    <row r="2115" spans="1:30" ht="12.75" hidden="1" customHeight="1">
      <c r="A2115" s="125" t="str">
        <f t="shared" si="219"/>
        <v>LIC17Sub. Rec. Control Account</v>
      </c>
      <c r="B2115" s="125">
        <f>+IFERROR(VLOOKUP(L2115,'TB mapping'!A:D,4,0),0)</f>
        <v>0</v>
      </c>
      <c r="C2115" s="125">
        <f>+IFERROR(VLOOKUP(L2115,'TB mapping'!A:C,3,0),0)</f>
        <v>0</v>
      </c>
      <c r="D2115" s="125" t="str">
        <f t="shared" si="220"/>
        <v>LIC170</v>
      </c>
      <c r="E2115" s="125" t="str">
        <f t="shared" si="221"/>
        <v>LIC170</v>
      </c>
      <c r="F2115" s="158" t="str">
        <f>+VLOOKUP(H2115,'code mapping'!A:C,3,0)</f>
        <v>LIC17</v>
      </c>
      <c r="G2115" s="127" t="s">
        <v>453</v>
      </c>
      <c r="H2115" s="127" t="s">
        <v>762</v>
      </c>
      <c r="I2115" s="127" t="s">
        <v>226</v>
      </c>
      <c r="J2115" s="128">
        <v>132000</v>
      </c>
      <c r="K2115" s="127" t="s">
        <v>466</v>
      </c>
      <c r="L2115" s="151">
        <v>132121</v>
      </c>
      <c r="M2115" s="128">
        <v>0</v>
      </c>
      <c r="N2115" s="127" t="s">
        <v>467</v>
      </c>
      <c r="O2115" s="127" t="s">
        <v>457</v>
      </c>
      <c r="P2115" s="128">
        <v>-1041271.24</v>
      </c>
      <c r="Q2115" s="128">
        <v>0</v>
      </c>
      <c r="R2115" s="128">
        <v>0</v>
      </c>
      <c r="S2115" s="128">
        <v>0</v>
      </c>
      <c r="T2115" s="128">
        <v>-1041271.24</v>
      </c>
      <c r="U2115" s="128">
        <v>0</v>
      </c>
      <c r="V2115" s="128">
        <v>-1041271.24</v>
      </c>
      <c r="W2115" s="128">
        <v>0</v>
      </c>
      <c r="X2115" s="128">
        <v>0</v>
      </c>
      <c r="Y2115" s="128">
        <v>0</v>
      </c>
      <c r="Z2115" s="128">
        <v>-1041271.24</v>
      </c>
      <c r="AA2115" s="128">
        <v>0</v>
      </c>
      <c r="AB2115" s="126">
        <f t="shared" si="222"/>
        <v>0.104127124</v>
      </c>
      <c r="AC2115" s="122" t="s">
        <v>1838</v>
      </c>
      <c r="AD2115" s="123">
        <f t="shared" si="223"/>
        <v>1983.9723217250009</v>
      </c>
    </row>
    <row r="2116" spans="1:30" ht="12.75" hidden="1" customHeight="1">
      <c r="A2116" s="125" t="str">
        <f t="shared" si="219"/>
        <v>LIC17Switch in Receivable Ct</v>
      </c>
      <c r="B2116" s="125">
        <f>+IFERROR(VLOOKUP(L2116,'TB mapping'!A:D,4,0),0)</f>
        <v>0</v>
      </c>
      <c r="C2116" s="125">
        <f>+IFERROR(VLOOKUP(L2116,'TB mapping'!A:C,3,0),0)</f>
        <v>0</v>
      </c>
      <c r="D2116" s="125" t="str">
        <f t="shared" si="220"/>
        <v>LIC170</v>
      </c>
      <c r="E2116" s="125" t="str">
        <f t="shared" si="221"/>
        <v>LIC170</v>
      </c>
      <c r="F2116" s="158" t="str">
        <f>+VLOOKUP(H2116,'code mapping'!A:C,3,0)</f>
        <v>LIC17</v>
      </c>
      <c r="G2116" s="127" t="s">
        <v>453</v>
      </c>
      <c r="H2116" s="127" t="s">
        <v>762</v>
      </c>
      <c r="I2116" s="127" t="s">
        <v>226</v>
      </c>
      <c r="J2116" s="128">
        <v>132000</v>
      </c>
      <c r="K2116" s="127" t="s">
        <v>466</v>
      </c>
      <c r="L2116" s="151">
        <v>132124</v>
      </c>
      <c r="M2116" s="128">
        <v>0</v>
      </c>
      <c r="N2116" s="127" t="s">
        <v>468</v>
      </c>
      <c r="O2116" s="127" t="s">
        <v>457</v>
      </c>
      <c r="P2116" s="128">
        <v>-17096.66</v>
      </c>
      <c r="Q2116" s="128">
        <v>0</v>
      </c>
      <c r="R2116" s="128">
        <v>0</v>
      </c>
      <c r="S2116" s="128">
        <v>0</v>
      </c>
      <c r="T2116" s="128">
        <v>-17096.66</v>
      </c>
      <c r="U2116" s="128">
        <v>0</v>
      </c>
      <c r="V2116" s="128">
        <v>-17096.66</v>
      </c>
      <c r="W2116" s="128">
        <v>0</v>
      </c>
      <c r="X2116" s="128">
        <v>0</v>
      </c>
      <c r="Y2116" s="128">
        <v>0</v>
      </c>
      <c r="Z2116" s="128">
        <v>-17096.66</v>
      </c>
      <c r="AA2116" s="128">
        <v>0</v>
      </c>
      <c r="AB2116" s="126">
        <f t="shared" si="222"/>
        <v>1.7096660000000001E-3</v>
      </c>
      <c r="AC2116" s="122" t="s">
        <v>1838</v>
      </c>
      <c r="AD2116" s="123">
        <f t="shared" si="223"/>
        <v>1983.9723217250009</v>
      </c>
    </row>
    <row r="2117" spans="1:30" ht="12.75" hidden="1" customHeight="1">
      <c r="A2117" s="125" t="str">
        <f t="shared" si="219"/>
        <v>LIC17Due From Broker - Equities</v>
      </c>
      <c r="B2117" s="125">
        <f>+IFERROR(VLOOKUP(L2117,'TB mapping'!A:D,4,0),0)</f>
        <v>0</v>
      </c>
      <c r="C2117" s="125">
        <f>+IFERROR(VLOOKUP(L2117,'TB mapping'!A:C,3,0),0)</f>
        <v>0</v>
      </c>
      <c r="D2117" s="125" t="str">
        <f t="shared" si="220"/>
        <v>LIC170</v>
      </c>
      <c r="E2117" s="125" t="str">
        <f t="shared" si="221"/>
        <v>LIC170</v>
      </c>
      <c r="F2117" s="158" t="str">
        <f>+VLOOKUP(H2117,'code mapping'!A:C,3,0)</f>
        <v>LIC17</v>
      </c>
      <c r="G2117" s="127" t="s">
        <v>453</v>
      </c>
      <c r="H2117" s="127" t="s">
        <v>762</v>
      </c>
      <c r="I2117" s="127" t="s">
        <v>226</v>
      </c>
      <c r="J2117" s="128">
        <v>132000</v>
      </c>
      <c r="K2117" s="127" t="s">
        <v>466</v>
      </c>
      <c r="L2117" s="151">
        <v>132150</v>
      </c>
      <c r="M2117" s="128">
        <v>0</v>
      </c>
      <c r="N2117" s="127" t="s">
        <v>594</v>
      </c>
      <c r="O2117" s="127" t="s">
        <v>457</v>
      </c>
      <c r="P2117" s="128">
        <v>-10755167.83</v>
      </c>
      <c r="Q2117" s="128">
        <v>0</v>
      </c>
      <c r="R2117" s="128">
        <v>0</v>
      </c>
      <c r="S2117" s="128">
        <v>0</v>
      </c>
      <c r="T2117" s="128">
        <v>-10755167.83</v>
      </c>
      <c r="U2117" s="128">
        <v>0</v>
      </c>
      <c r="V2117" s="128">
        <v>-10755167.83</v>
      </c>
      <c r="W2117" s="128">
        <v>0</v>
      </c>
      <c r="X2117" s="128">
        <v>0</v>
      </c>
      <c r="Y2117" s="128">
        <v>0</v>
      </c>
      <c r="Z2117" s="128">
        <v>-10755167.83</v>
      </c>
      <c r="AA2117" s="128">
        <v>0</v>
      </c>
      <c r="AB2117" s="126">
        <f t="shared" si="222"/>
        <v>1.0755167830000001</v>
      </c>
      <c r="AC2117" s="122" t="s">
        <v>1838</v>
      </c>
      <c r="AD2117" s="123">
        <f t="shared" si="223"/>
        <v>1983.9723217250009</v>
      </c>
    </row>
    <row r="2118" spans="1:30" ht="12.75" hidden="1" customHeight="1">
      <c r="A2118" s="125" t="str">
        <f t="shared" si="219"/>
        <v>LIC17Due From Broker</v>
      </c>
      <c r="B2118" s="125">
        <f>+IFERROR(VLOOKUP(L2118,'TB mapping'!A:D,4,0),0)</f>
        <v>0</v>
      </c>
      <c r="C2118" s="125">
        <f>+IFERROR(VLOOKUP(L2118,'TB mapping'!A:C,3,0),0)</f>
        <v>0</v>
      </c>
      <c r="D2118" s="125" t="str">
        <f t="shared" si="220"/>
        <v>LIC170</v>
      </c>
      <c r="E2118" s="125" t="str">
        <f t="shared" si="221"/>
        <v>LIC170</v>
      </c>
      <c r="F2118" s="158" t="str">
        <f>+VLOOKUP(H2118,'code mapping'!A:C,3,0)</f>
        <v>LIC17</v>
      </c>
      <c r="G2118" s="127" t="s">
        <v>453</v>
      </c>
      <c r="H2118" s="127" t="s">
        <v>762</v>
      </c>
      <c r="I2118" s="127" t="s">
        <v>226</v>
      </c>
      <c r="J2118" s="128">
        <v>132000</v>
      </c>
      <c r="K2118" s="127" t="s">
        <v>466</v>
      </c>
      <c r="L2118" s="151">
        <v>132153</v>
      </c>
      <c r="M2118" s="128">
        <v>0</v>
      </c>
      <c r="N2118" s="127" t="s">
        <v>625</v>
      </c>
      <c r="O2118" s="127" t="s">
        <v>457</v>
      </c>
      <c r="P2118" s="128">
        <v>-44710941.979999997</v>
      </c>
      <c r="Q2118" s="128">
        <v>0</v>
      </c>
      <c r="R2118" s="128">
        <v>0</v>
      </c>
      <c r="S2118" s="128">
        <v>0</v>
      </c>
      <c r="T2118" s="128">
        <v>-44710941.979999997</v>
      </c>
      <c r="U2118" s="128">
        <v>0</v>
      </c>
      <c r="V2118" s="128">
        <v>-44710941.979999997</v>
      </c>
      <c r="W2118" s="128">
        <v>0</v>
      </c>
      <c r="X2118" s="128">
        <v>0</v>
      </c>
      <c r="Y2118" s="128">
        <v>0</v>
      </c>
      <c r="Z2118" s="128">
        <v>-44710941.979999997</v>
      </c>
      <c r="AA2118" s="128">
        <v>0</v>
      </c>
      <c r="AB2118" s="126">
        <f t="shared" si="222"/>
        <v>4.4710941979999994</v>
      </c>
      <c r="AC2118" s="122" t="s">
        <v>1838</v>
      </c>
      <c r="AD2118" s="123">
        <f t="shared" si="223"/>
        <v>1983.9723217250009</v>
      </c>
    </row>
    <row r="2119" spans="1:30" ht="12.75" hidden="1" customHeight="1">
      <c r="A2119" s="125" t="str">
        <f t="shared" si="219"/>
        <v>LIC17Receivable from AMC</v>
      </c>
      <c r="B2119" s="125">
        <f>+IFERROR(VLOOKUP(L2119,'TB mapping'!A:D,4,0),0)</f>
        <v>0</v>
      </c>
      <c r="C2119" s="125">
        <f>+IFERROR(VLOOKUP(L2119,'TB mapping'!A:C,3,0),0)</f>
        <v>0</v>
      </c>
      <c r="D2119" s="125" t="str">
        <f t="shared" si="220"/>
        <v>LIC170</v>
      </c>
      <c r="E2119" s="125" t="str">
        <f t="shared" si="221"/>
        <v>LIC170</v>
      </c>
      <c r="F2119" s="158" t="str">
        <f>+VLOOKUP(H2119,'code mapping'!A:C,3,0)</f>
        <v>LIC17</v>
      </c>
      <c r="G2119" s="127" t="s">
        <v>453</v>
      </c>
      <c r="H2119" s="127" t="s">
        <v>762</v>
      </c>
      <c r="I2119" s="127" t="s">
        <v>226</v>
      </c>
      <c r="J2119" s="128">
        <v>132000</v>
      </c>
      <c r="K2119" s="127" t="s">
        <v>466</v>
      </c>
      <c r="L2119" s="151">
        <v>152400</v>
      </c>
      <c r="M2119" s="128">
        <v>0</v>
      </c>
      <c r="N2119" s="127" t="s">
        <v>471</v>
      </c>
      <c r="O2119" s="127" t="s">
        <v>457</v>
      </c>
      <c r="P2119" s="128">
        <v>-1761.26</v>
      </c>
      <c r="Q2119" s="128">
        <v>0</v>
      </c>
      <c r="R2119" s="128">
        <v>0</v>
      </c>
      <c r="S2119" s="128">
        <v>0</v>
      </c>
      <c r="T2119" s="128">
        <v>-1761.26</v>
      </c>
      <c r="U2119" s="128">
        <v>0</v>
      </c>
      <c r="V2119" s="128">
        <v>-1761.26</v>
      </c>
      <c r="W2119" s="128">
        <v>0</v>
      </c>
      <c r="X2119" s="128">
        <v>0</v>
      </c>
      <c r="Y2119" s="128">
        <v>0</v>
      </c>
      <c r="Z2119" s="128">
        <v>-1761.26</v>
      </c>
      <c r="AA2119" s="128">
        <v>0</v>
      </c>
      <c r="AB2119" s="126">
        <f t="shared" si="222"/>
        <v>1.76126E-4</v>
      </c>
      <c r="AC2119" s="122" t="s">
        <v>1838</v>
      </c>
      <c r="AD2119" s="123">
        <f t="shared" si="223"/>
        <v>1983.9723217250009</v>
      </c>
    </row>
    <row r="2120" spans="1:30" ht="12.75" hidden="1" customHeight="1">
      <c r="A2120" s="125" t="str">
        <f t="shared" si="219"/>
        <v>LIC17CCIL Settlement A/C</v>
      </c>
      <c r="B2120" s="125">
        <f>+IFERROR(VLOOKUP(L2120,'TB mapping'!A:D,4,0),0)</f>
        <v>0</v>
      </c>
      <c r="C2120" s="125">
        <f>+IFERROR(VLOOKUP(L2120,'TB mapping'!A:C,3,0),0)</f>
        <v>0</v>
      </c>
      <c r="D2120" s="125" t="str">
        <f t="shared" si="220"/>
        <v>LIC170</v>
      </c>
      <c r="E2120" s="125" t="str">
        <f t="shared" si="221"/>
        <v>LIC170</v>
      </c>
      <c r="F2120" s="158" t="str">
        <f>+VLOOKUP(H2120,'code mapping'!A:C,3,0)</f>
        <v>LIC17</v>
      </c>
      <c r="G2120" s="127" t="s">
        <v>453</v>
      </c>
      <c r="H2120" s="127" t="s">
        <v>762</v>
      </c>
      <c r="I2120" s="127" t="s">
        <v>226</v>
      </c>
      <c r="J2120" s="128">
        <v>140000</v>
      </c>
      <c r="K2120" s="127" t="s">
        <v>472</v>
      </c>
      <c r="L2120" s="151">
        <v>132237</v>
      </c>
      <c r="M2120" s="128">
        <v>0</v>
      </c>
      <c r="N2120" s="127" t="s">
        <v>473</v>
      </c>
      <c r="O2120" s="127" t="s">
        <v>457</v>
      </c>
      <c r="P2120" s="128">
        <v>0</v>
      </c>
      <c r="Q2120" s="128">
        <v>0.13</v>
      </c>
      <c r="R2120" s="128">
        <v>0</v>
      </c>
      <c r="S2120" s="128">
        <v>0</v>
      </c>
      <c r="T2120" s="128">
        <v>0</v>
      </c>
      <c r="U2120" s="128">
        <v>0.13</v>
      </c>
      <c r="V2120" s="128">
        <v>0</v>
      </c>
      <c r="W2120" s="128">
        <v>0.13</v>
      </c>
      <c r="X2120" s="128">
        <v>0</v>
      </c>
      <c r="Y2120" s="128">
        <v>0</v>
      </c>
      <c r="Z2120" s="128">
        <v>0</v>
      </c>
      <c r="AA2120" s="128">
        <v>0.13</v>
      </c>
      <c r="AB2120" s="126">
        <f t="shared" si="222"/>
        <v>-1.3000000000000001E-8</v>
      </c>
      <c r="AC2120" s="122" t="s">
        <v>1838</v>
      </c>
      <c r="AD2120" s="123">
        <f t="shared" si="223"/>
        <v>1983.9723217250009</v>
      </c>
    </row>
    <row r="2121" spans="1:30" ht="12.75" hidden="1" customHeight="1">
      <c r="A2121" s="125" t="str">
        <f t="shared" si="219"/>
        <v>LIC17HDFC Current Account</v>
      </c>
      <c r="B2121" s="125">
        <f>+IFERROR(VLOOKUP(L2121,'TB mapping'!A:D,4,0),0)</f>
        <v>0</v>
      </c>
      <c r="C2121" s="125">
        <f>+IFERROR(VLOOKUP(L2121,'TB mapping'!A:C,3,0),0)</f>
        <v>0</v>
      </c>
      <c r="D2121" s="125" t="str">
        <f t="shared" si="220"/>
        <v>LIC170</v>
      </c>
      <c r="E2121" s="125" t="str">
        <f t="shared" si="221"/>
        <v>LIC170</v>
      </c>
      <c r="F2121" s="158" t="str">
        <f>+VLOOKUP(H2121,'code mapping'!A:C,3,0)</f>
        <v>LIC17</v>
      </c>
      <c r="G2121" s="127" t="s">
        <v>453</v>
      </c>
      <c r="H2121" s="127" t="s">
        <v>762</v>
      </c>
      <c r="I2121" s="127" t="s">
        <v>226</v>
      </c>
      <c r="J2121" s="128">
        <v>140000</v>
      </c>
      <c r="K2121" s="127" t="s">
        <v>472</v>
      </c>
      <c r="L2121" s="151">
        <v>140330</v>
      </c>
      <c r="M2121" s="128">
        <v>0</v>
      </c>
      <c r="N2121" s="127" t="s">
        <v>475</v>
      </c>
      <c r="O2121" s="127" t="s">
        <v>457</v>
      </c>
      <c r="P2121" s="128">
        <v>0</v>
      </c>
      <c r="Q2121" s="128">
        <v>0.1</v>
      </c>
      <c r="R2121" s="128">
        <v>0</v>
      </c>
      <c r="S2121" s="128">
        <v>0</v>
      </c>
      <c r="T2121" s="128">
        <v>0</v>
      </c>
      <c r="U2121" s="128">
        <v>0.1</v>
      </c>
      <c r="V2121" s="128">
        <v>0</v>
      </c>
      <c r="W2121" s="128">
        <v>0.1</v>
      </c>
      <c r="X2121" s="128">
        <v>0</v>
      </c>
      <c r="Y2121" s="128">
        <v>0</v>
      </c>
      <c r="Z2121" s="128">
        <v>0</v>
      </c>
      <c r="AA2121" s="128">
        <v>0.1</v>
      </c>
      <c r="AB2121" s="126">
        <f t="shared" si="222"/>
        <v>-1E-8</v>
      </c>
      <c r="AC2121" s="122" t="s">
        <v>1838</v>
      </c>
      <c r="AD2121" s="123">
        <f t="shared" si="223"/>
        <v>1983.9723217250009</v>
      </c>
    </row>
    <row r="2122" spans="1:30" ht="12.75" hidden="1" customHeight="1">
      <c r="A2122" s="125" t="str">
        <f t="shared" si="219"/>
        <v>LIC17HDFC Bank Ltd</v>
      </c>
      <c r="B2122" s="125">
        <f>+IFERROR(VLOOKUP(L2122,'TB mapping'!A:D,4,0),0)</f>
        <v>0</v>
      </c>
      <c r="C2122" s="125">
        <f>+IFERROR(VLOOKUP(L2122,'TB mapping'!A:C,3,0),0)</f>
        <v>0</v>
      </c>
      <c r="D2122" s="125" t="str">
        <f t="shared" si="220"/>
        <v>LIC170</v>
      </c>
      <c r="E2122" s="125" t="str">
        <f t="shared" si="221"/>
        <v>LIC170</v>
      </c>
      <c r="F2122" s="158" t="str">
        <f>+VLOOKUP(H2122,'code mapping'!A:C,3,0)</f>
        <v>LIC17</v>
      </c>
      <c r="G2122" s="127" t="s">
        <v>453</v>
      </c>
      <c r="H2122" s="127" t="s">
        <v>762</v>
      </c>
      <c r="I2122" s="127" t="s">
        <v>226</v>
      </c>
      <c r="J2122" s="128">
        <v>140000</v>
      </c>
      <c r="K2122" s="127" t="s">
        <v>472</v>
      </c>
      <c r="L2122" s="151">
        <v>140372</v>
      </c>
      <c r="M2122" s="128">
        <v>0</v>
      </c>
      <c r="N2122" s="127" t="s">
        <v>476</v>
      </c>
      <c r="O2122" s="127" t="s">
        <v>457</v>
      </c>
      <c r="P2122" s="128">
        <v>0</v>
      </c>
      <c r="Q2122" s="128">
        <v>34.090000000000003</v>
      </c>
      <c r="R2122" s="128">
        <v>0</v>
      </c>
      <c r="S2122" s="128">
        <v>0</v>
      </c>
      <c r="T2122" s="128">
        <v>0</v>
      </c>
      <c r="U2122" s="128">
        <v>34.090000000000003</v>
      </c>
      <c r="V2122" s="128">
        <v>0</v>
      </c>
      <c r="W2122" s="128">
        <v>34.090000000000003</v>
      </c>
      <c r="X2122" s="128">
        <v>0</v>
      </c>
      <c r="Y2122" s="128">
        <v>0</v>
      </c>
      <c r="Z2122" s="128">
        <v>0</v>
      </c>
      <c r="AA2122" s="128">
        <v>34.090000000000003</v>
      </c>
      <c r="AB2122" s="126">
        <f t="shared" si="222"/>
        <v>-3.4090000000000003E-6</v>
      </c>
      <c r="AC2122" s="122" t="s">
        <v>1838</v>
      </c>
      <c r="AD2122" s="123">
        <f t="shared" si="223"/>
        <v>1983.9723217250009</v>
      </c>
    </row>
    <row r="2123" spans="1:30" ht="12.75" hidden="1" customHeight="1">
      <c r="A2123" s="125" t="str">
        <f t="shared" si="219"/>
        <v>LIC17Standard Chartered Bank- India</v>
      </c>
      <c r="B2123" s="125">
        <f>+IFERROR(VLOOKUP(L2123,'TB mapping'!A:D,4,0),0)</f>
        <v>0</v>
      </c>
      <c r="C2123" s="125">
        <f>+IFERROR(VLOOKUP(L2123,'TB mapping'!A:C,3,0),0)</f>
        <v>0</v>
      </c>
      <c r="D2123" s="125" t="str">
        <f t="shared" si="220"/>
        <v>LIC170</v>
      </c>
      <c r="E2123" s="125" t="str">
        <f t="shared" si="221"/>
        <v>LIC170</v>
      </c>
      <c r="F2123" s="158" t="str">
        <f>+VLOOKUP(H2123,'code mapping'!A:C,3,0)</f>
        <v>LIC17</v>
      </c>
      <c r="G2123" s="127" t="s">
        <v>453</v>
      </c>
      <c r="H2123" s="127" t="s">
        <v>762</v>
      </c>
      <c r="I2123" s="127" t="s">
        <v>226</v>
      </c>
      <c r="J2123" s="128">
        <v>140000</v>
      </c>
      <c r="K2123" s="127" t="s">
        <v>472</v>
      </c>
      <c r="L2123" s="151">
        <v>140500</v>
      </c>
      <c r="M2123" s="128">
        <v>0</v>
      </c>
      <c r="N2123" s="127" t="s">
        <v>477</v>
      </c>
      <c r="O2123" s="127" t="s">
        <v>457</v>
      </c>
      <c r="P2123" s="128">
        <v>-55476.08</v>
      </c>
      <c r="Q2123" s="128">
        <v>0</v>
      </c>
      <c r="R2123" s="128">
        <v>0</v>
      </c>
      <c r="S2123" s="128">
        <v>0</v>
      </c>
      <c r="T2123" s="128">
        <v>-55476.08</v>
      </c>
      <c r="U2123" s="128">
        <v>0</v>
      </c>
      <c r="V2123" s="128">
        <v>-55476.08</v>
      </c>
      <c r="W2123" s="128">
        <v>0</v>
      </c>
      <c r="X2123" s="128">
        <v>0</v>
      </c>
      <c r="Y2123" s="128">
        <v>0</v>
      </c>
      <c r="Z2123" s="128">
        <v>-55476.08</v>
      </c>
      <c r="AA2123" s="128">
        <v>0</v>
      </c>
      <c r="AB2123" s="126">
        <f t="shared" si="222"/>
        <v>5.5476079999999999E-3</v>
      </c>
      <c r="AC2123" s="122" t="s">
        <v>1838</v>
      </c>
      <c r="AD2123" s="123">
        <f t="shared" si="223"/>
        <v>1983.9723217250009</v>
      </c>
    </row>
    <row r="2124" spans="1:30" ht="12.75" hidden="1" customHeight="1">
      <c r="A2124" s="125" t="str">
        <f t="shared" si="219"/>
        <v>LIC17Amort Receivable - CBLO</v>
      </c>
      <c r="B2124" s="125">
        <f>+IFERROR(VLOOKUP(L2124,'TB mapping'!A:D,4,0),0)</f>
        <v>0</v>
      </c>
      <c r="C2124" s="125">
        <f>+IFERROR(VLOOKUP(L2124,'TB mapping'!A:C,3,0),0)</f>
        <v>0</v>
      </c>
      <c r="D2124" s="125" t="str">
        <f t="shared" si="220"/>
        <v>LIC170</v>
      </c>
      <c r="E2124" s="125" t="str">
        <f t="shared" si="221"/>
        <v>LIC170</v>
      </c>
      <c r="F2124" s="158" t="str">
        <f>+VLOOKUP(H2124,'code mapping'!A:C,3,0)</f>
        <v>LIC17</v>
      </c>
      <c r="G2124" s="127" t="s">
        <v>453</v>
      </c>
      <c r="H2124" s="127" t="s">
        <v>762</v>
      </c>
      <c r="I2124" s="127" t="s">
        <v>226</v>
      </c>
      <c r="J2124" s="128">
        <v>152000</v>
      </c>
      <c r="K2124" s="127" t="s">
        <v>478</v>
      </c>
      <c r="L2124" s="151">
        <v>152232</v>
      </c>
      <c r="M2124" s="128">
        <v>0</v>
      </c>
      <c r="N2124" s="127" t="s">
        <v>482</v>
      </c>
      <c r="O2124" s="127" t="s">
        <v>457</v>
      </c>
      <c r="P2124" s="128">
        <v>-36985.57</v>
      </c>
      <c r="Q2124" s="128">
        <v>0</v>
      </c>
      <c r="R2124" s="128">
        <v>0</v>
      </c>
      <c r="S2124" s="128">
        <v>0</v>
      </c>
      <c r="T2124" s="128">
        <v>-36985.57</v>
      </c>
      <c r="U2124" s="128">
        <v>0</v>
      </c>
      <c r="V2124" s="128">
        <v>-36985.57</v>
      </c>
      <c r="W2124" s="128">
        <v>0</v>
      </c>
      <c r="X2124" s="128">
        <v>0</v>
      </c>
      <c r="Y2124" s="128">
        <v>0</v>
      </c>
      <c r="Z2124" s="128">
        <v>-36985.57</v>
      </c>
      <c r="AA2124" s="128">
        <v>0</v>
      </c>
      <c r="AB2124" s="126">
        <f t="shared" si="222"/>
        <v>3.6985569999999999E-3</v>
      </c>
      <c r="AC2124" s="122" t="s">
        <v>1838</v>
      </c>
      <c r="AD2124" s="123">
        <f t="shared" si="223"/>
        <v>1983.9723217250009</v>
      </c>
    </row>
    <row r="2125" spans="1:30" ht="12.75" hidden="1" customHeight="1">
      <c r="A2125" s="125" t="str">
        <f t="shared" si="219"/>
        <v>LIC17Prov Unr P/L - Equities</v>
      </c>
      <c r="B2125" s="125">
        <f>+IFERROR(VLOOKUP(L2125,'TB mapping'!A:D,4,0),0)</f>
        <v>0</v>
      </c>
      <c r="C2125" s="125">
        <f>+IFERROR(VLOOKUP(L2125,'TB mapping'!A:C,3,0),0)</f>
        <v>0</v>
      </c>
      <c r="D2125" s="125" t="str">
        <f t="shared" si="220"/>
        <v>LIC170</v>
      </c>
      <c r="E2125" s="125" t="str">
        <f t="shared" si="221"/>
        <v>LIC170</v>
      </c>
      <c r="F2125" s="158" t="str">
        <f>+VLOOKUP(H2125,'code mapping'!A:C,3,0)</f>
        <v>LIC17</v>
      </c>
      <c r="G2125" s="127" t="s">
        <v>453</v>
      </c>
      <c r="H2125" s="127" t="s">
        <v>762</v>
      </c>
      <c r="I2125" s="127" t="s">
        <v>226</v>
      </c>
      <c r="J2125" s="128">
        <v>160000</v>
      </c>
      <c r="K2125" s="127" t="s">
        <v>483</v>
      </c>
      <c r="L2125" s="151">
        <v>161100</v>
      </c>
      <c r="M2125" s="128">
        <v>0</v>
      </c>
      <c r="N2125" s="127" t="s">
        <v>595</v>
      </c>
      <c r="O2125" s="127" t="s">
        <v>457</v>
      </c>
      <c r="P2125" s="128">
        <v>-68202418.569999993</v>
      </c>
      <c r="Q2125" s="128">
        <v>0</v>
      </c>
      <c r="R2125" s="128">
        <v>0</v>
      </c>
      <c r="S2125" s="128">
        <v>0</v>
      </c>
      <c r="T2125" s="128">
        <v>-68202418.569999993</v>
      </c>
      <c r="U2125" s="128">
        <v>0</v>
      </c>
      <c r="V2125" s="128">
        <v>-68202418.569999993</v>
      </c>
      <c r="W2125" s="128">
        <v>0</v>
      </c>
      <c r="X2125" s="128">
        <v>0</v>
      </c>
      <c r="Y2125" s="128">
        <v>0</v>
      </c>
      <c r="Z2125" s="128">
        <v>-68202418.569999993</v>
      </c>
      <c r="AA2125" s="128">
        <v>0</v>
      </c>
      <c r="AB2125" s="126">
        <f t="shared" si="222"/>
        <v>6.8202418569999992</v>
      </c>
      <c r="AC2125" s="122" t="s">
        <v>1838</v>
      </c>
      <c r="AD2125" s="123">
        <f t="shared" si="223"/>
        <v>1983.9723217250009</v>
      </c>
    </row>
    <row r="2126" spans="1:30" ht="12.75" hidden="1" customHeight="1">
      <c r="A2126" s="125" t="str">
        <f t="shared" si="219"/>
        <v>LIC17Payable - Withhold Brokerage</v>
      </c>
      <c r="B2126" s="125">
        <f>+IFERROR(VLOOKUP(L2126,'TB mapping'!A:D,4,0),0)</f>
        <v>0</v>
      </c>
      <c r="C2126" s="125">
        <f>+IFERROR(VLOOKUP(L2126,'TB mapping'!A:C,3,0),0)</f>
        <v>0</v>
      </c>
      <c r="D2126" s="125" t="str">
        <f t="shared" si="220"/>
        <v>LIC170</v>
      </c>
      <c r="E2126" s="125" t="str">
        <f t="shared" si="221"/>
        <v>LIC170</v>
      </c>
      <c r="F2126" s="158" t="str">
        <f>+VLOOKUP(H2126,'code mapping'!A:C,3,0)</f>
        <v>LIC17</v>
      </c>
      <c r="G2126" s="127" t="s">
        <v>453</v>
      </c>
      <c r="H2126" s="127" t="s">
        <v>762</v>
      </c>
      <c r="I2126" s="127" t="s">
        <v>226</v>
      </c>
      <c r="J2126" s="128">
        <v>212000</v>
      </c>
      <c r="K2126" s="127" t="s">
        <v>487</v>
      </c>
      <c r="L2126" s="151">
        <v>210164</v>
      </c>
      <c r="M2126" s="128">
        <v>0</v>
      </c>
      <c r="N2126" s="127" t="s">
        <v>488</v>
      </c>
      <c r="O2126" s="127" t="s">
        <v>457</v>
      </c>
      <c r="P2126" s="128">
        <v>0</v>
      </c>
      <c r="Q2126" s="128">
        <v>2568195.4900000002</v>
      </c>
      <c r="R2126" s="128">
        <v>0</v>
      </c>
      <c r="S2126" s="128">
        <v>0</v>
      </c>
      <c r="T2126" s="128">
        <v>0</v>
      </c>
      <c r="U2126" s="128">
        <v>2568195.4900000002</v>
      </c>
      <c r="V2126" s="128">
        <v>0</v>
      </c>
      <c r="W2126" s="128">
        <v>2568195.4900000002</v>
      </c>
      <c r="X2126" s="128">
        <v>0</v>
      </c>
      <c r="Y2126" s="128">
        <v>0</v>
      </c>
      <c r="Z2126" s="128">
        <v>0</v>
      </c>
      <c r="AA2126" s="128">
        <v>2568195.4900000002</v>
      </c>
      <c r="AB2126" s="126">
        <f t="shared" si="222"/>
        <v>-0.25681954900000004</v>
      </c>
      <c r="AC2126" s="122" t="s">
        <v>1838</v>
      </c>
      <c r="AD2126" s="123">
        <f t="shared" si="223"/>
        <v>1983.9723217250009</v>
      </c>
    </row>
    <row r="2127" spans="1:30" ht="12.75" hidden="1" customHeight="1">
      <c r="A2127" s="125" t="str">
        <f t="shared" si="219"/>
        <v>LIC17Dividend Payable</v>
      </c>
      <c r="B2127" s="125">
        <f>+IFERROR(VLOOKUP(L2127,'TB mapping'!A:D,4,0),0)</f>
        <v>0</v>
      </c>
      <c r="C2127" s="125">
        <f>+IFERROR(VLOOKUP(L2127,'TB mapping'!A:C,3,0),0)</f>
        <v>0</v>
      </c>
      <c r="D2127" s="125" t="str">
        <f t="shared" si="220"/>
        <v>LIC170</v>
      </c>
      <c r="E2127" s="125" t="str">
        <f t="shared" si="221"/>
        <v>LIC170</v>
      </c>
      <c r="F2127" s="158" t="str">
        <f>+VLOOKUP(H2127,'code mapping'!A:C,3,0)</f>
        <v>LIC17</v>
      </c>
      <c r="G2127" s="127" t="s">
        <v>453</v>
      </c>
      <c r="H2127" s="127" t="s">
        <v>762</v>
      </c>
      <c r="I2127" s="127" t="s">
        <v>226</v>
      </c>
      <c r="J2127" s="128">
        <v>212000</v>
      </c>
      <c r="K2127" s="127" t="s">
        <v>487</v>
      </c>
      <c r="L2127" s="151">
        <v>212100</v>
      </c>
      <c r="M2127" s="128">
        <v>0</v>
      </c>
      <c r="N2127" s="127" t="s">
        <v>489</v>
      </c>
      <c r="O2127" s="127" t="s">
        <v>457</v>
      </c>
      <c r="P2127" s="128">
        <v>0</v>
      </c>
      <c r="Q2127" s="128">
        <v>50.26</v>
      </c>
      <c r="R2127" s="128">
        <v>0</v>
      </c>
      <c r="S2127" s="128">
        <v>0</v>
      </c>
      <c r="T2127" s="128">
        <v>0</v>
      </c>
      <c r="U2127" s="128">
        <v>50.26</v>
      </c>
      <c r="V2127" s="128">
        <v>0</v>
      </c>
      <c r="W2127" s="128">
        <v>50.26</v>
      </c>
      <c r="X2127" s="128">
        <v>0</v>
      </c>
      <c r="Y2127" s="128">
        <v>0</v>
      </c>
      <c r="Z2127" s="128">
        <v>0</v>
      </c>
      <c r="AA2127" s="128">
        <v>50.26</v>
      </c>
      <c r="AB2127" s="126">
        <f t="shared" si="222"/>
        <v>-5.0259999999999998E-6</v>
      </c>
      <c r="AC2127" s="122" t="s">
        <v>1838</v>
      </c>
      <c r="AD2127" s="123">
        <f t="shared" si="223"/>
        <v>1983.9723217250009</v>
      </c>
    </row>
    <row r="2128" spans="1:30" ht="12.75" hidden="1" customHeight="1">
      <c r="A2128" s="125" t="str">
        <f t="shared" si="219"/>
        <v>LIC17CGST Payable</v>
      </c>
      <c r="B2128" s="125">
        <f>+IFERROR(VLOOKUP(L2128,'TB mapping'!A:D,4,0),0)</f>
        <v>0</v>
      </c>
      <c r="C2128" s="125">
        <f>+IFERROR(VLOOKUP(L2128,'TB mapping'!A:C,3,0),0)</f>
        <v>0</v>
      </c>
      <c r="D2128" s="125" t="str">
        <f t="shared" si="220"/>
        <v>LIC170</v>
      </c>
      <c r="E2128" s="125" t="str">
        <f t="shared" si="221"/>
        <v>LIC170</v>
      </c>
      <c r="F2128" s="158" t="str">
        <f>+VLOOKUP(H2128,'code mapping'!A:C,3,0)</f>
        <v>LIC17</v>
      </c>
      <c r="G2128" s="127" t="s">
        <v>453</v>
      </c>
      <c r="H2128" s="127" t="s">
        <v>762</v>
      </c>
      <c r="I2128" s="127" t="s">
        <v>226</v>
      </c>
      <c r="J2128" s="128">
        <v>212000</v>
      </c>
      <c r="K2128" s="127" t="s">
        <v>487</v>
      </c>
      <c r="L2128" s="151">
        <v>212112</v>
      </c>
      <c r="M2128" s="128">
        <v>0</v>
      </c>
      <c r="N2128" s="127" t="s">
        <v>490</v>
      </c>
      <c r="O2128" s="127" t="s">
        <v>457</v>
      </c>
      <c r="P2128" s="128">
        <v>0</v>
      </c>
      <c r="Q2128" s="128">
        <v>270.81</v>
      </c>
      <c r="R2128" s="128">
        <v>0</v>
      </c>
      <c r="S2128" s="128">
        <v>0</v>
      </c>
      <c r="T2128" s="128">
        <v>0</v>
      </c>
      <c r="U2128" s="128">
        <v>270.81</v>
      </c>
      <c r="V2128" s="128">
        <v>0</v>
      </c>
      <c r="W2128" s="128">
        <v>270.81</v>
      </c>
      <c r="X2128" s="128">
        <v>0</v>
      </c>
      <c r="Y2128" s="128">
        <v>0</v>
      </c>
      <c r="Z2128" s="128">
        <v>0</v>
      </c>
      <c r="AA2128" s="128">
        <v>270.81</v>
      </c>
      <c r="AB2128" s="126">
        <f t="shared" si="222"/>
        <v>-2.7081E-5</v>
      </c>
      <c r="AC2128" s="122" t="s">
        <v>1838</v>
      </c>
      <c r="AD2128" s="123">
        <f t="shared" si="223"/>
        <v>1983.9723217250009</v>
      </c>
    </row>
    <row r="2129" spans="1:30" ht="12.75" hidden="1" customHeight="1">
      <c r="A2129" s="125" t="str">
        <f t="shared" si="219"/>
        <v>LIC17SGST Payable</v>
      </c>
      <c r="B2129" s="125">
        <f>+IFERROR(VLOOKUP(L2129,'TB mapping'!A:D,4,0),0)</f>
        <v>0</v>
      </c>
      <c r="C2129" s="125">
        <f>+IFERROR(VLOOKUP(L2129,'TB mapping'!A:C,3,0),0)</f>
        <v>0</v>
      </c>
      <c r="D2129" s="125" t="str">
        <f t="shared" si="220"/>
        <v>LIC170</v>
      </c>
      <c r="E2129" s="125" t="str">
        <f t="shared" si="221"/>
        <v>LIC170</v>
      </c>
      <c r="F2129" s="158" t="str">
        <f>+VLOOKUP(H2129,'code mapping'!A:C,3,0)</f>
        <v>LIC17</v>
      </c>
      <c r="G2129" s="127" t="s">
        <v>453</v>
      </c>
      <c r="H2129" s="127" t="s">
        <v>762</v>
      </c>
      <c r="I2129" s="127" t="s">
        <v>226</v>
      </c>
      <c r="J2129" s="128">
        <v>212000</v>
      </c>
      <c r="K2129" s="127" t="s">
        <v>487</v>
      </c>
      <c r="L2129" s="151">
        <v>212113</v>
      </c>
      <c r="M2129" s="128">
        <v>0</v>
      </c>
      <c r="N2129" s="127" t="s">
        <v>491</v>
      </c>
      <c r="O2129" s="127" t="s">
        <v>457</v>
      </c>
      <c r="P2129" s="128">
        <v>0</v>
      </c>
      <c r="Q2129" s="128">
        <v>270.81</v>
      </c>
      <c r="R2129" s="128">
        <v>0</v>
      </c>
      <c r="S2129" s="128">
        <v>0</v>
      </c>
      <c r="T2129" s="128">
        <v>0</v>
      </c>
      <c r="U2129" s="128">
        <v>270.81</v>
      </c>
      <c r="V2129" s="128">
        <v>0</v>
      </c>
      <c r="W2129" s="128">
        <v>270.81</v>
      </c>
      <c r="X2129" s="128">
        <v>0</v>
      </c>
      <c r="Y2129" s="128">
        <v>0</v>
      </c>
      <c r="Z2129" s="128">
        <v>0</v>
      </c>
      <c r="AA2129" s="128">
        <v>270.81</v>
      </c>
      <c r="AB2129" s="126">
        <f t="shared" si="222"/>
        <v>-2.7081E-5</v>
      </c>
      <c r="AC2129" s="122" t="s">
        <v>1838</v>
      </c>
      <c r="AD2129" s="123">
        <f t="shared" si="223"/>
        <v>1983.9723217250009</v>
      </c>
    </row>
    <row r="2130" spans="1:30" ht="12.75" hidden="1" customHeight="1">
      <c r="A2130" s="125" t="str">
        <f t="shared" si="219"/>
        <v>LIC17IGST Payable</v>
      </c>
      <c r="B2130" s="125">
        <f>+IFERROR(VLOOKUP(L2130,'TB mapping'!A:D,4,0),0)</f>
        <v>0</v>
      </c>
      <c r="C2130" s="125">
        <f>+IFERROR(VLOOKUP(L2130,'TB mapping'!A:C,3,0),0)</f>
        <v>0</v>
      </c>
      <c r="D2130" s="125" t="str">
        <f t="shared" si="220"/>
        <v>LIC170</v>
      </c>
      <c r="E2130" s="125" t="str">
        <f t="shared" si="221"/>
        <v>LIC170</v>
      </c>
      <c r="F2130" s="158" t="str">
        <f>+VLOOKUP(H2130,'code mapping'!A:C,3,0)</f>
        <v>LIC17</v>
      </c>
      <c r="G2130" s="127" t="s">
        <v>453</v>
      </c>
      <c r="H2130" s="127" t="s">
        <v>762</v>
      </c>
      <c r="I2130" s="127" t="s">
        <v>226</v>
      </c>
      <c r="J2130" s="128">
        <v>212000</v>
      </c>
      <c r="K2130" s="127" t="s">
        <v>487</v>
      </c>
      <c r="L2130" s="151">
        <v>212114</v>
      </c>
      <c r="M2130" s="128">
        <v>0</v>
      </c>
      <c r="N2130" s="127" t="s">
        <v>492</v>
      </c>
      <c r="O2130" s="127" t="s">
        <v>457</v>
      </c>
      <c r="P2130" s="128">
        <v>0</v>
      </c>
      <c r="Q2130" s="128">
        <v>1949.14</v>
      </c>
      <c r="R2130" s="128">
        <v>0</v>
      </c>
      <c r="S2130" s="128">
        <v>0</v>
      </c>
      <c r="T2130" s="128">
        <v>0</v>
      </c>
      <c r="U2130" s="128">
        <v>1949.14</v>
      </c>
      <c r="V2130" s="128">
        <v>0</v>
      </c>
      <c r="W2130" s="128">
        <v>1949.14</v>
      </c>
      <c r="X2130" s="128">
        <v>0</v>
      </c>
      <c r="Y2130" s="128">
        <v>0</v>
      </c>
      <c r="Z2130" s="128">
        <v>0</v>
      </c>
      <c r="AA2130" s="128">
        <v>1949.14</v>
      </c>
      <c r="AB2130" s="126">
        <f t="shared" si="222"/>
        <v>-1.94914E-4</v>
      </c>
      <c r="AC2130" s="122" t="s">
        <v>1838</v>
      </c>
      <c r="AD2130" s="123">
        <f t="shared" si="223"/>
        <v>1983.9723217250009</v>
      </c>
    </row>
    <row r="2131" spans="1:30" ht="12.75" hidden="1" customHeight="1">
      <c r="A2131" s="125" t="str">
        <f t="shared" si="219"/>
        <v>LIC17Redemption Payable Ct</v>
      </c>
      <c r="B2131" s="125">
        <f>+IFERROR(VLOOKUP(L2131,'TB mapping'!A:D,4,0),0)</f>
        <v>0</v>
      </c>
      <c r="C2131" s="125">
        <f>+IFERROR(VLOOKUP(L2131,'TB mapping'!A:C,3,0),0)</f>
        <v>0</v>
      </c>
      <c r="D2131" s="125" t="str">
        <f t="shared" si="220"/>
        <v>LIC170</v>
      </c>
      <c r="E2131" s="125" t="str">
        <f t="shared" si="221"/>
        <v>LIC170</v>
      </c>
      <c r="F2131" s="158" t="str">
        <f>+VLOOKUP(H2131,'code mapping'!A:C,3,0)</f>
        <v>LIC17</v>
      </c>
      <c r="G2131" s="127" t="s">
        <v>453</v>
      </c>
      <c r="H2131" s="127" t="s">
        <v>762</v>
      </c>
      <c r="I2131" s="127" t="s">
        <v>226</v>
      </c>
      <c r="J2131" s="128">
        <v>212000</v>
      </c>
      <c r="K2131" s="127" t="s">
        <v>487</v>
      </c>
      <c r="L2131" s="151">
        <v>212121</v>
      </c>
      <c r="M2131" s="128">
        <v>0</v>
      </c>
      <c r="N2131" s="127" t="s">
        <v>493</v>
      </c>
      <c r="O2131" s="127" t="s">
        <v>457</v>
      </c>
      <c r="P2131" s="128">
        <v>0</v>
      </c>
      <c r="Q2131" s="128">
        <v>3083761.78</v>
      </c>
      <c r="R2131" s="128">
        <v>0</v>
      </c>
      <c r="S2131" s="128">
        <v>0</v>
      </c>
      <c r="T2131" s="128">
        <v>0</v>
      </c>
      <c r="U2131" s="128">
        <v>3083761.78</v>
      </c>
      <c r="V2131" s="128">
        <v>0</v>
      </c>
      <c r="W2131" s="128">
        <v>3083761.78</v>
      </c>
      <c r="X2131" s="128">
        <v>0</v>
      </c>
      <c r="Y2131" s="128">
        <v>0</v>
      </c>
      <c r="Z2131" s="128">
        <v>0</v>
      </c>
      <c r="AA2131" s="128">
        <v>3083761.78</v>
      </c>
      <c r="AB2131" s="126">
        <f t="shared" si="222"/>
        <v>-0.308376178</v>
      </c>
      <c r="AC2131" s="122" t="s">
        <v>1838</v>
      </c>
      <c r="AD2131" s="123">
        <f t="shared" si="223"/>
        <v>1983.9723217250009</v>
      </c>
    </row>
    <row r="2132" spans="1:30" ht="12.75" hidden="1" customHeight="1">
      <c r="A2132" s="125" t="str">
        <f t="shared" si="219"/>
        <v>LIC17Switch Out Payable Ct</v>
      </c>
      <c r="B2132" s="125">
        <f>+IFERROR(VLOOKUP(L2132,'TB mapping'!A:D,4,0),0)</f>
        <v>0</v>
      </c>
      <c r="C2132" s="125">
        <f>+IFERROR(VLOOKUP(L2132,'TB mapping'!A:C,3,0),0)</f>
        <v>0</v>
      </c>
      <c r="D2132" s="125" t="str">
        <f t="shared" si="220"/>
        <v>LIC170</v>
      </c>
      <c r="E2132" s="125" t="str">
        <f t="shared" si="221"/>
        <v>LIC170</v>
      </c>
      <c r="F2132" s="158" t="str">
        <f>+VLOOKUP(H2132,'code mapping'!A:C,3,0)</f>
        <v>LIC17</v>
      </c>
      <c r="G2132" s="127" t="s">
        <v>453</v>
      </c>
      <c r="H2132" s="127" t="s">
        <v>762</v>
      </c>
      <c r="I2132" s="127" t="s">
        <v>226</v>
      </c>
      <c r="J2132" s="128">
        <v>212000</v>
      </c>
      <c r="K2132" s="127" t="s">
        <v>487</v>
      </c>
      <c r="L2132" s="151">
        <v>212124</v>
      </c>
      <c r="M2132" s="128">
        <v>0</v>
      </c>
      <c r="N2132" s="127" t="s">
        <v>494</v>
      </c>
      <c r="O2132" s="127" t="s">
        <v>457</v>
      </c>
      <c r="P2132" s="128">
        <v>0</v>
      </c>
      <c r="Q2132" s="128">
        <v>1341193.48</v>
      </c>
      <c r="R2132" s="128">
        <v>0</v>
      </c>
      <c r="S2132" s="128">
        <v>0</v>
      </c>
      <c r="T2132" s="128">
        <v>0</v>
      </c>
      <c r="U2132" s="128">
        <v>1341193.48</v>
      </c>
      <c r="V2132" s="128">
        <v>0</v>
      </c>
      <c r="W2132" s="128">
        <v>1341193.48</v>
      </c>
      <c r="X2132" s="128">
        <v>0</v>
      </c>
      <c r="Y2132" s="128">
        <v>0</v>
      </c>
      <c r="Z2132" s="128">
        <v>0</v>
      </c>
      <c r="AA2132" s="128">
        <v>1341193.48</v>
      </c>
      <c r="AB2132" s="126">
        <f t="shared" si="222"/>
        <v>-0.134119348</v>
      </c>
      <c r="AC2132" s="122" t="s">
        <v>1838</v>
      </c>
      <c r="AD2132" s="123">
        <f t="shared" si="223"/>
        <v>1983.9723217250009</v>
      </c>
    </row>
    <row r="2133" spans="1:30" ht="12.75" hidden="1" customHeight="1">
      <c r="A2133" s="125" t="str">
        <f t="shared" si="219"/>
        <v>LIC17Due to Broker - Equity</v>
      </c>
      <c r="B2133" s="125">
        <f>+IFERROR(VLOOKUP(L2133,'TB mapping'!A:D,4,0),0)</f>
        <v>0</v>
      </c>
      <c r="C2133" s="125">
        <f>+IFERROR(VLOOKUP(L2133,'TB mapping'!A:C,3,0),0)</f>
        <v>0</v>
      </c>
      <c r="D2133" s="125" t="str">
        <f t="shared" si="220"/>
        <v>LIC170</v>
      </c>
      <c r="E2133" s="125" t="str">
        <f t="shared" si="221"/>
        <v>LIC170</v>
      </c>
      <c r="F2133" s="158" t="str">
        <f>+VLOOKUP(H2133,'code mapping'!A:C,3,0)</f>
        <v>LIC17</v>
      </c>
      <c r="G2133" s="127" t="s">
        <v>453</v>
      </c>
      <c r="H2133" s="127" t="s">
        <v>762</v>
      </c>
      <c r="I2133" s="127" t="s">
        <v>226</v>
      </c>
      <c r="J2133" s="128">
        <v>212000</v>
      </c>
      <c r="K2133" s="127" t="s">
        <v>487</v>
      </c>
      <c r="L2133" s="151">
        <v>212150</v>
      </c>
      <c r="M2133" s="128">
        <v>0</v>
      </c>
      <c r="N2133" s="127" t="s">
        <v>747</v>
      </c>
      <c r="O2133" s="127" t="s">
        <v>457</v>
      </c>
      <c r="P2133" s="128">
        <v>0</v>
      </c>
      <c r="Q2133" s="128">
        <v>64940445.359999999</v>
      </c>
      <c r="R2133" s="128">
        <v>0</v>
      </c>
      <c r="S2133" s="128">
        <v>0</v>
      </c>
      <c r="T2133" s="128">
        <v>0</v>
      </c>
      <c r="U2133" s="128">
        <v>64940445.359999999</v>
      </c>
      <c r="V2133" s="128">
        <v>0</v>
      </c>
      <c r="W2133" s="128">
        <v>64940445.359999999</v>
      </c>
      <c r="X2133" s="128">
        <v>0</v>
      </c>
      <c r="Y2133" s="128">
        <v>0</v>
      </c>
      <c r="Z2133" s="128">
        <v>0</v>
      </c>
      <c r="AA2133" s="128">
        <v>64940445.359999999</v>
      </c>
      <c r="AB2133" s="126">
        <f t="shared" si="222"/>
        <v>-6.4940445359999996</v>
      </c>
      <c r="AC2133" s="122" t="s">
        <v>1838</v>
      </c>
      <c r="AD2133" s="123">
        <f t="shared" si="223"/>
        <v>1983.9723217250009</v>
      </c>
    </row>
    <row r="2134" spans="1:30" ht="12.75" hidden="1" customHeight="1">
      <c r="A2134" s="125" t="str">
        <f t="shared" si="219"/>
        <v>LIC17Due to Broker</v>
      </c>
      <c r="B2134" s="125">
        <f>+IFERROR(VLOOKUP(L2134,'TB mapping'!A:D,4,0),0)</f>
        <v>0</v>
      </c>
      <c r="C2134" s="125">
        <f>+IFERROR(VLOOKUP(L2134,'TB mapping'!A:C,3,0),0)</f>
        <v>0</v>
      </c>
      <c r="D2134" s="125" t="str">
        <f t="shared" si="220"/>
        <v>LIC170</v>
      </c>
      <c r="E2134" s="125" t="str">
        <f t="shared" si="221"/>
        <v>LIC170</v>
      </c>
      <c r="F2134" s="158" t="str">
        <f>+VLOOKUP(H2134,'code mapping'!A:C,3,0)</f>
        <v>LIC17</v>
      </c>
      <c r="G2134" s="127" t="s">
        <v>453</v>
      </c>
      <c r="H2134" s="127" t="s">
        <v>762</v>
      </c>
      <c r="I2134" s="127" t="s">
        <v>226</v>
      </c>
      <c r="J2134" s="128">
        <v>212000</v>
      </c>
      <c r="K2134" s="127" t="s">
        <v>487</v>
      </c>
      <c r="L2134" s="151">
        <v>212153</v>
      </c>
      <c r="M2134" s="128">
        <v>0</v>
      </c>
      <c r="N2134" s="127" t="s">
        <v>626</v>
      </c>
      <c r="O2134" s="127" t="s">
        <v>457</v>
      </c>
      <c r="P2134" s="128">
        <v>-0.2</v>
      </c>
      <c r="Q2134" s="128">
        <v>0</v>
      </c>
      <c r="R2134" s="128">
        <v>0</v>
      </c>
      <c r="S2134" s="128">
        <v>0</v>
      </c>
      <c r="T2134" s="128">
        <v>-0.2</v>
      </c>
      <c r="U2134" s="128">
        <v>0</v>
      </c>
      <c r="V2134" s="128">
        <v>-0.2</v>
      </c>
      <c r="W2134" s="128">
        <v>0</v>
      </c>
      <c r="X2134" s="128">
        <v>0</v>
      </c>
      <c r="Y2134" s="128">
        <v>0</v>
      </c>
      <c r="Z2134" s="128">
        <v>-0.2</v>
      </c>
      <c r="AA2134" s="128">
        <v>0</v>
      </c>
      <c r="AB2134" s="126">
        <f t="shared" si="222"/>
        <v>2E-8</v>
      </c>
      <c r="AC2134" s="122" t="s">
        <v>1838</v>
      </c>
      <c r="AD2134" s="123">
        <f t="shared" si="223"/>
        <v>1983.9723217250009</v>
      </c>
    </row>
    <row r="2135" spans="1:30" ht="12.75" hidden="1" customHeight="1">
      <c r="A2135" s="125" t="str">
        <f t="shared" si="219"/>
        <v>LIC17Audit Fee-Payable</v>
      </c>
      <c r="B2135" s="125">
        <f>+IFERROR(VLOOKUP(L2135,'TB mapping'!A:D,4,0),0)</f>
        <v>0</v>
      </c>
      <c r="C2135" s="125">
        <f>+IFERROR(VLOOKUP(L2135,'TB mapping'!A:C,3,0),0)</f>
        <v>0</v>
      </c>
      <c r="D2135" s="125" t="str">
        <f t="shared" si="220"/>
        <v>LIC170</v>
      </c>
      <c r="E2135" s="125" t="str">
        <f t="shared" si="221"/>
        <v>LIC170</v>
      </c>
      <c r="F2135" s="158" t="str">
        <f>+VLOOKUP(H2135,'code mapping'!A:C,3,0)</f>
        <v>LIC17</v>
      </c>
      <c r="G2135" s="127" t="s">
        <v>453</v>
      </c>
      <c r="H2135" s="127" t="s">
        <v>762</v>
      </c>
      <c r="I2135" s="127" t="s">
        <v>226</v>
      </c>
      <c r="J2135" s="128">
        <v>212000</v>
      </c>
      <c r="K2135" s="127" t="s">
        <v>487</v>
      </c>
      <c r="L2135" s="151">
        <v>212194</v>
      </c>
      <c r="M2135" s="128">
        <v>0</v>
      </c>
      <c r="N2135" s="127" t="s">
        <v>496</v>
      </c>
      <c r="O2135" s="127" t="s">
        <v>457</v>
      </c>
      <c r="P2135" s="128">
        <v>-573.06000000000006</v>
      </c>
      <c r="Q2135" s="128">
        <v>0</v>
      </c>
      <c r="R2135" s="128">
        <v>0</v>
      </c>
      <c r="S2135" s="128">
        <v>0</v>
      </c>
      <c r="T2135" s="128">
        <v>-573.06000000000006</v>
      </c>
      <c r="U2135" s="128">
        <v>0</v>
      </c>
      <c r="V2135" s="128">
        <v>-573.06000000000006</v>
      </c>
      <c r="W2135" s="128">
        <v>0</v>
      </c>
      <c r="X2135" s="128">
        <v>0</v>
      </c>
      <c r="Y2135" s="128">
        <v>0</v>
      </c>
      <c r="Z2135" s="128">
        <v>-573.06000000000006</v>
      </c>
      <c r="AA2135" s="128">
        <v>0</v>
      </c>
      <c r="AB2135" s="126">
        <f t="shared" si="222"/>
        <v>5.7306000000000003E-5</v>
      </c>
      <c r="AC2135" s="122" t="s">
        <v>1838</v>
      </c>
      <c r="AD2135" s="123">
        <f t="shared" si="223"/>
        <v>1983.9723217250009</v>
      </c>
    </row>
    <row r="2136" spans="1:30" ht="12.75" hidden="1" customHeight="1">
      <c r="A2136" s="125" t="str">
        <f t="shared" si="219"/>
        <v>LIC17Other Exp- Payable</v>
      </c>
      <c r="B2136" s="125">
        <f>+IFERROR(VLOOKUP(L2136,'TB mapping'!A:D,4,0),0)</f>
        <v>0</v>
      </c>
      <c r="C2136" s="125">
        <f>+IFERROR(VLOOKUP(L2136,'TB mapping'!A:C,3,0),0)</f>
        <v>0</v>
      </c>
      <c r="D2136" s="125" t="str">
        <f t="shared" si="220"/>
        <v>LIC170</v>
      </c>
      <c r="E2136" s="125" t="str">
        <f t="shared" si="221"/>
        <v>LIC170</v>
      </c>
      <c r="F2136" s="158" t="str">
        <f>+VLOOKUP(H2136,'code mapping'!A:C,3,0)</f>
        <v>LIC17</v>
      </c>
      <c r="G2136" s="127" t="s">
        <v>453</v>
      </c>
      <c r="H2136" s="127" t="s">
        <v>762</v>
      </c>
      <c r="I2136" s="127" t="s">
        <v>226</v>
      </c>
      <c r="J2136" s="128">
        <v>212000</v>
      </c>
      <c r="K2136" s="127" t="s">
        <v>487</v>
      </c>
      <c r="L2136" s="151">
        <v>212220</v>
      </c>
      <c r="M2136" s="128">
        <v>0</v>
      </c>
      <c r="N2136" s="127" t="s">
        <v>497</v>
      </c>
      <c r="O2136" s="127" t="s">
        <v>457</v>
      </c>
      <c r="P2136" s="128">
        <v>0</v>
      </c>
      <c r="Q2136" s="128">
        <v>4120226.9</v>
      </c>
      <c r="R2136" s="128">
        <v>0</v>
      </c>
      <c r="S2136" s="128">
        <v>0</v>
      </c>
      <c r="T2136" s="128">
        <v>0</v>
      </c>
      <c r="U2136" s="128">
        <v>4120226.9</v>
      </c>
      <c r="V2136" s="128">
        <v>0</v>
      </c>
      <c r="W2136" s="128">
        <v>4120226.9</v>
      </c>
      <c r="X2136" s="128">
        <v>0</v>
      </c>
      <c r="Y2136" s="128">
        <v>0</v>
      </c>
      <c r="Z2136" s="128">
        <v>0</v>
      </c>
      <c r="AA2136" s="128">
        <v>4120226.9</v>
      </c>
      <c r="AB2136" s="126">
        <f t="shared" si="222"/>
        <v>-0.41202268999999997</v>
      </c>
      <c r="AC2136" s="122" t="s">
        <v>1838</v>
      </c>
      <c r="AD2136" s="123">
        <f t="shared" si="223"/>
        <v>1983.9723217250009</v>
      </c>
    </row>
    <row r="2137" spans="1:30" ht="12.75" hidden="1" customHeight="1">
      <c r="A2137" s="125" t="str">
        <f t="shared" si="219"/>
        <v>LIC17Expense Allocation-Liab'ity Ac</v>
      </c>
      <c r="B2137" s="125">
        <f>+IFERROR(VLOOKUP(L2137,'TB mapping'!A:D,4,0),0)</f>
        <v>0</v>
      </c>
      <c r="C2137" s="125">
        <f>+IFERROR(VLOOKUP(L2137,'TB mapping'!A:C,3,0),0)</f>
        <v>0</v>
      </c>
      <c r="D2137" s="125" t="str">
        <f t="shared" si="220"/>
        <v>LIC170</v>
      </c>
      <c r="E2137" s="125" t="str">
        <f t="shared" si="221"/>
        <v>LIC170</v>
      </c>
      <c r="F2137" s="158" t="str">
        <f>+VLOOKUP(H2137,'code mapping'!A:C,3,0)</f>
        <v>LIC17</v>
      </c>
      <c r="G2137" s="127" t="s">
        <v>453</v>
      </c>
      <c r="H2137" s="127" t="s">
        <v>762</v>
      </c>
      <c r="I2137" s="127" t="s">
        <v>226</v>
      </c>
      <c r="J2137" s="128">
        <v>212000</v>
      </c>
      <c r="K2137" s="127" t="s">
        <v>487</v>
      </c>
      <c r="L2137" s="151">
        <v>212223</v>
      </c>
      <c r="M2137" s="128">
        <v>0</v>
      </c>
      <c r="N2137" s="127" t="s">
        <v>498</v>
      </c>
      <c r="O2137" s="127" t="s">
        <v>457</v>
      </c>
      <c r="P2137" s="128">
        <v>-2976641.5</v>
      </c>
      <c r="Q2137" s="128">
        <v>0</v>
      </c>
      <c r="R2137" s="128">
        <v>0</v>
      </c>
      <c r="S2137" s="128">
        <v>0</v>
      </c>
      <c r="T2137" s="128">
        <v>-2976641.5</v>
      </c>
      <c r="U2137" s="128">
        <v>0</v>
      </c>
      <c r="V2137" s="128">
        <v>-2976641.5</v>
      </c>
      <c r="W2137" s="128">
        <v>0</v>
      </c>
      <c r="X2137" s="128">
        <v>0</v>
      </c>
      <c r="Y2137" s="128">
        <v>0</v>
      </c>
      <c r="Z2137" s="128">
        <v>-2976641.5</v>
      </c>
      <c r="AA2137" s="128">
        <v>0</v>
      </c>
      <c r="AB2137" s="126">
        <f t="shared" si="222"/>
        <v>0.29766415000000002</v>
      </c>
      <c r="AC2137" s="122" t="s">
        <v>1838</v>
      </c>
      <c r="AD2137" s="123">
        <f t="shared" si="223"/>
        <v>1983.9723217250009</v>
      </c>
    </row>
    <row r="2138" spans="1:30" ht="12.75" hidden="1" customHeight="1">
      <c r="A2138" s="125" t="str">
        <f t="shared" si="219"/>
        <v>LIC17Exp- Additional TER Payable</v>
      </c>
      <c r="B2138" s="125">
        <f>+IFERROR(VLOOKUP(L2138,'TB mapping'!A:D,4,0),0)</f>
        <v>0</v>
      </c>
      <c r="C2138" s="125">
        <f>+IFERROR(VLOOKUP(L2138,'TB mapping'!A:C,3,0),0)</f>
        <v>0</v>
      </c>
      <c r="D2138" s="125" t="str">
        <f t="shared" si="220"/>
        <v>LIC170</v>
      </c>
      <c r="E2138" s="125" t="str">
        <f t="shared" si="221"/>
        <v>LIC170</v>
      </c>
      <c r="F2138" s="158" t="str">
        <f>+VLOOKUP(H2138,'code mapping'!A:C,3,0)</f>
        <v>LIC17</v>
      </c>
      <c r="G2138" s="127" t="s">
        <v>453</v>
      </c>
      <c r="H2138" s="127" t="s">
        <v>762</v>
      </c>
      <c r="I2138" s="127" t="s">
        <v>226</v>
      </c>
      <c r="J2138" s="128">
        <v>212000</v>
      </c>
      <c r="K2138" s="127" t="s">
        <v>487</v>
      </c>
      <c r="L2138" s="151">
        <v>212227</v>
      </c>
      <c r="M2138" s="128">
        <v>0</v>
      </c>
      <c r="N2138" s="127" t="s">
        <v>627</v>
      </c>
      <c r="O2138" s="127" t="s">
        <v>457</v>
      </c>
      <c r="P2138" s="128">
        <v>0</v>
      </c>
      <c r="Q2138" s="128">
        <v>985394.01</v>
      </c>
      <c r="R2138" s="128">
        <v>0</v>
      </c>
      <c r="S2138" s="128">
        <v>0</v>
      </c>
      <c r="T2138" s="128">
        <v>0</v>
      </c>
      <c r="U2138" s="128">
        <v>985394.01</v>
      </c>
      <c r="V2138" s="128">
        <v>0</v>
      </c>
      <c r="W2138" s="128">
        <v>985394.01</v>
      </c>
      <c r="X2138" s="128">
        <v>0</v>
      </c>
      <c r="Y2138" s="128">
        <v>0</v>
      </c>
      <c r="Z2138" s="128">
        <v>0</v>
      </c>
      <c r="AA2138" s="128">
        <v>985394.01</v>
      </c>
      <c r="AB2138" s="126">
        <f t="shared" si="222"/>
        <v>-9.8539400999999999E-2</v>
      </c>
      <c r="AC2138" s="122" t="s">
        <v>1838</v>
      </c>
      <c r="AD2138" s="123">
        <f t="shared" si="223"/>
        <v>1983.9723217250009</v>
      </c>
    </row>
    <row r="2139" spans="1:30" ht="12.75" hidden="1" customHeight="1">
      <c r="A2139" s="125" t="str">
        <f t="shared" si="219"/>
        <v>LIC17STT Payable</v>
      </c>
      <c r="B2139" s="125">
        <f>+IFERROR(VLOOKUP(L2139,'TB mapping'!A:D,4,0),0)</f>
        <v>0</v>
      </c>
      <c r="C2139" s="125">
        <f>+IFERROR(VLOOKUP(L2139,'TB mapping'!A:C,3,0),0)</f>
        <v>0</v>
      </c>
      <c r="D2139" s="125" t="str">
        <f t="shared" si="220"/>
        <v>LIC170</v>
      </c>
      <c r="E2139" s="125" t="str">
        <f t="shared" si="221"/>
        <v>LIC170</v>
      </c>
      <c r="F2139" s="158" t="str">
        <f>+VLOOKUP(H2139,'code mapping'!A:C,3,0)</f>
        <v>LIC17</v>
      </c>
      <c r="G2139" s="127" t="s">
        <v>453</v>
      </c>
      <c r="H2139" s="127" t="s">
        <v>762</v>
      </c>
      <c r="I2139" s="127" t="s">
        <v>226</v>
      </c>
      <c r="J2139" s="128">
        <v>212000</v>
      </c>
      <c r="K2139" s="127" t="s">
        <v>487</v>
      </c>
      <c r="L2139" s="151">
        <v>212231</v>
      </c>
      <c r="M2139" s="128">
        <v>0</v>
      </c>
      <c r="N2139" s="127" t="s">
        <v>748</v>
      </c>
      <c r="O2139" s="127" t="s">
        <v>457</v>
      </c>
      <c r="P2139" s="128">
        <v>0</v>
      </c>
      <c r="Q2139" s="128">
        <v>647.37</v>
      </c>
      <c r="R2139" s="128">
        <v>0</v>
      </c>
      <c r="S2139" s="128">
        <v>0</v>
      </c>
      <c r="T2139" s="128">
        <v>0</v>
      </c>
      <c r="U2139" s="128">
        <v>647.37</v>
      </c>
      <c r="V2139" s="128">
        <v>0</v>
      </c>
      <c r="W2139" s="128">
        <v>647.37</v>
      </c>
      <c r="X2139" s="128">
        <v>0</v>
      </c>
      <c r="Y2139" s="128">
        <v>0</v>
      </c>
      <c r="Z2139" s="128">
        <v>0</v>
      </c>
      <c r="AA2139" s="128">
        <v>647.37</v>
      </c>
      <c r="AB2139" s="126">
        <f t="shared" si="222"/>
        <v>-6.4737E-5</v>
      </c>
      <c r="AC2139" s="122" t="s">
        <v>1838</v>
      </c>
      <c r="AD2139" s="123">
        <f t="shared" si="223"/>
        <v>1983.9723217250009</v>
      </c>
    </row>
    <row r="2140" spans="1:30" ht="12.75" hidden="1" customHeight="1">
      <c r="A2140" s="125" t="str">
        <f t="shared" si="219"/>
        <v>LIC17Load Payable</v>
      </c>
      <c r="B2140" s="125">
        <f>+IFERROR(VLOOKUP(L2140,'TB mapping'!A:D,4,0),0)</f>
        <v>0</v>
      </c>
      <c r="C2140" s="125">
        <f>+IFERROR(VLOOKUP(L2140,'TB mapping'!A:C,3,0),0)</f>
        <v>0</v>
      </c>
      <c r="D2140" s="125" t="str">
        <f t="shared" si="220"/>
        <v>LIC170</v>
      </c>
      <c r="E2140" s="125" t="str">
        <f t="shared" si="221"/>
        <v>LIC170</v>
      </c>
      <c r="F2140" s="158" t="str">
        <f>+VLOOKUP(H2140,'code mapping'!A:C,3,0)</f>
        <v>LIC17</v>
      </c>
      <c r="G2140" s="127" t="s">
        <v>453</v>
      </c>
      <c r="H2140" s="127" t="s">
        <v>762</v>
      </c>
      <c r="I2140" s="127" t="s">
        <v>226</v>
      </c>
      <c r="J2140" s="128">
        <v>212000</v>
      </c>
      <c r="K2140" s="127" t="s">
        <v>487</v>
      </c>
      <c r="L2140" s="151">
        <v>212232</v>
      </c>
      <c r="M2140" s="128">
        <v>0</v>
      </c>
      <c r="N2140" s="127" t="s">
        <v>749</v>
      </c>
      <c r="O2140" s="127" t="s">
        <v>457</v>
      </c>
      <c r="P2140" s="128">
        <v>0</v>
      </c>
      <c r="Q2140" s="128">
        <v>9506.09</v>
      </c>
      <c r="R2140" s="128">
        <v>0</v>
      </c>
      <c r="S2140" s="128">
        <v>0</v>
      </c>
      <c r="T2140" s="128">
        <v>0</v>
      </c>
      <c r="U2140" s="128">
        <v>9506.09</v>
      </c>
      <c r="V2140" s="128">
        <v>0</v>
      </c>
      <c r="W2140" s="128">
        <v>9506.09</v>
      </c>
      <c r="X2140" s="128">
        <v>0</v>
      </c>
      <c r="Y2140" s="128">
        <v>0</v>
      </c>
      <c r="Z2140" s="128">
        <v>0</v>
      </c>
      <c r="AA2140" s="128">
        <v>9506.09</v>
      </c>
      <c r="AB2140" s="126">
        <f t="shared" si="222"/>
        <v>-9.5060900000000005E-4</v>
      </c>
      <c r="AC2140" s="122" t="s">
        <v>1838</v>
      </c>
      <c r="AD2140" s="123">
        <f t="shared" si="223"/>
        <v>1983.9723217250009</v>
      </c>
    </row>
    <row r="2141" spans="1:30" ht="12.75" hidden="1" customHeight="1">
      <c r="A2141" s="125" t="str">
        <f t="shared" si="219"/>
        <v>LIC17Investor Education Payable</v>
      </c>
      <c r="B2141" s="125">
        <f>+IFERROR(VLOOKUP(L2141,'TB mapping'!A:D,4,0),0)</f>
        <v>0</v>
      </c>
      <c r="C2141" s="125">
        <f>+IFERROR(VLOOKUP(L2141,'TB mapping'!A:C,3,0),0)</f>
        <v>0</v>
      </c>
      <c r="D2141" s="125" t="str">
        <f t="shared" si="220"/>
        <v>LIC170</v>
      </c>
      <c r="E2141" s="125" t="str">
        <f t="shared" si="221"/>
        <v>LIC170</v>
      </c>
      <c r="F2141" s="158" t="str">
        <f>+VLOOKUP(H2141,'code mapping'!A:C,3,0)</f>
        <v>LIC17</v>
      </c>
      <c r="G2141" s="127" t="s">
        <v>453</v>
      </c>
      <c r="H2141" s="127" t="s">
        <v>762</v>
      </c>
      <c r="I2141" s="127" t="s">
        <v>226</v>
      </c>
      <c r="J2141" s="128">
        <v>212000</v>
      </c>
      <c r="K2141" s="127" t="s">
        <v>487</v>
      </c>
      <c r="L2141" s="151">
        <v>212240</v>
      </c>
      <c r="M2141" s="128">
        <v>0</v>
      </c>
      <c r="N2141" s="127" t="s">
        <v>500</v>
      </c>
      <c r="O2141" s="127" t="s">
        <v>457</v>
      </c>
      <c r="P2141" s="128">
        <v>0</v>
      </c>
      <c r="Q2141" s="128">
        <v>28943.63</v>
      </c>
      <c r="R2141" s="128">
        <v>0</v>
      </c>
      <c r="S2141" s="128">
        <v>0</v>
      </c>
      <c r="T2141" s="128">
        <v>0</v>
      </c>
      <c r="U2141" s="128">
        <v>28943.63</v>
      </c>
      <c r="V2141" s="128">
        <v>0</v>
      </c>
      <c r="W2141" s="128">
        <v>28943.63</v>
      </c>
      <c r="X2141" s="128">
        <v>0</v>
      </c>
      <c r="Y2141" s="128">
        <v>0</v>
      </c>
      <c r="Z2141" s="128">
        <v>0</v>
      </c>
      <c r="AA2141" s="128">
        <v>28943.63</v>
      </c>
      <c r="AB2141" s="126">
        <f t="shared" si="222"/>
        <v>-2.8943630000000001E-3</v>
      </c>
      <c r="AC2141" s="122" t="s">
        <v>1838</v>
      </c>
      <c r="AD2141" s="123">
        <f t="shared" ref="AD2141:AD2157" si="224">SUMIF(C:C,C2141,AB:AB)</f>
        <v>1983.9723217250009</v>
      </c>
    </row>
    <row r="2142" spans="1:30" ht="12.75" hidden="1" customHeight="1">
      <c r="A2142" s="125" t="str">
        <f t="shared" si="219"/>
        <v>LIC17Transaction Charges Payable</v>
      </c>
      <c r="B2142" s="125">
        <f>+IFERROR(VLOOKUP(L2142,'TB mapping'!A:D,4,0),0)</f>
        <v>0</v>
      </c>
      <c r="C2142" s="125">
        <f>+IFERROR(VLOOKUP(L2142,'TB mapping'!A:C,3,0),0)</f>
        <v>0</v>
      </c>
      <c r="D2142" s="125" t="str">
        <f t="shared" si="220"/>
        <v>LIC170</v>
      </c>
      <c r="E2142" s="125" t="str">
        <f t="shared" si="221"/>
        <v>LIC170</v>
      </c>
      <c r="F2142" s="158" t="str">
        <f>+VLOOKUP(H2142,'code mapping'!A:C,3,0)</f>
        <v>LIC17</v>
      </c>
      <c r="G2142" s="127" t="s">
        <v>453</v>
      </c>
      <c r="H2142" s="127" t="s">
        <v>762</v>
      </c>
      <c r="I2142" s="127" t="s">
        <v>226</v>
      </c>
      <c r="J2142" s="128">
        <v>212000</v>
      </c>
      <c r="K2142" s="127" t="s">
        <v>487</v>
      </c>
      <c r="L2142" s="151">
        <v>212247</v>
      </c>
      <c r="M2142" s="128">
        <v>0</v>
      </c>
      <c r="N2142" s="127" t="s">
        <v>501</v>
      </c>
      <c r="O2142" s="127" t="s">
        <v>457</v>
      </c>
      <c r="P2142" s="128">
        <v>0</v>
      </c>
      <c r="Q2142" s="128">
        <v>404</v>
      </c>
      <c r="R2142" s="128">
        <v>0</v>
      </c>
      <c r="S2142" s="128">
        <v>0</v>
      </c>
      <c r="T2142" s="128">
        <v>0</v>
      </c>
      <c r="U2142" s="128">
        <v>404</v>
      </c>
      <c r="V2142" s="128">
        <v>0</v>
      </c>
      <c r="W2142" s="128">
        <v>404</v>
      </c>
      <c r="X2142" s="128">
        <v>0</v>
      </c>
      <c r="Y2142" s="128">
        <v>0</v>
      </c>
      <c r="Z2142" s="128">
        <v>0</v>
      </c>
      <c r="AA2142" s="128">
        <v>404</v>
      </c>
      <c r="AB2142" s="126">
        <f t="shared" si="222"/>
        <v>-4.0399999999999999E-5</v>
      </c>
      <c r="AC2142" s="122" t="s">
        <v>1838</v>
      </c>
      <c r="AD2142" s="123">
        <f t="shared" si="224"/>
        <v>1983.9723217250009</v>
      </c>
    </row>
    <row r="2143" spans="1:30" ht="12.75" hidden="1" customHeight="1">
      <c r="A2143" s="125" t="str">
        <f t="shared" si="219"/>
        <v>LIC17Brokerage &amp; Dist Exp Payable</v>
      </c>
      <c r="B2143" s="125">
        <f>+IFERROR(VLOOKUP(L2143,'TB mapping'!A:D,4,0),0)</f>
        <v>0</v>
      </c>
      <c r="C2143" s="125">
        <f>+IFERROR(VLOOKUP(L2143,'TB mapping'!A:C,3,0),0)</f>
        <v>0</v>
      </c>
      <c r="D2143" s="125" t="str">
        <f t="shared" si="220"/>
        <v>LIC170</v>
      </c>
      <c r="E2143" s="125" t="str">
        <f t="shared" si="221"/>
        <v>LIC170</v>
      </c>
      <c r="F2143" s="158" t="str">
        <f>+VLOOKUP(H2143,'code mapping'!A:C,3,0)</f>
        <v>LIC17</v>
      </c>
      <c r="G2143" s="127" t="s">
        <v>453</v>
      </c>
      <c r="H2143" s="127" t="s">
        <v>762</v>
      </c>
      <c r="I2143" s="127" t="s">
        <v>226</v>
      </c>
      <c r="J2143" s="128">
        <v>212000</v>
      </c>
      <c r="K2143" s="127" t="s">
        <v>487</v>
      </c>
      <c r="L2143" s="151">
        <v>212255</v>
      </c>
      <c r="M2143" s="128">
        <v>0</v>
      </c>
      <c r="N2143" s="127" t="s">
        <v>503</v>
      </c>
      <c r="O2143" s="127" t="s">
        <v>457</v>
      </c>
      <c r="P2143" s="128">
        <v>0</v>
      </c>
      <c r="Q2143" s="128">
        <v>9421641.4199999999</v>
      </c>
      <c r="R2143" s="128">
        <v>0</v>
      </c>
      <c r="S2143" s="128">
        <v>0</v>
      </c>
      <c r="T2143" s="128">
        <v>0</v>
      </c>
      <c r="U2143" s="128">
        <v>9421641.4199999999</v>
      </c>
      <c r="V2143" s="128">
        <v>0</v>
      </c>
      <c r="W2143" s="128">
        <v>9421641.4199999999</v>
      </c>
      <c r="X2143" s="128">
        <v>0</v>
      </c>
      <c r="Y2143" s="128">
        <v>0</v>
      </c>
      <c r="Z2143" s="128">
        <v>0</v>
      </c>
      <c r="AA2143" s="128">
        <v>9421641.4199999999</v>
      </c>
      <c r="AB2143" s="126">
        <f t="shared" si="222"/>
        <v>-0.94216414199999998</v>
      </c>
      <c r="AC2143" s="122" t="s">
        <v>1838</v>
      </c>
      <c r="AD2143" s="123">
        <f t="shared" si="224"/>
        <v>1983.9723217250009</v>
      </c>
    </row>
    <row r="2144" spans="1:30" ht="12.75" hidden="1" customHeight="1">
      <c r="A2144" s="125" t="str">
        <f t="shared" si="219"/>
        <v>LIC17Upfront Brk &amp; Trail Paid-Liab</v>
      </c>
      <c r="B2144" s="125">
        <f>+IFERROR(VLOOKUP(L2144,'TB mapping'!A:D,4,0),0)</f>
        <v>0</v>
      </c>
      <c r="C2144" s="125">
        <f>+IFERROR(VLOOKUP(L2144,'TB mapping'!A:C,3,0),0)</f>
        <v>0</v>
      </c>
      <c r="D2144" s="125" t="str">
        <f t="shared" si="220"/>
        <v>LIC170</v>
      </c>
      <c r="E2144" s="125" t="str">
        <f t="shared" si="221"/>
        <v>LIC170</v>
      </c>
      <c r="F2144" s="158" t="str">
        <f>+VLOOKUP(H2144,'code mapping'!A:C,3,0)</f>
        <v>LIC17</v>
      </c>
      <c r="G2144" s="127" t="s">
        <v>453</v>
      </c>
      <c r="H2144" s="127" t="s">
        <v>762</v>
      </c>
      <c r="I2144" s="127" t="s">
        <v>226</v>
      </c>
      <c r="J2144" s="128">
        <v>212000</v>
      </c>
      <c r="K2144" s="127" t="s">
        <v>487</v>
      </c>
      <c r="L2144" s="151">
        <v>212257</v>
      </c>
      <c r="M2144" s="128">
        <v>0</v>
      </c>
      <c r="N2144" s="127" t="s">
        <v>504</v>
      </c>
      <c r="O2144" s="127" t="s">
        <v>457</v>
      </c>
      <c r="P2144" s="128">
        <v>0</v>
      </c>
      <c r="Q2144" s="128">
        <v>62066.47</v>
      </c>
      <c r="R2144" s="128">
        <v>0</v>
      </c>
      <c r="S2144" s="128">
        <v>0</v>
      </c>
      <c r="T2144" s="128">
        <v>0</v>
      </c>
      <c r="U2144" s="128">
        <v>62066.47</v>
      </c>
      <c r="V2144" s="128">
        <v>0</v>
      </c>
      <c r="W2144" s="128">
        <v>62066.47</v>
      </c>
      <c r="X2144" s="128">
        <v>0</v>
      </c>
      <c r="Y2144" s="128">
        <v>0</v>
      </c>
      <c r="Z2144" s="128">
        <v>0</v>
      </c>
      <c r="AA2144" s="128">
        <v>62066.47</v>
      </c>
      <c r="AB2144" s="126">
        <f t="shared" si="222"/>
        <v>-6.206647E-3</v>
      </c>
      <c r="AC2144" s="122" t="s">
        <v>1838</v>
      </c>
      <c r="AD2144" s="123">
        <f t="shared" si="224"/>
        <v>1983.9723217250009</v>
      </c>
    </row>
    <row r="2145" spans="1:30" ht="12.75" hidden="1" customHeight="1">
      <c r="A2145" s="125" t="str">
        <f t="shared" si="219"/>
        <v>LIC17Payable CGST on Mfees</v>
      </c>
      <c r="B2145" s="125">
        <f>+IFERROR(VLOOKUP(L2145,'TB mapping'!A:D,4,0),0)</f>
        <v>0</v>
      </c>
      <c r="C2145" s="125">
        <f>+IFERROR(VLOOKUP(L2145,'TB mapping'!A:C,3,0),0)</f>
        <v>0</v>
      </c>
      <c r="D2145" s="125" t="str">
        <f t="shared" si="220"/>
        <v>LIC170</v>
      </c>
      <c r="E2145" s="125" t="str">
        <f t="shared" si="221"/>
        <v>LIC170</v>
      </c>
      <c r="F2145" s="158" t="str">
        <f>+VLOOKUP(H2145,'code mapping'!A:C,3,0)</f>
        <v>LIC17</v>
      </c>
      <c r="G2145" s="127" t="s">
        <v>453</v>
      </c>
      <c r="H2145" s="127" t="s">
        <v>762</v>
      </c>
      <c r="I2145" s="127" t="s">
        <v>226</v>
      </c>
      <c r="J2145" s="128">
        <v>212000</v>
      </c>
      <c r="K2145" s="127" t="s">
        <v>487</v>
      </c>
      <c r="L2145" s="151">
        <v>212271</v>
      </c>
      <c r="M2145" s="128">
        <v>0</v>
      </c>
      <c r="N2145" s="127" t="s">
        <v>505</v>
      </c>
      <c r="O2145" s="127" t="s">
        <v>457</v>
      </c>
      <c r="P2145" s="128">
        <v>0</v>
      </c>
      <c r="Q2145" s="128">
        <v>65795.520000000004</v>
      </c>
      <c r="R2145" s="128">
        <v>0</v>
      </c>
      <c r="S2145" s="128">
        <v>0</v>
      </c>
      <c r="T2145" s="128">
        <v>0</v>
      </c>
      <c r="U2145" s="128">
        <v>65795.520000000004</v>
      </c>
      <c r="V2145" s="128">
        <v>0</v>
      </c>
      <c r="W2145" s="128">
        <v>65795.520000000004</v>
      </c>
      <c r="X2145" s="128">
        <v>0</v>
      </c>
      <c r="Y2145" s="128">
        <v>0</v>
      </c>
      <c r="Z2145" s="128">
        <v>0</v>
      </c>
      <c r="AA2145" s="128">
        <v>65795.520000000004</v>
      </c>
      <c r="AB2145" s="126">
        <f t="shared" si="222"/>
        <v>-6.5795520000000007E-3</v>
      </c>
      <c r="AC2145" s="122" t="s">
        <v>1838</v>
      </c>
      <c r="AD2145" s="123">
        <f t="shared" si="224"/>
        <v>1983.9723217250009</v>
      </c>
    </row>
    <row r="2146" spans="1:30" ht="12.75" hidden="1" customHeight="1">
      <c r="A2146" s="125" t="str">
        <f t="shared" si="219"/>
        <v>LIC17Payable SGST on Mfees</v>
      </c>
      <c r="B2146" s="125">
        <f>+IFERROR(VLOOKUP(L2146,'TB mapping'!A:D,4,0),0)</f>
        <v>0</v>
      </c>
      <c r="C2146" s="125">
        <f>+IFERROR(VLOOKUP(L2146,'TB mapping'!A:C,3,0),0)</f>
        <v>0</v>
      </c>
      <c r="D2146" s="125" t="str">
        <f t="shared" si="220"/>
        <v>LIC170</v>
      </c>
      <c r="E2146" s="125" t="str">
        <f t="shared" si="221"/>
        <v>LIC170</v>
      </c>
      <c r="F2146" s="158" t="str">
        <f>+VLOOKUP(H2146,'code mapping'!A:C,3,0)</f>
        <v>LIC17</v>
      </c>
      <c r="G2146" s="127" t="s">
        <v>453</v>
      </c>
      <c r="H2146" s="127" t="s">
        <v>762</v>
      </c>
      <c r="I2146" s="127" t="s">
        <v>226</v>
      </c>
      <c r="J2146" s="128">
        <v>212000</v>
      </c>
      <c r="K2146" s="127" t="s">
        <v>487</v>
      </c>
      <c r="L2146" s="151">
        <v>212272</v>
      </c>
      <c r="M2146" s="128">
        <v>0</v>
      </c>
      <c r="N2146" s="127" t="s">
        <v>506</v>
      </c>
      <c r="O2146" s="127" t="s">
        <v>457</v>
      </c>
      <c r="P2146" s="128">
        <v>0</v>
      </c>
      <c r="Q2146" s="128">
        <v>65795.520000000004</v>
      </c>
      <c r="R2146" s="128">
        <v>0</v>
      </c>
      <c r="S2146" s="128">
        <v>0</v>
      </c>
      <c r="T2146" s="128">
        <v>0</v>
      </c>
      <c r="U2146" s="128">
        <v>65795.520000000004</v>
      </c>
      <c r="V2146" s="128">
        <v>0</v>
      </c>
      <c r="W2146" s="128">
        <v>65795.520000000004</v>
      </c>
      <c r="X2146" s="128">
        <v>0</v>
      </c>
      <c r="Y2146" s="128">
        <v>0</v>
      </c>
      <c r="Z2146" s="128">
        <v>0</v>
      </c>
      <c r="AA2146" s="128">
        <v>65795.520000000004</v>
      </c>
      <c r="AB2146" s="126">
        <f t="shared" si="222"/>
        <v>-6.5795520000000007E-3</v>
      </c>
      <c r="AC2146" s="122" t="s">
        <v>1838</v>
      </c>
      <c r="AD2146" s="123">
        <f t="shared" si="224"/>
        <v>1983.9723217250009</v>
      </c>
    </row>
    <row r="2147" spans="1:30" ht="12.75" hidden="1" customHeight="1">
      <c r="A2147" s="125" t="str">
        <f t="shared" si="219"/>
        <v>LIC17Payable -Inv Educ Fund-AMFI</v>
      </c>
      <c r="B2147" s="125">
        <f>+IFERROR(VLOOKUP(L2147,'TB mapping'!A:D,4,0),0)</f>
        <v>0</v>
      </c>
      <c r="C2147" s="125">
        <f>+IFERROR(VLOOKUP(L2147,'TB mapping'!A:C,3,0),0)</f>
        <v>0</v>
      </c>
      <c r="D2147" s="125" t="str">
        <f t="shared" si="220"/>
        <v>LIC170</v>
      </c>
      <c r="E2147" s="125" t="str">
        <f t="shared" si="221"/>
        <v>LIC170</v>
      </c>
      <c r="F2147" s="158" t="str">
        <f>+VLOOKUP(H2147,'code mapping'!A:C,3,0)</f>
        <v>LIC17</v>
      </c>
      <c r="G2147" s="127" t="s">
        <v>453</v>
      </c>
      <c r="H2147" s="127" t="s">
        <v>762</v>
      </c>
      <c r="I2147" s="127" t="s">
        <v>226</v>
      </c>
      <c r="J2147" s="128">
        <v>212000</v>
      </c>
      <c r="K2147" s="127" t="s">
        <v>487</v>
      </c>
      <c r="L2147" s="151">
        <v>213166</v>
      </c>
      <c r="M2147" s="128">
        <v>0</v>
      </c>
      <c r="N2147" s="127" t="s">
        <v>507</v>
      </c>
      <c r="O2147" s="127" t="s">
        <v>457</v>
      </c>
      <c r="P2147" s="128">
        <v>0</v>
      </c>
      <c r="Q2147" s="128">
        <v>28943.63</v>
      </c>
      <c r="R2147" s="128">
        <v>0</v>
      </c>
      <c r="S2147" s="128">
        <v>0</v>
      </c>
      <c r="T2147" s="128">
        <v>0</v>
      </c>
      <c r="U2147" s="128">
        <v>28943.63</v>
      </c>
      <c r="V2147" s="128">
        <v>0</v>
      </c>
      <c r="W2147" s="128">
        <v>28943.63</v>
      </c>
      <c r="X2147" s="128">
        <v>0</v>
      </c>
      <c r="Y2147" s="128">
        <v>0</v>
      </c>
      <c r="Z2147" s="128">
        <v>0</v>
      </c>
      <c r="AA2147" s="128">
        <v>28943.63</v>
      </c>
      <c r="AB2147" s="126">
        <f t="shared" si="222"/>
        <v>-2.8943630000000001E-3</v>
      </c>
      <c r="AC2147" s="122" t="s">
        <v>1838</v>
      </c>
      <c r="AD2147" s="123">
        <f t="shared" si="224"/>
        <v>1983.9723217250009</v>
      </c>
    </row>
    <row r="2148" spans="1:30" ht="12.75" hidden="1" customHeight="1">
      <c r="A2148" s="125" t="str">
        <f t="shared" si="219"/>
        <v>LIC17Management Fee Payable</v>
      </c>
      <c r="B2148" s="125">
        <f>+IFERROR(VLOOKUP(L2148,'TB mapping'!A:D,4,0),0)</f>
        <v>0</v>
      </c>
      <c r="C2148" s="125">
        <f>+IFERROR(VLOOKUP(L2148,'TB mapping'!A:C,3,0),0)</f>
        <v>0</v>
      </c>
      <c r="D2148" s="125" t="str">
        <f t="shared" si="220"/>
        <v>LIC170</v>
      </c>
      <c r="E2148" s="125" t="str">
        <f t="shared" si="221"/>
        <v>LIC170</v>
      </c>
      <c r="F2148" s="158" t="str">
        <f>+VLOOKUP(H2148,'code mapping'!A:C,3,0)</f>
        <v>LIC17</v>
      </c>
      <c r="G2148" s="127" t="s">
        <v>453</v>
      </c>
      <c r="H2148" s="127" t="s">
        <v>762</v>
      </c>
      <c r="I2148" s="127" t="s">
        <v>226</v>
      </c>
      <c r="J2148" s="128">
        <v>213000</v>
      </c>
      <c r="K2148" s="127" t="s">
        <v>508</v>
      </c>
      <c r="L2148" s="151">
        <v>213500</v>
      </c>
      <c r="M2148" s="128">
        <v>0</v>
      </c>
      <c r="N2148" s="127" t="s">
        <v>509</v>
      </c>
      <c r="O2148" s="127" t="s">
        <v>457</v>
      </c>
      <c r="P2148" s="128">
        <v>0</v>
      </c>
      <c r="Q2148" s="128">
        <v>730967.72</v>
      </c>
      <c r="R2148" s="128">
        <v>0</v>
      </c>
      <c r="S2148" s="128">
        <v>0</v>
      </c>
      <c r="T2148" s="128">
        <v>0</v>
      </c>
      <c r="U2148" s="128">
        <v>730967.72</v>
      </c>
      <c r="V2148" s="128">
        <v>0</v>
      </c>
      <c r="W2148" s="128">
        <v>730967.72</v>
      </c>
      <c r="X2148" s="128">
        <v>0</v>
      </c>
      <c r="Y2148" s="128">
        <v>0</v>
      </c>
      <c r="Z2148" s="128">
        <v>0</v>
      </c>
      <c r="AA2148" s="128">
        <v>730967.72</v>
      </c>
      <c r="AB2148" s="126">
        <f t="shared" si="222"/>
        <v>-7.309677199999999E-2</v>
      </c>
      <c r="AC2148" s="122" t="s">
        <v>1838</v>
      </c>
      <c r="AD2148" s="123">
        <f t="shared" si="224"/>
        <v>1983.9723217250009</v>
      </c>
    </row>
    <row r="2149" spans="1:30" ht="12.75" hidden="1" customHeight="1">
      <c r="A2149" s="125" t="str">
        <f t="shared" si="219"/>
        <v>LIC17Other Adjustment A/c.</v>
      </c>
      <c r="B2149" s="125">
        <f>+IFERROR(VLOOKUP(L2149,'TB mapping'!A:D,4,0),0)</f>
        <v>0</v>
      </c>
      <c r="C2149" s="125">
        <f>+IFERROR(VLOOKUP(L2149,'TB mapping'!A:C,3,0),0)</f>
        <v>0</v>
      </c>
      <c r="D2149" s="125" t="str">
        <f t="shared" si="220"/>
        <v>LIC170</v>
      </c>
      <c r="E2149" s="125" t="str">
        <f t="shared" si="221"/>
        <v>LIC170</v>
      </c>
      <c r="F2149" s="158" t="str">
        <f>+VLOOKUP(H2149,'code mapping'!A:C,3,0)</f>
        <v>LIC17</v>
      </c>
      <c r="G2149" s="127" t="s">
        <v>453</v>
      </c>
      <c r="H2149" s="127" t="s">
        <v>762</v>
      </c>
      <c r="I2149" s="127" t="s">
        <v>226</v>
      </c>
      <c r="J2149" s="128">
        <v>220000</v>
      </c>
      <c r="K2149" s="127" t="s">
        <v>510</v>
      </c>
      <c r="L2149" s="151">
        <v>190000</v>
      </c>
      <c r="M2149" s="128">
        <v>0</v>
      </c>
      <c r="N2149" s="127" t="s">
        <v>511</v>
      </c>
      <c r="O2149" s="127" t="s">
        <v>457</v>
      </c>
      <c r="P2149" s="128">
        <v>0</v>
      </c>
      <c r="Q2149" s="128">
        <v>0.86</v>
      </c>
      <c r="R2149" s="128">
        <v>0</v>
      </c>
      <c r="S2149" s="128">
        <v>0</v>
      </c>
      <c r="T2149" s="128">
        <v>0</v>
      </c>
      <c r="U2149" s="128">
        <v>0.86</v>
      </c>
      <c r="V2149" s="128">
        <v>0</v>
      </c>
      <c r="W2149" s="128">
        <v>0.86</v>
      </c>
      <c r="X2149" s="128">
        <v>0</v>
      </c>
      <c r="Y2149" s="128">
        <v>0</v>
      </c>
      <c r="Z2149" s="128">
        <v>0</v>
      </c>
      <c r="AA2149" s="128">
        <v>0.86</v>
      </c>
      <c r="AB2149" s="126">
        <f t="shared" si="222"/>
        <v>-8.6000000000000002E-8</v>
      </c>
      <c r="AC2149" s="122" t="s">
        <v>1838</v>
      </c>
      <c r="AD2149" s="123">
        <f t="shared" si="224"/>
        <v>1983.9723217250009</v>
      </c>
    </row>
    <row r="2150" spans="1:30" ht="12.75" hidden="1" customHeight="1">
      <c r="A2150" s="125" t="str">
        <f t="shared" si="219"/>
        <v>LIC17Prov For Withholding Brokerage</v>
      </c>
      <c r="B2150" s="125">
        <f>+IFERROR(VLOOKUP(L2150,'TB mapping'!A:D,4,0),0)</f>
        <v>0</v>
      </c>
      <c r="C2150" s="125">
        <f>+IFERROR(VLOOKUP(L2150,'TB mapping'!A:C,3,0),0)</f>
        <v>0</v>
      </c>
      <c r="D2150" s="125" t="str">
        <f t="shared" si="220"/>
        <v>LIC170</v>
      </c>
      <c r="E2150" s="125" t="str">
        <f t="shared" si="221"/>
        <v>LIC170</v>
      </c>
      <c r="F2150" s="158" t="str">
        <f>+VLOOKUP(H2150,'code mapping'!A:C,3,0)</f>
        <v>LIC17</v>
      </c>
      <c r="G2150" s="127" t="s">
        <v>453</v>
      </c>
      <c r="H2150" s="127" t="s">
        <v>762</v>
      </c>
      <c r="I2150" s="127" t="s">
        <v>226</v>
      </c>
      <c r="J2150" s="128">
        <v>220000</v>
      </c>
      <c r="K2150" s="127" t="s">
        <v>510</v>
      </c>
      <c r="L2150" s="151">
        <v>210162</v>
      </c>
      <c r="M2150" s="128">
        <v>0</v>
      </c>
      <c r="N2150" s="127" t="s">
        <v>512</v>
      </c>
      <c r="O2150" s="127" t="s">
        <v>457</v>
      </c>
      <c r="P2150" s="128">
        <v>0</v>
      </c>
      <c r="Q2150" s="128">
        <v>2260478.12</v>
      </c>
      <c r="R2150" s="128">
        <v>0</v>
      </c>
      <c r="S2150" s="128">
        <v>0</v>
      </c>
      <c r="T2150" s="128">
        <v>0</v>
      </c>
      <c r="U2150" s="128">
        <v>2260478.12</v>
      </c>
      <c r="V2150" s="128">
        <v>0</v>
      </c>
      <c r="W2150" s="128">
        <v>2260478.12</v>
      </c>
      <c r="X2150" s="128">
        <v>0</v>
      </c>
      <c r="Y2150" s="128">
        <v>0</v>
      </c>
      <c r="Z2150" s="128">
        <v>0</v>
      </c>
      <c r="AA2150" s="128">
        <v>2260478.12</v>
      </c>
      <c r="AB2150" s="126">
        <f t="shared" si="222"/>
        <v>-0.22604781200000001</v>
      </c>
      <c r="AC2150" s="122" t="s">
        <v>1838</v>
      </c>
      <c r="AD2150" s="123">
        <f t="shared" si="224"/>
        <v>1983.9723217250009</v>
      </c>
    </row>
    <row r="2151" spans="1:30" ht="12.75" hidden="1" customHeight="1">
      <c r="A2151" s="125" t="str">
        <f t="shared" si="219"/>
        <v>LIC17Prov  Withholding Brok 2016-17</v>
      </c>
      <c r="B2151" s="125">
        <f>+IFERROR(VLOOKUP(L2151,'TB mapping'!A:D,4,0),0)</f>
        <v>0</v>
      </c>
      <c r="C2151" s="125">
        <f>+IFERROR(VLOOKUP(L2151,'TB mapping'!A:C,3,0),0)</f>
        <v>0</v>
      </c>
      <c r="D2151" s="125" t="str">
        <f t="shared" si="220"/>
        <v>LIC170</v>
      </c>
      <c r="E2151" s="125" t="str">
        <f t="shared" si="221"/>
        <v>LIC170</v>
      </c>
      <c r="F2151" s="158" t="str">
        <f>+VLOOKUP(H2151,'code mapping'!A:C,3,0)</f>
        <v>LIC17</v>
      </c>
      <c r="G2151" s="127" t="s">
        <v>453</v>
      </c>
      <c r="H2151" s="127" t="s">
        <v>762</v>
      </c>
      <c r="I2151" s="127" t="s">
        <v>226</v>
      </c>
      <c r="J2151" s="128">
        <v>220000</v>
      </c>
      <c r="K2151" s="127" t="s">
        <v>510</v>
      </c>
      <c r="L2151" s="151">
        <v>210163</v>
      </c>
      <c r="M2151" s="128">
        <v>0</v>
      </c>
      <c r="N2151" s="127" t="s">
        <v>513</v>
      </c>
      <c r="O2151" s="127" t="s">
        <v>457</v>
      </c>
      <c r="P2151" s="128">
        <v>0</v>
      </c>
      <c r="Q2151" s="128">
        <v>2234402.81</v>
      </c>
      <c r="R2151" s="128">
        <v>0</v>
      </c>
      <c r="S2151" s="128">
        <v>0</v>
      </c>
      <c r="T2151" s="128">
        <v>0</v>
      </c>
      <c r="U2151" s="128">
        <v>2234402.81</v>
      </c>
      <c r="V2151" s="128">
        <v>0</v>
      </c>
      <c r="W2151" s="128">
        <v>2234402.81</v>
      </c>
      <c r="X2151" s="128">
        <v>0</v>
      </c>
      <c r="Y2151" s="128">
        <v>0</v>
      </c>
      <c r="Z2151" s="128">
        <v>0</v>
      </c>
      <c r="AA2151" s="128">
        <v>2234402.81</v>
      </c>
      <c r="AB2151" s="126">
        <f t="shared" si="222"/>
        <v>-0.22344028100000002</v>
      </c>
      <c r="AC2151" s="122" t="s">
        <v>1838</v>
      </c>
      <c r="AD2151" s="123">
        <f t="shared" si="224"/>
        <v>1983.9723217250009</v>
      </c>
    </row>
    <row r="2152" spans="1:30" ht="12.75" hidden="1" customHeight="1">
      <c r="A2152" s="125" t="str">
        <f t="shared" si="219"/>
        <v>LIC17Unit Capital</v>
      </c>
      <c r="B2152" s="125">
        <f>+IFERROR(VLOOKUP(L2152,'TB mapping'!A:D,4,0),0)</f>
        <v>0</v>
      </c>
      <c r="C2152" s="125">
        <f>+IFERROR(VLOOKUP(L2152,'TB mapping'!A:C,3,0),0)</f>
        <v>0</v>
      </c>
      <c r="D2152" s="125" t="str">
        <f t="shared" si="220"/>
        <v>LIC170</v>
      </c>
      <c r="E2152" s="125" t="str">
        <f t="shared" si="221"/>
        <v>LIC170</v>
      </c>
      <c r="F2152" s="158" t="str">
        <f>+VLOOKUP(H2152,'code mapping'!A:C,3,0)</f>
        <v>LIC17</v>
      </c>
      <c r="G2152" s="127" t="s">
        <v>453</v>
      </c>
      <c r="H2152" s="127" t="s">
        <v>762</v>
      </c>
      <c r="I2152" s="127" t="s">
        <v>226</v>
      </c>
      <c r="J2152" s="128">
        <v>301000</v>
      </c>
      <c r="K2152" s="127" t="s">
        <v>514</v>
      </c>
      <c r="L2152" s="151">
        <v>310000</v>
      </c>
      <c r="M2152" s="128">
        <v>0</v>
      </c>
      <c r="N2152" s="127" t="s">
        <v>515</v>
      </c>
      <c r="O2152" s="127" t="s">
        <v>457</v>
      </c>
      <c r="P2152" s="128">
        <v>0</v>
      </c>
      <c r="Q2152" s="128">
        <v>903394785.23000002</v>
      </c>
      <c r="R2152" s="128">
        <v>0</v>
      </c>
      <c r="S2152" s="128">
        <v>0</v>
      </c>
      <c r="T2152" s="128">
        <v>0</v>
      </c>
      <c r="U2152" s="128">
        <v>903394785.23000002</v>
      </c>
      <c r="V2152" s="128">
        <v>0</v>
      </c>
      <c r="W2152" s="128">
        <v>903394785.23000002</v>
      </c>
      <c r="X2152" s="128">
        <v>0</v>
      </c>
      <c r="Y2152" s="128">
        <v>0</v>
      </c>
      <c r="Z2152" s="128">
        <v>0</v>
      </c>
      <c r="AA2152" s="128">
        <v>903394785.23000002</v>
      </c>
      <c r="AB2152" s="126">
        <f t="shared" si="222"/>
        <v>-90.339478522999997</v>
      </c>
      <c r="AC2152" s="122" t="s">
        <v>1838</v>
      </c>
      <c r="AD2152" s="123">
        <f t="shared" si="224"/>
        <v>1983.9723217250009</v>
      </c>
    </row>
    <row r="2153" spans="1:30" ht="12.75" hidden="1" customHeight="1">
      <c r="A2153" s="125" t="str">
        <f t="shared" si="219"/>
        <v>LIC17Unit Premium Reserve- RG</v>
      </c>
      <c r="B2153" s="125">
        <f>+IFERROR(VLOOKUP(L2153,'TB mapping'!A:D,4,0),0)</f>
        <v>0</v>
      </c>
      <c r="C2153" s="125">
        <f>+IFERROR(VLOOKUP(L2153,'TB mapping'!A:C,3,0),0)</f>
        <v>0</v>
      </c>
      <c r="D2153" s="125" t="str">
        <f t="shared" si="220"/>
        <v>LIC170</v>
      </c>
      <c r="E2153" s="125" t="str">
        <f t="shared" si="221"/>
        <v>LIC170</v>
      </c>
      <c r="F2153" s="158" t="str">
        <f>+VLOOKUP(H2153,'code mapping'!A:C,3,0)</f>
        <v>LIC17</v>
      </c>
      <c r="G2153" s="127" t="s">
        <v>453</v>
      </c>
      <c r="H2153" s="127" t="s">
        <v>762</v>
      </c>
      <c r="I2153" s="127" t="s">
        <v>226</v>
      </c>
      <c r="J2153" s="128">
        <v>303000</v>
      </c>
      <c r="K2153" s="127" t="s">
        <v>516</v>
      </c>
      <c r="L2153" s="151">
        <v>303201</v>
      </c>
      <c r="M2153" s="128">
        <v>0</v>
      </c>
      <c r="N2153" s="127" t="s">
        <v>517</v>
      </c>
      <c r="O2153" s="127" t="s">
        <v>457</v>
      </c>
      <c r="P2153" s="128">
        <v>-294047423.49000001</v>
      </c>
      <c r="Q2153" s="128">
        <v>0</v>
      </c>
      <c r="R2153" s="128">
        <v>0</v>
      </c>
      <c r="S2153" s="128">
        <v>0</v>
      </c>
      <c r="T2153" s="128">
        <v>-294047423.49000001</v>
      </c>
      <c r="U2153" s="128">
        <v>0</v>
      </c>
      <c r="V2153" s="128">
        <v>-294047423.49000001</v>
      </c>
      <c r="W2153" s="128">
        <v>0</v>
      </c>
      <c r="X2153" s="128">
        <v>0</v>
      </c>
      <c r="Y2153" s="128">
        <v>0</v>
      </c>
      <c r="Z2153" s="128">
        <v>-294047423.49000001</v>
      </c>
      <c r="AA2153" s="128">
        <v>0</v>
      </c>
      <c r="AB2153" s="126">
        <f t="shared" si="222"/>
        <v>29.404742348999999</v>
      </c>
      <c r="AC2153" s="122" t="s">
        <v>1838</v>
      </c>
      <c r="AD2153" s="123">
        <f t="shared" si="224"/>
        <v>1983.9723217250009</v>
      </c>
    </row>
    <row r="2154" spans="1:30" ht="12.75" hidden="1" customHeight="1">
      <c r="A2154" s="125" t="str">
        <f t="shared" si="219"/>
        <v>LIC17Unit Premium Reserve- RD</v>
      </c>
      <c r="B2154" s="125">
        <f>+IFERROR(VLOOKUP(L2154,'TB mapping'!A:D,4,0),0)</f>
        <v>0</v>
      </c>
      <c r="C2154" s="125">
        <f>+IFERROR(VLOOKUP(L2154,'TB mapping'!A:C,3,0),0)</f>
        <v>0</v>
      </c>
      <c r="D2154" s="125" t="str">
        <f t="shared" si="220"/>
        <v>LIC170</v>
      </c>
      <c r="E2154" s="125" t="str">
        <f t="shared" si="221"/>
        <v>LIC170</v>
      </c>
      <c r="F2154" s="158" t="str">
        <f>+VLOOKUP(H2154,'code mapping'!A:C,3,0)</f>
        <v>LIC17</v>
      </c>
      <c r="G2154" s="127" t="s">
        <v>453</v>
      </c>
      <c r="H2154" s="127" t="s">
        <v>762</v>
      </c>
      <c r="I2154" s="127" t="s">
        <v>226</v>
      </c>
      <c r="J2154" s="128">
        <v>303000</v>
      </c>
      <c r="K2154" s="127" t="s">
        <v>516</v>
      </c>
      <c r="L2154" s="151">
        <v>303202</v>
      </c>
      <c r="M2154" s="128">
        <v>0</v>
      </c>
      <c r="N2154" s="127" t="s">
        <v>518</v>
      </c>
      <c r="O2154" s="127" t="s">
        <v>457</v>
      </c>
      <c r="P2154" s="128">
        <v>-60492508.789999999</v>
      </c>
      <c r="Q2154" s="128">
        <v>0</v>
      </c>
      <c r="R2154" s="128">
        <v>0</v>
      </c>
      <c r="S2154" s="128">
        <v>0</v>
      </c>
      <c r="T2154" s="128">
        <v>-60492508.789999999</v>
      </c>
      <c r="U2154" s="128">
        <v>0</v>
      </c>
      <c r="V2154" s="128">
        <v>-60492508.789999999</v>
      </c>
      <c r="W2154" s="128">
        <v>0</v>
      </c>
      <c r="X2154" s="128">
        <v>0</v>
      </c>
      <c r="Y2154" s="128">
        <v>0</v>
      </c>
      <c r="Z2154" s="128">
        <v>-60492508.789999999</v>
      </c>
      <c r="AA2154" s="128">
        <v>0</v>
      </c>
      <c r="AB2154" s="126">
        <f t="shared" si="222"/>
        <v>6.0492508789999997</v>
      </c>
      <c r="AC2154" s="122" t="s">
        <v>1838</v>
      </c>
      <c r="AD2154" s="123">
        <f t="shared" si="224"/>
        <v>1983.9723217250009</v>
      </c>
    </row>
    <row r="2155" spans="1:30" ht="12.75" hidden="1" customHeight="1">
      <c r="A2155" s="125" t="str">
        <f t="shared" si="219"/>
        <v>LIC17Unit Premium Reserve-GDP</v>
      </c>
      <c r="B2155" s="125">
        <f>+IFERROR(VLOOKUP(L2155,'TB mapping'!A:D,4,0),0)</f>
        <v>0</v>
      </c>
      <c r="C2155" s="125">
        <f>+IFERROR(VLOOKUP(L2155,'TB mapping'!A:C,3,0),0)</f>
        <v>0</v>
      </c>
      <c r="D2155" s="125" t="str">
        <f t="shared" si="220"/>
        <v>LIC170</v>
      </c>
      <c r="E2155" s="125" t="str">
        <f t="shared" si="221"/>
        <v>LIC170</v>
      </c>
      <c r="F2155" s="158" t="str">
        <f>+VLOOKUP(H2155,'code mapping'!A:C,3,0)</f>
        <v>LIC17</v>
      </c>
      <c r="G2155" s="127" t="s">
        <v>453</v>
      </c>
      <c r="H2155" s="127" t="s">
        <v>762</v>
      </c>
      <c r="I2155" s="127" t="s">
        <v>226</v>
      </c>
      <c r="J2155" s="128">
        <v>303000</v>
      </c>
      <c r="K2155" s="127" t="s">
        <v>516</v>
      </c>
      <c r="L2155" s="151">
        <v>303245</v>
      </c>
      <c r="M2155" s="128">
        <v>0</v>
      </c>
      <c r="N2155" s="127" t="s">
        <v>519</v>
      </c>
      <c r="O2155" s="127" t="s">
        <v>457</v>
      </c>
      <c r="P2155" s="128">
        <v>0</v>
      </c>
      <c r="Q2155" s="128">
        <v>194732451.65000001</v>
      </c>
      <c r="R2155" s="128">
        <v>0</v>
      </c>
      <c r="S2155" s="128">
        <v>0</v>
      </c>
      <c r="T2155" s="128">
        <v>0</v>
      </c>
      <c r="U2155" s="128">
        <v>194732451.65000001</v>
      </c>
      <c r="V2155" s="128">
        <v>0</v>
      </c>
      <c r="W2155" s="128">
        <v>194732451.65000001</v>
      </c>
      <c r="X2155" s="128">
        <v>0</v>
      </c>
      <c r="Y2155" s="128">
        <v>0</v>
      </c>
      <c r="Z2155" s="128">
        <v>0</v>
      </c>
      <c r="AA2155" s="128">
        <v>194732451.65000001</v>
      </c>
      <c r="AB2155" s="126">
        <f t="shared" si="222"/>
        <v>-19.473245165000002</v>
      </c>
      <c r="AC2155" s="122" t="s">
        <v>1838</v>
      </c>
      <c r="AD2155" s="123">
        <f t="shared" si="224"/>
        <v>1983.9723217250009</v>
      </c>
    </row>
    <row r="2156" spans="1:30" ht="12.75" hidden="1" customHeight="1">
      <c r="A2156" s="125" t="str">
        <f t="shared" si="219"/>
        <v>LIC17Unit Premium Reserve-DDP</v>
      </c>
      <c r="B2156" s="125">
        <f>+IFERROR(VLOOKUP(L2156,'TB mapping'!A:D,4,0),0)</f>
        <v>0</v>
      </c>
      <c r="C2156" s="125">
        <f>+IFERROR(VLOOKUP(L2156,'TB mapping'!A:C,3,0),0)</f>
        <v>0</v>
      </c>
      <c r="D2156" s="125" t="str">
        <f t="shared" si="220"/>
        <v>LIC170</v>
      </c>
      <c r="E2156" s="125" t="str">
        <f t="shared" si="221"/>
        <v>LIC170</v>
      </c>
      <c r="F2156" s="158" t="str">
        <f>+VLOOKUP(H2156,'code mapping'!A:C,3,0)</f>
        <v>LIC17</v>
      </c>
      <c r="G2156" s="127" t="s">
        <v>453</v>
      </c>
      <c r="H2156" s="127" t="s">
        <v>762</v>
      </c>
      <c r="I2156" s="127" t="s">
        <v>226</v>
      </c>
      <c r="J2156" s="128">
        <v>303000</v>
      </c>
      <c r="K2156" s="127" t="s">
        <v>516</v>
      </c>
      <c r="L2156" s="151">
        <v>303246</v>
      </c>
      <c r="M2156" s="128">
        <v>0</v>
      </c>
      <c r="N2156" s="127" t="s">
        <v>520</v>
      </c>
      <c r="O2156" s="127" t="s">
        <v>457</v>
      </c>
      <c r="P2156" s="128">
        <v>0</v>
      </c>
      <c r="Q2156" s="128">
        <v>4269618.96</v>
      </c>
      <c r="R2156" s="128">
        <v>0</v>
      </c>
      <c r="S2156" s="128">
        <v>0</v>
      </c>
      <c r="T2156" s="128">
        <v>0</v>
      </c>
      <c r="U2156" s="128">
        <v>4269618.96</v>
      </c>
      <c r="V2156" s="128">
        <v>0</v>
      </c>
      <c r="W2156" s="128">
        <v>4269618.96</v>
      </c>
      <c r="X2156" s="128">
        <v>0</v>
      </c>
      <c r="Y2156" s="128">
        <v>0</v>
      </c>
      <c r="Z2156" s="128">
        <v>0</v>
      </c>
      <c r="AA2156" s="128">
        <v>4269618.96</v>
      </c>
      <c r="AB2156" s="126">
        <f t="shared" si="222"/>
        <v>-0.42696189600000001</v>
      </c>
      <c r="AC2156" s="122" t="s">
        <v>1838</v>
      </c>
      <c r="AD2156" s="123">
        <f t="shared" si="224"/>
        <v>1983.9723217250009</v>
      </c>
    </row>
    <row r="2157" spans="1:30" ht="12.75" hidden="1" customHeight="1">
      <c r="A2157" s="125" t="str">
        <f t="shared" si="219"/>
        <v>LIC17Net Earnings</v>
      </c>
      <c r="B2157" s="125">
        <f>+IFERROR(VLOOKUP(L2157,'TB mapping'!A:D,4,0),0)</f>
        <v>0</v>
      </c>
      <c r="C2157" s="125">
        <f>+IFERROR(VLOOKUP(L2157,'TB mapping'!A:C,3,0),0)</f>
        <v>0</v>
      </c>
      <c r="D2157" s="125" t="str">
        <f t="shared" si="220"/>
        <v>LIC170</v>
      </c>
      <c r="E2157" s="125" t="str">
        <f t="shared" si="221"/>
        <v>LIC170</v>
      </c>
      <c r="F2157" s="158" t="str">
        <f>+VLOOKUP(H2157,'code mapping'!A:C,3,0)</f>
        <v>LIC17</v>
      </c>
      <c r="G2157" s="127" t="s">
        <v>453</v>
      </c>
      <c r="H2157" s="127" t="s">
        <v>762</v>
      </c>
      <c r="I2157" s="127" t="s">
        <v>226</v>
      </c>
      <c r="J2157" s="128">
        <v>303000</v>
      </c>
      <c r="K2157" s="127" t="s">
        <v>516</v>
      </c>
      <c r="L2157" s="151">
        <v>390000</v>
      </c>
      <c r="M2157" s="128">
        <v>0</v>
      </c>
      <c r="N2157" s="127" t="s">
        <v>521</v>
      </c>
      <c r="O2157" s="127" t="s">
        <v>457</v>
      </c>
      <c r="P2157" s="128">
        <v>0</v>
      </c>
      <c r="Q2157" s="128">
        <v>2310079189.4000001</v>
      </c>
      <c r="R2157" s="128">
        <v>0</v>
      </c>
      <c r="S2157" s="128">
        <v>0</v>
      </c>
      <c r="T2157" s="128">
        <v>0</v>
      </c>
      <c r="U2157" s="128">
        <v>2310079189.4000001</v>
      </c>
      <c r="V2157" s="128">
        <v>0</v>
      </c>
      <c r="W2157" s="128">
        <v>2310079189.4000001</v>
      </c>
      <c r="X2157" s="128">
        <v>0</v>
      </c>
      <c r="Y2157" s="128">
        <v>0</v>
      </c>
      <c r="Z2157" s="128">
        <v>0</v>
      </c>
      <c r="AA2157" s="128">
        <v>2310079189.4000001</v>
      </c>
      <c r="AB2157" s="126">
        <f t="shared" si="222"/>
        <v>-231.00791894</v>
      </c>
      <c r="AC2157" s="122" t="s">
        <v>1838</v>
      </c>
      <c r="AD2157" s="123">
        <f t="shared" si="224"/>
        <v>1983.9723217250009</v>
      </c>
    </row>
    <row r="2158" spans="1:30" ht="12.75" hidden="1" customHeight="1">
      <c r="A2158" s="125" t="str">
        <f t="shared" si="219"/>
        <v>LIC17R/L G/P - Equities</v>
      </c>
      <c r="B2158" s="125">
        <f>+IFERROR(VLOOKUP(L2158,'TB mapping'!A:D,4,0),0)</f>
        <v>0</v>
      </c>
      <c r="C2158" s="125">
        <f>+IFERROR(VLOOKUP(L2158,'TB mapping'!A:C,3,0),0)</f>
        <v>5.3</v>
      </c>
      <c r="D2158" s="125" t="str">
        <f t="shared" si="220"/>
        <v>LIC170</v>
      </c>
      <c r="E2158" s="125" t="str">
        <f t="shared" si="221"/>
        <v>LIC175.3</v>
      </c>
      <c r="F2158" s="158" t="str">
        <f>+VLOOKUP(H2158,'code mapping'!A:C,3,0)</f>
        <v>LIC17</v>
      </c>
      <c r="G2158" s="127" t="s">
        <v>453</v>
      </c>
      <c r="H2158" s="127" t="s">
        <v>762</v>
      </c>
      <c r="I2158" s="127" t="s">
        <v>226</v>
      </c>
      <c r="J2158" s="128">
        <v>410000</v>
      </c>
      <c r="K2158" s="127" t="s">
        <v>522</v>
      </c>
      <c r="L2158" s="151">
        <v>411100</v>
      </c>
      <c r="M2158" s="128">
        <v>0</v>
      </c>
      <c r="N2158" s="127" t="s">
        <v>596</v>
      </c>
      <c r="O2158" s="127" t="s">
        <v>457</v>
      </c>
      <c r="P2158" s="128">
        <v>0</v>
      </c>
      <c r="Q2158" s="128">
        <v>329134640.56</v>
      </c>
      <c r="R2158" s="128">
        <v>0</v>
      </c>
      <c r="S2158" s="128">
        <v>0</v>
      </c>
      <c r="T2158" s="128">
        <v>0</v>
      </c>
      <c r="U2158" s="128">
        <v>329134640.56</v>
      </c>
      <c r="V2158" s="128">
        <v>0</v>
      </c>
      <c r="W2158" s="128">
        <v>329134640.56</v>
      </c>
      <c r="X2158" s="128">
        <v>0</v>
      </c>
      <c r="Y2158" s="128">
        <v>0</v>
      </c>
      <c r="Z2158" s="128">
        <v>0</v>
      </c>
      <c r="AA2158" s="128">
        <v>329134640.56</v>
      </c>
      <c r="AB2158" s="126">
        <f t="shared" si="222"/>
        <v>-32.913464056000002</v>
      </c>
      <c r="AC2158" s="122" t="s">
        <v>1838</v>
      </c>
      <c r="AD2158" s="123">
        <f>SUMIF(E:E,E2158,AB:AB)</f>
        <v>-24.577168205000007</v>
      </c>
    </row>
    <row r="2159" spans="1:30" ht="12.75" hidden="1" customHeight="1">
      <c r="A2159" s="125" t="str">
        <f t="shared" si="219"/>
        <v>LIC17R/L G/P - Rights</v>
      </c>
      <c r="B2159" s="125">
        <f>+IFERROR(VLOOKUP(L2159,'TB mapping'!A:D,4,0),0)</f>
        <v>0</v>
      </c>
      <c r="C2159" s="125">
        <f>+IFERROR(VLOOKUP(L2159,'TB mapping'!A:C,3,0),0)</f>
        <v>5.3</v>
      </c>
      <c r="D2159" s="125" t="str">
        <f t="shared" si="220"/>
        <v>LIC170</v>
      </c>
      <c r="E2159" s="125" t="str">
        <f t="shared" si="221"/>
        <v>LIC175.3</v>
      </c>
      <c r="F2159" s="158" t="str">
        <f>+VLOOKUP(H2159,'code mapping'!A:C,3,0)</f>
        <v>LIC17</v>
      </c>
      <c r="G2159" s="127" t="s">
        <v>453</v>
      </c>
      <c r="H2159" s="127" t="s">
        <v>762</v>
      </c>
      <c r="I2159" s="127" t="s">
        <v>226</v>
      </c>
      <c r="J2159" s="128">
        <v>410000</v>
      </c>
      <c r="K2159" s="127" t="s">
        <v>522</v>
      </c>
      <c r="L2159" s="151">
        <v>411120</v>
      </c>
      <c r="M2159" s="128">
        <v>0</v>
      </c>
      <c r="N2159" s="127" t="s">
        <v>705</v>
      </c>
      <c r="O2159" s="127" t="s">
        <v>457</v>
      </c>
      <c r="P2159" s="128">
        <v>0</v>
      </c>
      <c r="Q2159" s="128">
        <v>161123.04</v>
      </c>
      <c r="R2159" s="128">
        <v>0</v>
      </c>
      <c r="S2159" s="128">
        <v>0</v>
      </c>
      <c r="T2159" s="128">
        <v>0</v>
      </c>
      <c r="U2159" s="128">
        <v>161123.04</v>
      </c>
      <c r="V2159" s="128">
        <v>0</v>
      </c>
      <c r="W2159" s="128">
        <v>161123.04</v>
      </c>
      <c r="X2159" s="128">
        <v>0</v>
      </c>
      <c r="Y2159" s="128">
        <v>0</v>
      </c>
      <c r="Z2159" s="128">
        <v>0</v>
      </c>
      <c r="AA2159" s="128">
        <v>161123.04</v>
      </c>
      <c r="AB2159" s="126">
        <f t="shared" si="222"/>
        <v>-1.6112304000000001E-2</v>
      </c>
      <c r="AC2159" s="122" t="s">
        <v>1838</v>
      </c>
      <c r="AD2159" s="123">
        <f>SUMIF(E:E,E2159,AB:AB)</f>
        <v>-24.577168205000007</v>
      </c>
    </row>
    <row r="2160" spans="1:30" ht="12.75" hidden="1" customHeight="1">
      <c r="A2160" s="125" t="str">
        <f t="shared" si="219"/>
        <v>LIC17Profit on Sale-Mutual Fd Units</v>
      </c>
      <c r="B2160" s="125">
        <f>+IFERROR(VLOOKUP(L2160,'TB mapping'!A:D,4,0),0)</f>
        <v>0</v>
      </c>
      <c r="C2160" s="125">
        <f>+IFERROR(VLOOKUP(L2160,'TB mapping'!A:C,3,0),0)</f>
        <v>5.3</v>
      </c>
      <c r="D2160" s="125" t="str">
        <f t="shared" si="220"/>
        <v>LIC170</v>
      </c>
      <c r="E2160" s="125" t="str">
        <f t="shared" si="221"/>
        <v>LIC175.3</v>
      </c>
      <c r="F2160" s="158" t="str">
        <f>+VLOOKUP(H2160,'code mapping'!A:C,3,0)</f>
        <v>LIC17</v>
      </c>
      <c r="G2160" s="127" t="s">
        <v>453</v>
      </c>
      <c r="H2160" s="127" t="s">
        <v>762</v>
      </c>
      <c r="I2160" s="127" t="s">
        <v>226</v>
      </c>
      <c r="J2160" s="128">
        <v>410000</v>
      </c>
      <c r="K2160" s="127" t="s">
        <v>522</v>
      </c>
      <c r="L2160" s="151">
        <v>415102</v>
      </c>
      <c r="M2160" s="128">
        <v>0</v>
      </c>
      <c r="N2160" s="127" t="s">
        <v>526</v>
      </c>
      <c r="O2160" s="127" t="s">
        <v>457</v>
      </c>
      <c r="P2160" s="128">
        <v>0</v>
      </c>
      <c r="Q2160" s="128">
        <v>116767.83</v>
      </c>
      <c r="R2160" s="128">
        <v>0</v>
      </c>
      <c r="S2160" s="128">
        <v>0</v>
      </c>
      <c r="T2160" s="128">
        <v>0</v>
      </c>
      <c r="U2160" s="128">
        <v>116767.83</v>
      </c>
      <c r="V2160" s="128">
        <v>0</v>
      </c>
      <c r="W2160" s="128">
        <v>116767.83</v>
      </c>
      <c r="X2160" s="128">
        <v>0</v>
      </c>
      <c r="Y2160" s="128">
        <v>0</v>
      </c>
      <c r="Z2160" s="128">
        <v>0</v>
      </c>
      <c r="AA2160" s="128">
        <v>116767.83</v>
      </c>
      <c r="AB2160" s="126">
        <f t="shared" si="222"/>
        <v>-1.1676783E-2</v>
      </c>
      <c r="AC2160" s="122" t="s">
        <v>1838</v>
      </c>
      <c r="AD2160" s="123">
        <f>SUMIF(E:E,E2160,AB:AB)</f>
        <v>-24.577168205000007</v>
      </c>
    </row>
    <row r="2161" spans="1:30" ht="12.75" hidden="1" customHeight="1">
      <c r="A2161" s="125" t="str">
        <f t="shared" si="219"/>
        <v>LIC17UR/L G/P - Equities</v>
      </c>
      <c r="B2161" s="125">
        <f>+IFERROR(VLOOKUP(L2161,'TB mapping'!A:D,4,0),0)</f>
        <v>0</v>
      </c>
      <c r="C2161" s="125" t="str">
        <f>+IFERROR(VLOOKUP(L2161,'TB mapping'!A:C,3,0),0)</f>
        <v>Ignore</v>
      </c>
      <c r="D2161" s="125" t="str">
        <f t="shared" si="220"/>
        <v>LIC170</v>
      </c>
      <c r="E2161" s="125" t="str">
        <f t="shared" si="221"/>
        <v>LIC17Ignore</v>
      </c>
      <c r="F2161" s="158" t="str">
        <f>+VLOOKUP(H2161,'code mapping'!A:C,3,0)</f>
        <v>LIC17</v>
      </c>
      <c r="G2161" s="127" t="s">
        <v>453</v>
      </c>
      <c r="H2161" s="127" t="s">
        <v>762</v>
      </c>
      <c r="I2161" s="127" t="s">
        <v>226</v>
      </c>
      <c r="J2161" s="128">
        <v>430000</v>
      </c>
      <c r="K2161" s="127" t="s">
        <v>528</v>
      </c>
      <c r="L2161" s="151">
        <v>431100</v>
      </c>
      <c r="M2161" s="128">
        <v>0</v>
      </c>
      <c r="N2161" s="127" t="s">
        <v>597</v>
      </c>
      <c r="O2161" s="127" t="s">
        <v>457</v>
      </c>
      <c r="P2161" s="128">
        <v>0</v>
      </c>
      <c r="Q2161" s="128">
        <v>68202418.569999993</v>
      </c>
      <c r="R2161" s="128">
        <v>0</v>
      </c>
      <c r="S2161" s="128">
        <v>0</v>
      </c>
      <c r="T2161" s="128">
        <v>0</v>
      </c>
      <c r="U2161" s="128">
        <v>68202418.569999993</v>
      </c>
      <c r="V2161" s="128">
        <v>0</v>
      </c>
      <c r="W2161" s="128">
        <v>68202418.569999993</v>
      </c>
      <c r="X2161" s="128">
        <v>0</v>
      </c>
      <c r="Y2161" s="128">
        <v>0</v>
      </c>
      <c r="Z2161" s="128">
        <v>0</v>
      </c>
      <c r="AA2161" s="128">
        <v>68202418.569999993</v>
      </c>
      <c r="AB2161" s="126">
        <f t="shared" si="222"/>
        <v>-6.8202418569999992</v>
      </c>
      <c r="AC2161" s="122" t="s">
        <v>1838</v>
      </c>
      <c r="AD2161" s="123">
        <f>SUMIF(C:C,C2161,AB:AB)</f>
        <v>-291.7660984179999</v>
      </c>
    </row>
    <row r="2162" spans="1:30" ht="12.75" hidden="1" customHeight="1">
      <c r="A2162" s="125" t="str">
        <f t="shared" si="219"/>
        <v>LIC17Dividend Income - Equities</v>
      </c>
      <c r="B2162" s="125">
        <f>+IFERROR(VLOOKUP(L2162,'TB mapping'!A:D,4,0),0)</f>
        <v>0</v>
      </c>
      <c r="C2162" s="125">
        <f>+IFERROR(VLOOKUP(L2162,'TB mapping'!A:C,3,0),0)</f>
        <v>5.0999999999999996</v>
      </c>
      <c r="D2162" s="125" t="str">
        <f t="shared" si="220"/>
        <v>LIC170</v>
      </c>
      <c r="E2162" s="125" t="str">
        <f t="shared" si="221"/>
        <v>LIC175.1</v>
      </c>
      <c r="F2162" s="158" t="str">
        <f>+VLOOKUP(H2162,'code mapping'!A:C,3,0)</f>
        <v>LIC17</v>
      </c>
      <c r="G2162" s="127" t="s">
        <v>453</v>
      </c>
      <c r="H2162" s="127" t="s">
        <v>762</v>
      </c>
      <c r="I2162" s="127" t="s">
        <v>226</v>
      </c>
      <c r="J2162" s="128">
        <v>450000</v>
      </c>
      <c r="K2162" s="127" t="s">
        <v>532</v>
      </c>
      <c r="L2162" s="151">
        <v>451100</v>
      </c>
      <c r="M2162" s="128">
        <v>0</v>
      </c>
      <c r="N2162" s="127" t="s">
        <v>598</v>
      </c>
      <c r="O2162" s="127" t="s">
        <v>457</v>
      </c>
      <c r="P2162" s="128">
        <v>0</v>
      </c>
      <c r="Q2162" s="128">
        <v>39806212.280000001</v>
      </c>
      <c r="R2162" s="128">
        <v>0</v>
      </c>
      <c r="S2162" s="128">
        <v>0</v>
      </c>
      <c r="T2162" s="128">
        <v>0</v>
      </c>
      <c r="U2162" s="128">
        <v>39806212.280000001</v>
      </c>
      <c r="V2162" s="128">
        <v>0</v>
      </c>
      <c r="W2162" s="128">
        <v>39806212.280000001</v>
      </c>
      <c r="X2162" s="128">
        <v>0</v>
      </c>
      <c r="Y2162" s="128">
        <v>0</v>
      </c>
      <c r="Z2162" s="128">
        <v>0</v>
      </c>
      <c r="AA2162" s="128">
        <v>39806212.280000001</v>
      </c>
      <c r="AB2162" s="126">
        <f t="shared" si="222"/>
        <v>-3.980621228</v>
      </c>
      <c r="AC2162" s="122" t="s">
        <v>1838</v>
      </c>
      <c r="AD2162" s="123">
        <f t="shared" ref="AD2162:AD2200" si="225">SUMIF(E:E,E2162,AB:AB)</f>
        <v>-3.980621228</v>
      </c>
    </row>
    <row r="2163" spans="1:30" ht="12.75" hidden="1" customHeight="1">
      <c r="A2163" s="125" t="str">
        <f t="shared" si="219"/>
        <v>LIC17Interest Income - CCIL Margin</v>
      </c>
      <c r="B2163" s="125">
        <f>+IFERROR(VLOOKUP(L2163,'TB mapping'!A:D,4,0),0)</f>
        <v>0</v>
      </c>
      <c r="C2163" s="125">
        <f>+IFERROR(VLOOKUP(L2163,'TB mapping'!A:C,3,0),0)</f>
        <v>5.2</v>
      </c>
      <c r="D2163" s="125" t="str">
        <f t="shared" si="220"/>
        <v>LIC170</v>
      </c>
      <c r="E2163" s="125" t="str">
        <f t="shared" si="221"/>
        <v>LIC175.2</v>
      </c>
      <c r="F2163" s="158" t="str">
        <f>+VLOOKUP(H2163,'code mapping'!A:C,3,0)</f>
        <v>LIC17</v>
      </c>
      <c r="G2163" s="127" t="s">
        <v>453</v>
      </c>
      <c r="H2163" s="127" t="s">
        <v>762</v>
      </c>
      <c r="I2163" s="127" t="s">
        <v>226</v>
      </c>
      <c r="J2163" s="128">
        <v>450000</v>
      </c>
      <c r="K2163" s="127" t="s">
        <v>532</v>
      </c>
      <c r="L2163" s="151">
        <v>452111</v>
      </c>
      <c r="M2163" s="128">
        <v>0</v>
      </c>
      <c r="N2163" s="127" t="s">
        <v>533</v>
      </c>
      <c r="O2163" s="127" t="s">
        <v>457</v>
      </c>
      <c r="P2163" s="128">
        <v>0</v>
      </c>
      <c r="Q2163" s="128">
        <v>758.64</v>
      </c>
      <c r="R2163" s="128">
        <v>0</v>
      </c>
      <c r="S2163" s="128">
        <v>0</v>
      </c>
      <c r="T2163" s="128">
        <v>0</v>
      </c>
      <c r="U2163" s="128">
        <v>758.64</v>
      </c>
      <c r="V2163" s="128">
        <v>0</v>
      </c>
      <c r="W2163" s="128">
        <v>758.64</v>
      </c>
      <c r="X2163" s="128">
        <v>0</v>
      </c>
      <c r="Y2163" s="128">
        <v>0</v>
      </c>
      <c r="Z2163" s="128">
        <v>0</v>
      </c>
      <c r="AA2163" s="128">
        <v>758.64</v>
      </c>
      <c r="AB2163" s="126">
        <f t="shared" si="222"/>
        <v>-7.5864000000000004E-5</v>
      </c>
      <c r="AC2163" s="122" t="s">
        <v>1838</v>
      </c>
      <c r="AD2163" s="123">
        <f t="shared" si="225"/>
        <v>-0.5288382920000001</v>
      </c>
    </row>
    <row r="2164" spans="1:30" ht="12.75" hidden="1" customHeight="1">
      <c r="A2164" s="125" t="str">
        <f t="shared" si="219"/>
        <v>LIC17Amort. Income - CBLO</v>
      </c>
      <c r="B2164" s="125">
        <f>+IFERROR(VLOOKUP(L2164,'TB mapping'!A:D,4,0),0)</f>
        <v>0</v>
      </c>
      <c r="C2164" s="125">
        <f>+IFERROR(VLOOKUP(L2164,'TB mapping'!A:C,3,0),0)</f>
        <v>5.2</v>
      </c>
      <c r="D2164" s="125" t="str">
        <f t="shared" si="220"/>
        <v>LIC170</v>
      </c>
      <c r="E2164" s="125" t="str">
        <f t="shared" si="221"/>
        <v>LIC175.2</v>
      </c>
      <c r="F2164" s="158" t="str">
        <f>+VLOOKUP(H2164,'code mapping'!A:C,3,0)</f>
        <v>LIC17</v>
      </c>
      <c r="G2164" s="127" t="s">
        <v>453</v>
      </c>
      <c r="H2164" s="127" t="s">
        <v>762</v>
      </c>
      <c r="I2164" s="127" t="s">
        <v>226</v>
      </c>
      <c r="J2164" s="128">
        <v>450000</v>
      </c>
      <c r="K2164" s="127" t="s">
        <v>532</v>
      </c>
      <c r="L2164" s="151">
        <v>452228</v>
      </c>
      <c r="M2164" s="128">
        <v>0</v>
      </c>
      <c r="N2164" s="127" t="s">
        <v>537</v>
      </c>
      <c r="O2164" s="127" t="s">
        <v>457</v>
      </c>
      <c r="P2164" s="128">
        <v>0</v>
      </c>
      <c r="Q2164" s="128">
        <v>5190653.2</v>
      </c>
      <c r="R2164" s="128">
        <v>0</v>
      </c>
      <c r="S2164" s="128">
        <v>0</v>
      </c>
      <c r="T2164" s="128">
        <v>0</v>
      </c>
      <c r="U2164" s="128">
        <v>5190653.2</v>
      </c>
      <c r="V2164" s="128">
        <v>0</v>
      </c>
      <c r="W2164" s="128">
        <v>5190653.2</v>
      </c>
      <c r="X2164" s="128">
        <v>0</v>
      </c>
      <c r="Y2164" s="128">
        <v>0</v>
      </c>
      <c r="Z2164" s="128">
        <v>0</v>
      </c>
      <c r="AA2164" s="128">
        <v>5190653.2</v>
      </c>
      <c r="AB2164" s="126">
        <f t="shared" si="222"/>
        <v>-0.51906532000000005</v>
      </c>
      <c r="AC2164" s="122" t="s">
        <v>1838</v>
      </c>
      <c r="AD2164" s="123">
        <f t="shared" si="225"/>
        <v>-0.5288382920000001</v>
      </c>
    </row>
    <row r="2165" spans="1:30" ht="12.75" hidden="1" customHeight="1">
      <c r="A2165" s="125" t="str">
        <f t="shared" si="219"/>
        <v>LIC17Int Income - Repo Deposits</v>
      </c>
      <c r="B2165" s="125">
        <f>+IFERROR(VLOOKUP(L2165,'TB mapping'!A:D,4,0),0)</f>
        <v>0</v>
      </c>
      <c r="C2165" s="125">
        <f>+IFERROR(VLOOKUP(L2165,'TB mapping'!A:C,3,0),0)</f>
        <v>5.2</v>
      </c>
      <c r="D2165" s="125" t="str">
        <f t="shared" si="220"/>
        <v>LIC170</v>
      </c>
      <c r="E2165" s="125" t="str">
        <f t="shared" si="221"/>
        <v>LIC175.2</v>
      </c>
      <c r="F2165" s="158" t="str">
        <f>+VLOOKUP(H2165,'code mapping'!A:C,3,0)</f>
        <v>LIC17</v>
      </c>
      <c r="G2165" s="127" t="s">
        <v>453</v>
      </c>
      <c r="H2165" s="127" t="s">
        <v>762</v>
      </c>
      <c r="I2165" s="127" t="s">
        <v>226</v>
      </c>
      <c r="J2165" s="128">
        <v>450000</v>
      </c>
      <c r="K2165" s="127" t="s">
        <v>532</v>
      </c>
      <c r="L2165" s="151">
        <v>452230</v>
      </c>
      <c r="M2165" s="128">
        <v>0</v>
      </c>
      <c r="N2165" s="127" t="s">
        <v>538</v>
      </c>
      <c r="O2165" s="127" t="s">
        <v>457</v>
      </c>
      <c r="P2165" s="128">
        <v>0</v>
      </c>
      <c r="Q2165" s="128">
        <v>96971.08</v>
      </c>
      <c r="R2165" s="128">
        <v>0</v>
      </c>
      <c r="S2165" s="128">
        <v>0</v>
      </c>
      <c r="T2165" s="128">
        <v>0</v>
      </c>
      <c r="U2165" s="128">
        <v>96971.08</v>
      </c>
      <c r="V2165" s="128">
        <v>0</v>
      </c>
      <c r="W2165" s="128">
        <v>96971.08</v>
      </c>
      <c r="X2165" s="128">
        <v>0</v>
      </c>
      <c r="Y2165" s="128">
        <v>0</v>
      </c>
      <c r="Z2165" s="128">
        <v>0</v>
      </c>
      <c r="AA2165" s="128">
        <v>96971.08</v>
      </c>
      <c r="AB2165" s="126">
        <f t="shared" si="222"/>
        <v>-9.6971079999999994E-3</v>
      </c>
      <c r="AC2165" s="122" t="s">
        <v>1838</v>
      </c>
      <c r="AD2165" s="123">
        <f t="shared" si="225"/>
        <v>-0.5288382920000001</v>
      </c>
    </row>
    <row r="2166" spans="1:30" ht="12.75" hidden="1" customHeight="1">
      <c r="A2166" s="125" t="str">
        <f t="shared" si="219"/>
        <v>LIC17Misc Income</v>
      </c>
      <c r="B2166" s="125">
        <f>+IFERROR(VLOOKUP(L2166,'TB mapping'!A:D,4,0),0)</f>
        <v>0</v>
      </c>
      <c r="C2166" s="125">
        <f>+IFERROR(VLOOKUP(L2166,'TB mapping'!A:C,3,0),0)</f>
        <v>5.5</v>
      </c>
      <c r="D2166" s="125" t="str">
        <f t="shared" si="220"/>
        <v>LIC170</v>
      </c>
      <c r="E2166" s="125" t="str">
        <f t="shared" si="221"/>
        <v>LIC175.5</v>
      </c>
      <c r="F2166" s="158" t="str">
        <f>+VLOOKUP(H2166,'code mapping'!A:C,3,0)</f>
        <v>LIC17</v>
      </c>
      <c r="G2166" s="127" t="s">
        <v>453</v>
      </c>
      <c r="H2166" s="127" t="s">
        <v>762</v>
      </c>
      <c r="I2166" s="127" t="s">
        <v>226</v>
      </c>
      <c r="J2166" s="128">
        <v>460000</v>
      </c>
      <c r="K2166" s="127" t="s">
        <v>539</v>
      </c>
      <c r="L2166" s="151">
        <v>452233</v>
      </c>
      <c r="M2166" s="128">
        <v>0</v>
      </c>
      <c r="N2166" s="127" t="s">
        <v>706</v>
      </c>
      <c r="O2166" s="127" t="s">
        <v>457</v>
      </c>
      <c r="P2166" s="128">
        <v>0</v>
      </c>
      <c r="Q2166" s="128">
        <v>1761.26</v>
      </c>
      <c r="R2166" s="128">
        <v>0</v>
      </c>
      <c r="S2166" s="128">
        <v>0</v>
      </c>
      <c r="T2166" s="128">
        <v>0</v>
      </c>
      <c r="U2166" s="128">
        <v>1761.26</v>
      </c>
      <c r="V2166" s="128">
        <v>0</v>
      </c>
      <c r="W2166" s="128">
        <v>1761.26</v>
      </c>
      <c r="X2166" s="128">
        <v>0</v>
      </c>
      <c r="Y2166" s="128">
        <v>0</v>
      </c>
      <c r="Z2166" s="128">
        <v>0</v>
      </c>
      <c r="AA2166" s="128">
        <v>1761.26</v>
      </c>
      <c r="AB2166" s="126">
        <f t="shared" si="222"/>
        <v>-1.76126E-4</v>
      </c>
      <c r="AC2166" s="122" t="s">
        <v>1838</v>
      </c>
      <c r="AD2166" s="123">
        <f t="shared" si="225"/>
        <v>-4.017478E-2</v>
      </c>
    </row>
    <row r="2167" spans="1:30" ht="12.75" hidden="1" customHeight="1">
      <c r="A2167" s="125" t="str">
        <f t="shared" si="219"/>
        <v>LIC17Load Income</v>
      </c>
      <c r="B2167" s="125">
        <f>+IFERROR(VLOOKUP(L2167,'TB mapping'!A:D,4,0),0)</f>
        <v>0</v>
      </c>
      <c r="C2167" s="125">
        <f>+IFERROR(VLOOKUP(L2167,'TB mapping'!A:C,3,0),0)</f>
        <v>5.5</v>
      </c>
      <c r="D2167" s="125" t="str">
        <f t="shared" si="220"/>
        <v>LIC170</v>
      </c>
      <c r="E2167" s="125" t="str">
        <f t="shared" si="221"/>
        <v>LIC175.5</v>
      </c>
      <c r="F2167" s="158" t="str">
        <f>+VLOOKUP(H2167,'code mapping'!A:C,3,0)</f>
        <v>LIC17</v>
      </c>
      <c r="G2167" s="127" t="s">
        <v>453</v>
      </c>
      <c r="H2167" s="127" t="s">
        <v>762</v>
      </c>
      <c r="I2167" s="127" t="s">
        <v>226</v>
      </c>
      <c r="J2167" s="128">
        <v>460000</v>
      </c>
      <c r="K2167" s="127" t="s">
        <v>539</v>
      </c>
      <c r="L2167" s="151">
        <v>455103</v>
      </c>
      <c r="M2167" s="128">
        <v>0</v>
      </c>
      <c r="N2167" s="127" t="s">
        <v>540</v>
      </c>
      <c r="O2167" s="127" t="s">
        <v>457</v>
      </c>
      <c r="P2167" s="128">
        <v>0</v>
      </c>
      <c r="Q2167" s="128">
        <v>326537.75</v>
      </c>
      <c r="R2167" s="128">
        <v>0</v>
      </c>
      <c r="S2167" s="128">
        <v>0</v>
      </c>
      <c r="T2167" s="128">
        <v>0</v>
      </c>
      <c r="U2167" s="128">
        <v>326537.75</v>
      </c>
      <c r="V2167" s="128">
        <v>0</v>
      </c>
      <c r="W2167" s="128">
        <v>326537.75</v>
      </c>
      <c r="X2167" s="128">
        <v>0</v>
      </c>
      <c r="Y2167" s="128">
        <v>0</v>
      </c>
      <c r="Z2167" s="128">
        <v>0</v>
      </c>
      <c r="AA2167" s="128">
        <v>326537.75</v>
      </c>
      <c r="AB2167" s="126">
        <f t="shared" si="222"/>
        <v>-3.2653775000000003E-2</v>
      </c>
      <c r="AC2167" s="122" t="s">
        <v>1838</v>
      </c>
      <c r="AD2167" s="123">
        <f t="shared" si="225"/>
        <v>-4.017478E-2</v>
      </c>
    </row>
    <row r="2168" spans="1:30" ht="12.75" hidden="1" customHeight="1">
      <c r="A2168" s="125" t="str">
        <f t="shared" si="219"/>
        <v>LIC17Other Income</v>
      </c>
      <c r="B2168" s="125">
        <f>+IFERROR(VLOOKUP(L2168,'TB mapping'!A:D,4,0),0)</f>
        <v>0</v>
      </c>
      <c r="C2168" s="125">
        <f>+IFERROR(VLOOKUP(L2168,'TB mapping'!A:C,3,0),0)</f>
        <v>5.5</v>
      </c>
      <c r="D2168" s="125" t="str">
        <f t="shared" si="220"/>
        <v>LIC170</v>
      </c>
      <c r="E2168" s="125" t="str">
        <f t="shared" si="221"/>
        <v>LIC175.5</v>
      </c>
      <c r="F2168" s="158" t="str">
        <f>+VLOOKUP(H2168,'code mapping'!A:C,3,0)</f>
        <v>LIC17</v>
      </c>
      <c r="G2168" s="127" t="s">
        <v>453</v>
      </c>
      <c r="H2168" s="127" t="s">
        <v>762</v>
      </c>
      <c r="I2168" s="127" t="s">
        <v>226</v>
      </c>
      <c r="J2168" s="128">
        <v>460000</v>
      </c>
      <c r="K2168" s="127" t="s">
        <v>539</v>
      </c>
      <c r="L2168" s="151">
        <v>460000</v>
      </c>
      <c r="M2168" s="128">
        <v>0</v>
      </c>
      <c r="N2168" s="127" t="s">
        <v>541</v>
      </c>
      <c r="O2168" s="127" t="s">
        <v>457</v>
      </c>
      <c r="P2168" s="128">
        <v>0</v>
      </c>
      <c r="Q2168" s="128">
        <v>73448.790000000008</v>
      </c>
      <c r="R2168" s="128">
        <v>0</v>
      </c>
      <c r="S2168" s="128">
        <v>0</v>
      </c>
      <c r="T2168" s="128">
        <v>0</v>
      </c>
      <c r="U2168" s="128">
        <v>73448.790000000008</v>
      </c>
      <c r="V2168" s="128">
        <v>0</v>
      </c>
      <c r="W2168" s="128">
        <v>73448.790000000008</v>
      </c>
      <c r="X2168" s="128">
        <v>0</v>
      </c>
      <c r="Y2168" s="128">
        <v>0</v>
      </c>
      <c r="Z2168" s="128">
        <v>0</v>
      </c>
      <c r="AA2168" s="128">
        <v>73448.790000000008</v>
      </c>
      <c r="AB2168" s="126">
        <f t="shared" si="222"/>
        <v>-7.3448790000000012E-3</v>
      </c>
      <c r="AC2168" s="122" t="s">
        <v>1838</v>
      </c>
      <c r="AD2168" s="123">
        <f t="shared" si="225"/>
        <v>-4.017478E-2</v>
      </c>
    </row>
    <row r="2169" spans="1:30" ht="12.75" hidden="1" customHeight="1">
      <c r="A2169" s="125" t="str">
        <f t="shared" ref="A2169:A2232" si="226">+F2169&amp;N2169</f>
        <v>LIC17Interplan Adjustment</v>
      </c>
      <c r="B2169" s="125">
        <f>+IFERROR(VLOOKUP(L2169,'TB mapping'!A:D,4,0),0)</f>
        <v>0</v>
      </c>
      <c r="C2169" s="125">
        <f>+IFERROR(VLOOKUP(L2169,'TB mapping'!A:C,3,0),0)</f>
        <v>5.5</v>
      </c>
      <c r="D2169" s="125" t="str">
        <f t="shared" ref="D2169:D2232" si="227">+F2169&amp;B2169</f>
        <v>LIC170</v>
      </c>
      <c r="E2169" s="125" t="str">
        <f t="shared" ref="E2169:E2232" si="228">+F2169&amp;C2169</f>
        <v>LIC175.5</v>
      </c>
      <c r="F2169" s="158" t="str">
        <f>+VLOOKUP(H2169,'code mapping'!A:C,3,0)</f>
        <v>LIC17</v>
      </c>
      <c r="G2169" s="127" t="s">
        <v>453</v>
      </c>
      <c r="H2169" s="127" t="s">
        <v>762</v>
      </c>
      <c r="I2169" s="127" t="s">
        <v>226</v>
      </c>
      <c r="J2169" s="128">
        <v>460000</v>
      </c>
      <c r="K2169" s="127" t="s">
        <v>539</v>
      </c>
      <c r="L2169" s="151">
        <v>460100</v>
      </c>
      <c r="M2169" s="128">
        <v>0</v>
      </c>
      <c r="N2169" s="127" t="s">
        <v>633</v>
      </c>
      <c r="O2169" s="127" t="s">
        <v>457</v>
      </c>
      <c r="P2169" s="128">
        <v>0</v>
      </c>
      <c r="Q2169" s="128">
        <v>761.32</v>
      </c>
      <c r="R2169" s="128">
        <v>0</v>
      </c>
      <c r="S2169" s="128">
        <v>0</v>
      </c>
      <c r="T2169" s="128">
        <v>0</v>
      </c>
      <c r="U2169" s="128">
        <v>761.32</v>
      </c>
      <c r="V2169" s="128">
        <v>0</v>
      </c>
      <c r="W2169" s="128">
        <v>761.32</v>
      </c>
      <c r="X2169" s="128">
        <v>0</v>
      </c>
      <c r="Y2169" s="128">
        <v>0</v>
      </c>
      <c r="Z2169" s="128">
        <v>0</v>
      </c>
      <c r="AA2169" s="128">
        <v>761.32</v>
      </c>
      <c r="AB2169" s="126">
        <f t="shared" ref="AB2169:AB2232" si="229">SUM(-Z2169-AA2169)/10^7</f>
        <v>-7.6132000000000009E-5</v>
      </c>
      <c r="AC2169" s="122" t="s">
        <v>1838</v>
      </c>
      <c r="AD2169" s="123">
        <f t="shared" si="225"/>
        <v>-4.017478E-2</v>
      </c>
    </row>
    <row r="2170" spans="1:30" ht="12.75" hidden="1" customHeight="1">
      <c r="A2170" s="125" t="str">
        <f t="shared" si="226"/>
        <v>LIC17Interplan Adjustment- RG</v>
      </c>
      <c r="B2170" s="125">
        <f>+IFERROR(VLOOKUP(L2170,'TB mapping'!A:D,4,0),0)</f>
        <v>0</v>
      </c>
      <c r="C2170" s="125">
        <f>+IFERROR(VLOOKUP(L2170,'TB mapping'!A:C,3,0),0)</f>
        <v>5.5</v>
      </c>
      <c r="D2170" s="125" t="str">
        <f t="shared" si="227"/>
        <v>LIC170</v>
      </c>
      <c r="E2170" s="125" t="str">
        <f t="shared" si="228"/>
        <v>LIC175.5</v>
      </c>
      <c r="F2170" s="158" t="str">
        <f>+VLOOKUP(H2170,'code mapping'!A:C,3,0)</f>
        <v>LIC17</v>
      </c>
      <c r="G2170" s="127" t="s">
        <v>453</v>
      </c>
      <c r="H2170" s="127" t="s">
        <v>762</v>
      </c>
      <c r="I2170" s="127" t="s">
        <v>226</v>
      </c>
      <c r="J2170" s="128">
        <v>460000</v>
      </c>
      <c r="K2170" s="127" t="s">
        <v>539</v>
      </c>
      <c r="L2170" s="151">
        <v>460101</v>
      </c>
      <c r="M2170" s="128">
        <v>0</v>
      </c>
      <c r="N2170" s="127" t="s">
        <v>542</v>
      </c>
      <c r="O2170" s="127" t="s">
        <v>457</v>
      </c>
      <c r="P2170" s="128">
        <v>0</v>
      </c>
      <c r="Q2170" s="128">
        <v>489.33</v>
      </c>
      <c r="R2170" s="128">
        <v>0</v>
      </c>
      <c r="S2170" s="128">
        <v>0</v>
      </c>
      <c r="T2170" s="128">
        <v>0</v>
      </c>
      <c r="U2170" s="128">
        <v>489.33</v>
      </c>
      <c r="V2170" s="128">
        <v>0</v>
      </c>
      <c r="W2170" s="128">
        <v>489.33</v>
      </c>
      <c r="X2170" s="128">
        <v>0</v>
      </c>
      <c r="Y2170" s="128">
        <v>0</v>
      </c>
      <c r="Z2170" s="128">
        <v>0</v>
      </c>
      <c r="AA2170" s="128">
        <v>489.33</v>
      </c>
      <c r="AB2170" s="126">
        <f t="shared" si="229"/>
        <v>-4.8933000000000001E-5</v>
      </c>
      <c r="AC2170" s="122" t="s">
        <v>1838</v>
      </c>
      <c r="AD2170" s="123">
        <f t="shared" si="225"/>
        <v>-4.017478E-2</v>
      </c>
    </row>
    <row r="2171" spans="1:30" ht="12.75" hidden="1" customHeight="1">
      <c r="A2171" s="125" t="str">
        <f t="shared" si="226"/>
        <v>LIC17Interplan Adjustment- RD</v>
      </c>
      <c r="B2171" s="125">
        <f>+IFERROR(VLOOKUP(L2171,'TB mapping'!A:D,4,0),0)</f>
        <v>0</v>
      </c>
      <c r="C2171" s="125">
        <f>+IFERROR(VLOOKUP(L2171,'TB mapping'!A:C,3,0),0)</f>
        <v>5.5</v>
      </c>
      <c r="D2171" s="125" t="str">
        <f t="shared" si="227"/>
        <v>LIC170</v>
      </c>
      <c r="E2171" s="125" t="str">
        <f t="shared" si="228"/>
        <v>LIC175.5</v>
      </c>
      <c r="F2171" s="158" t="str">
        <f>+VLOOKUP(H2171,'code mapping'!A:C,3,0)</f>
        <v>LIC17</v>
      </c>
      <c r="G2171" s="127" t="s">
        <v>453</v>
      </c>
      <c r="H2171" s="127" t="s">
        <v>762</v>
      </c>
      <c r="I2171" s="127" t="s">
        <v>226</v>
      </c>
      <c r="J2171" s="128">
        <v>460000</v>
      </c>
      <c r="K2171" s="127" t="s">
        <v>539</v>
      </c>
      <c r="L2171" s="151">
        <v>460102</v>
      </c>
      <c r="M2171" s="128">
        <v>0</v>
      </c>
      <c r="N2171" s="127" t="s">
        <v>543</v>
      </c>
      <c r="O2171" s="127" t="s">
        <v>457</v>
      </c>
      <c r="P2171" s="128">
        <v>0</v>
      </c>
      <c r="Q2171" s="128">
        <v>111.63</v>
      </c>
      <c r="R2171" s="128">
        <v>0</v>
      </c>
      <c r="S2171" s="128">
        <v>0</v>
      </c>
      <c r="T2171" s="128">
        <v>0</v>
      </c>
      <c r="U2171" s="128">
        <v>111.63</v>
      </c>
      <c r="V2171" s="128">
        <v>0</v>
      </c>
      <c r="W2171" s="128">
        <v>111.63</v>
      </c>
      <c r="X2171" s="128">
        <v>0</v>
      </c>
      <c r="Y2171" s="128">
        <v>0</v>
      </c>
      <c r="Z2171" s="128">
        <v>0</v>
      </c>
      <c r="AA2171" s="128">
        <v>111.63</v>
      </c>
      <c r="AB2171" s="126">
        <f t="shared" si="229"/>
        <v>-1.1163E-5</v>
      </c>
      <c r="AC2171" s="122" t="s">
        <v>1838</v>
      </c>
      <c r="AD2171" s="123">
        <f t="shared" si="225"/>
        <v>-4.017478E-2</v>
      </c>
    </row>
    <row r="2172" spans="1:30" ht="12.75" hidden="1" customHeight="1">
      <c r="A2172" s="125" t="str">
        <f t="shared" si="226"/>
        <v>LIC17Interplan Adjustment- GDP</v>
      </c>
      <c r="B2172" s="125">
        <f>+IFERROR(VLOOKUP(L2172,'TB mapping'!A:D,4,0),0)</f>
        <v>0</v>
      </c>
      <c r="C2172" s="125">
        <f>+IFERROR(VLOOKUP(L2172,'TB mapping'!A:C,3,0),0)</f>
        <v>5.5</v>
      </c>
      <c r="D2172" s="125" t="str">
        <f t="shared" si="227"/>
        <v>LIC170</v>
      </c>
      <c r="E2172" s="125" t="str">
        <f t="shared" si="228"/>
        <v>LIC175.5</v>
      </c>
      <c r="F2172" s="158" t="str">
        <f>+VLOOKUP(H2172,'code mapping'!A:C,3,0)</f>
        <v>LIC17</v>
      </c>
      <c r="G2172" s="127" t="s">
        <v>453</v>
      </c>
      <c r="H2172" s="127" t="s">
        <v>762</v>
      </c>
      <c r="I2172" s="127" t="s">
        <v>226</v>
      </c>
      <c r="J2172" s="128">
        <v>460000</v>
      </c>
      <c r="K2172" s="127" t="s">
        <v>539</v>
      </c>
      <c r="L2172" s="151">
        <v>460143</v>
      </c>
      <c r="M2172" s="128">
        <v>0</v>
      </c>
      <c r="N2172" s="127" t="s">
        <v>544</v>
      </c>
      <c r="O2172" s="127" t="s">
        <v>457</v>
      </c>
      <c r="P2172" s="128">
        <v>-1367.95</v>
      </c>
      <c r="Q2172" s="128">
        <v>0</v>
      </c>
      <c r="R2172" s="128">
        <v>0</v>
      </c>
      <c r="S2172" s="128">
        <v>0</v>
      </c>
      <c r="T2172" s="128">
        <v>-1367.95</v>
      </c>
      <c r="U2172" s="128">
        <v>0</v>
      </c>
      <c r="V2172" s="128">
        <v>-1367.95</v>
      </c>
      <c r="W2172" s="128">
        <v>0</v>
      </c>
      <c r="X2172" s="128">
        <v>0</v>
      </c>
      <c r="Y2172" s="128">
        <v>0</v>
      </c>
      <c r="Z2172" s="128">
        <v>-1367.95</v>
      </c>
      <c r="AA2172" s="128">
        <v>0</v>
      </c>
      <c r="AB2172" s="126">
        <f t="shared" si="229"/>
        <v>1.3679499999999999E-4</v>
      </c>
      <c r="AC2172" s="122" t="s">
        <v>1838</v>
      </c>
      <c r="AD2172" s="123">
        <f t="shared" si="225"/>
        <v>-4.017478E-2</v>
      </c>
    </row>
    <row r="2173" spans="1:30" ht="12.75" hidden="1" customHeight="1">
      <c r="A2173" s="125" t="str">
        <f t="shared" si="226"/>
        <v>LIC17Interplan Adjustment- DDP</v>
      </c>
      <c r="B2173" s="125">
        <f>+IFERROR(VLOOKUP(L2173,'TB mapping'!A:D,4,0),0)</f>
        <v>0</v>
      </c>
      <c r="C2173" s="125">
        <f>+IFERROR(VLOOKUP(L2173,'TB mapping'!A:C,3,0),0)</f>
        <v>5.5</v>
      </c>
      <c r="D2173" s="125" t="str">
        <f t="shared" si="227"/>
        <v>LIC170</v>
      </c>
      <c r="E2173" s="125" t="str">
        <f t="shared" si="228"/>
        <v>LIC175.5</v>
      </c>
      <c r="F2173" s="158" t="str">
        <f>+VLOOKUP(H2173,'code mapping'!A:C,3,0)</f>
        <v>LIC17</v>
      </c>
      <c r="G2173" s="127" t="s">
        <v>453</v>
      </c>
      <c r="H2173" s="127" t="s">
        <v>762</v>
      </c>
      <c r="I2173" s="127" t="s">
        <v>226</v>
      </c>
      <c r="J2173" s="128">
        <v>460000</v>
      </c>
      <c r="K2173" s="127" t="s">
        <v>539</v>
      </c>
      <c r="L2173" s="151">
        <v>460144</v>
      </c>
      <c r="M2173" s="128">
        <v>0</v>
      </c>
      <c r="N2173" s="127" t="s">
        <v>545</v>
      </c>
      <c r="O2173" s="127" t="s">
        <v>457</v>
      </c>
      <c r="P2173" s="128">
        <v>0</v>
      </c>
      <c r="Q2173" s="128">
        <v>5.67</v>
      </c>
      <c r="R2173" s="128">
        <v>0</v>
      </c>
      <c r="S2173" s="128">
        <v>0</v>
      </c>
      <c r="T2173" s="128">
        <v>0</v>
      </c>
      <c r="U2173" s="128">
        <v>5.67</v>
      </c>
      <c r="V2173" s="128">
        <v>0</v>
      </c>
      <c r="W2173" s="128">
        <v>5.67</v>
      </c>
      <c r="X2173" s="128">
        <v>0</v>
      </c>
      <c r="Y2173" s="128">
        <v>0</v>
      </c>
      <c r="Z2173" s="128">
        <v>0</v>
      </c>
      <c r="AA2173" s="128">
        <v>5.67</v>
      </c>
      <c r="AB2173" s="126">
        <f t="shared" si="229"/>
        <v>-5.6700000000000003E-7</v>
      </c>
      <c r="AC2173" s="122" t="s">
        <v>1838</v>
      </c>
      <c r="AD2173" s="123">
        <f t="shared" si="225"/>
        <v>-4.017478E-2</v>
      </c>
    </row>
    <row r="2174" spans="1:30" ht="12.75" hidden="1" customHeight="1">
      <c r="A2174" s="125" t="str">
        <f t="shared" si="226"/>
        <v>LIC17R/L L/P - Equities</v>
      </c>
      <c r="B2174" s="125">
        <f>+IFERROR(VLOOKUP(L2174,'TB mapping'!A:D,4,0),0)</f>
        <v>0</v>
      </c>
      <c r="C2174" s="125">
        <f>+IFERROR(VLOOKUP(L2174,'TB mapping'!A:C,3,0),0)</f>
        <v>5.3</v>
      </c>
      <c r="D2174" s="125" t="str">
        <f t="shared" si="227"/>
        <v>LIC170</v>
      </c>
      <c r="E2174" s="125" t="str">
        <f t="shared" si="228"/>
        <v>LIC175.3</v>
      </c>
      <c r="F2174" s="158" t="str">
        <f>+VLOOKUP(H2174,'code mapping'!A:C,3,0)</f>
        <v>LIC17</v>
      </c>
      <c r="G2174" s="127" t="s">
        <v>453</v>
      </c>
      <c r="H2174" s="127" t="s">
        <v>762</v>
      </c>
      <c r="I2174" s="127" t="s">
        <v>226</v>
      </c>
      <c r="J2174" s="128">
        <v>510000</v>
      </c>
      <c r="K2174" s="127" t="s">
        <v>546</v>
      </c>
      <c r="L2174" s="151">
        <v>511100</v>
      </c>
      <c r="M2174" s="128">
        <v>0</v>
      </c>
      <c r="N2174" s="127" t="s">
        <v>599</v>
      </c>
      <c r="O2174" s="127" t="s">
        <v>457</v>
      </c>
      <c r="P2174" s="128">
        <v>-83640849.379999995</v>
      </c>
      <c r="Q2174" s="128">
        <v>0</v>
      </c>
      <c r="R2174" s="128">
        <v>0</v>
      </c>
      <c r="S2174" s="128">
        <v>0</v>
      </c>
      <c r="T2174" s="128">
        <v>-83640849.379999995</v>
      </c>
      <c r="U2174" s="128">
        <v>0</v>
      </c>
      <c r="V2174" s="128">
        <v>-83640849.379999995</v>
      </c>
      <c r="W2174" s="128">
        <v>0</v>
      </c>
      <c r="X2174" s="128">
        <v>0</v>
      </c>
      <c r="Y2174" s="128">
        <v>0</v>
      </c>
      <c r="Z2174" s="128">
        <v>-83640849.379999995</v>
      </c>
      <c r="AA2174" s="128">
        <v>0</v>
      </c>
      <c r="AB2174" s="126">
        <f t="shared" si="229"/>
        <v>8.3640849379999995</v>
      </c>
      <c r="AC2174" s="122" t="s">
        <v>1838</v>
      </c>
      <c r="AD2174" s="123">
        <f t="shared" si="225"/>
        <v>-24.577168205000007</v>
      </c>
    </row>
    <row r="2175" spans="1:30" ht="12.75" hidden="1" customHeight="1">
      <c r="A2175" s="125" t="str">
        <f t="shared" si="226"/>
        <v>LIC17SEBI Fees</v>
      </c>
      <c r="B2175" s="125">
        <f>+IFERROR(VLOOKUP(L2175,'TB mapping'!A:D,4,0),0)</f>
        <v>0</v>
      </c>
      <c r="C2175" s="125">
        <f>+IFERROR(VLOOKUP(L2175,'TB mapping'!A:C,3,0),0)</f>
        <v>6.3</v>
      </c>
      <c r="D2175" s="125" t="str">
        <f t="shared" si="227"/>
        <v>LIC170</v>
      </c>
      <c r="E2175" s="125" t="str">
        <f t="shared" si="228"/>
        <v>LIC176.3</v>
      </c>
      <c r="F2175" s="158" t="str">
        <f>+VLOOKUP(H2175,'code mapping'!A:C,3,0)</f>
        <v>LIC17</v>
      </c>
      <c r="G2175" s="127" t="s">
        <v>453</v>
      </c>
      <c r="H2175" s="127" t="s">
        <v>762</v>
      </c>
      <c r="I2175" s="127" t="s">
        <v>226</v>
      </c>
      <c r="J2175" s="128">
        <v>550000</v>
      </c>
      <c r="K2175" s="127" t="s">
        <v>550</v>
      </c>
      <c r="L2175" s="151">
        <v>553007</v>
      </c>
      <c r="M2175" s="128">
        <v>0</v>
      </c>
      <c r="N2175" s="127" t="s">
        <v>551</v>
      </c>
      <c r="O2175" s="127" t="s">
        <v>457</v>
      </c>
      <c r="P2175" s="128">
        <v>-44099.41</v>
      </c>
      <c r="Q2175" s="128">
        <v>0</v>
      </c>
      <c r="R2175" s="128">
        <v>0</v>
      </c>
      <c r="S2175" s="128">
        <v>0</v>
      </c>
      <c r="T2175" s="128">
        <v>-44099.41</v>
      </c>
      <c r="U2175" s="128">
        <v>0</v>
      </c>
      <c r="V2175" s="128">
        <v>-44099.41</v>
      </c>
      <c r="W2175" s="128">
        <v>0</v>
      </c>
      <c r="X2175" s="128">
        <v>0</v>
      </c>
      <c r="Y2175" s="128">
        <v>0</v>
      </c>
      <c r="Z2175" s="128">
        <v>-44099.41</v>
      </c>
      <c r="AA2175" s="128">
        <v>0</v>
      </c>
      <c r="AB2175" s="126">
        <f t="shared" si="229"/>
        <v>4.4099410000000006E-3</v>
      </c>
      <c r="AC2175" s="122" t="s">
        <v>1838</v>
      </c>
      <c r="AD2175" s="123">
        <f t="shared" si="225"/>
        <v>9.2582487190000027</v>
      </c>
    </row>
    <row r="2176" spans="1:30" ht="12.75" hidden="1" customHeight="1">
      <c r="A2176" s="125" t="str">
        <f t="shared" si="226"/>
        <v>LIC17Audit Fee</v>
      </c>
      <c r="B2176" s="125">
        <f>+IFERROR(VLOOKUP(L2176,'TB mapping'!A:D,4,0),0)</f>
        <v>0</v>
      </c>
      <c r="C2176" s="125">
        <f>+IFERROR(VLOOKUP(L2176,'TB mapping'!A:C,3,0),0)</f>
        <v>6.3</v>
      </c>
      <c r="D2176" s="125" t="str">
        <f t="shared" si="227"/>
        <v>LIC170</v>
      </c>
      <c r="E2176" s="125" t="str">
        <f t="shared" si="228"/>
        <v>LIC176.3</v>
      </c>
      <c r="F2176" s="158" t="str">
        <f>+VLOOKUP(H2176,'code mapping'!A:C,3,0)</f>
        <v>LIC17</v>
      </c>
      <c r="G2176" s="127" t="s">
        <v>453</v>
      </c>
      <c r="H2176" s="127" t="s">
        <v>762</v>
      </c>
      <c r="I2176" s="127" t="s">
        <v>226</v>
      </c>
      <c r="J2176" s="128">
        <v>550000</v>
      </c>
      <c r="K2176" s="127" t="s">
        <v>550</v>
      </c>
      <c r="L2176" s="151">
        <v>553105</v>
      </c>
      <c r="M2176" s="128">
        <v>0</v>
      </c>
      <c r="N2176" s="127" t="s">
        <v>552</v>
      </c>
      <c r="O2176" s="127" t="s">
        <v>457</v>
      </c>
      <c r="P2176" s="128">
        <v>-79010.990000000005</v>
      </c>
      <c r="Q2176" s="128">
        <v>0</v>
      </c>
      <c r="R2176" s="128">
        <v>0</v>
      </c>
      <c r="S2176" s="128">
        <v>0</v>
      </c>
      <c r="T2176" s="128">
        <v>-79010.990000000005</v>
      </c>
      <c r="U2176" s="128">
        <v>0</v>
      </c>
      <c r="V2176" s="128">
        <v>-79010.990000000005</v>
      </c>
      <c r="W2176" s="128">
        <v>0</v>
      </c>
      <c r="X2176" s="128">
        <v>0</v>
      </c>
      <c r="Y2176" s="128">
        <v>0</v>
      </c>
      <c r="Z2176" s="128">
        <v>-79010.990000000005</v>
      </c>
      <c r="AA2176" s="128">
        <v>0</v>
      </c>
      <c r="AB2176" s="126">
        <f t="shared" si="229"/>
        <v>7.901099E-3</v>
      </c>
      <c r="AC2176" s="122" t="s">
        <v>1838</v>
      </c>
      <c r="AD2176" s="123">
        <f t="shared" si="225"/>
        <v>9.2582487190000027</v>
      </c>
    </row>
    <row r="2177" spans="1:30" ht="12.75" hidden="1" customHeight="1">
      <c r="A2177" s="125" t="str">
        <f t="shared" si="226"/>
        <v>LIC17Custody Fee</v>
      </c>
      <c r="B2177" s="125">
        <f>+IFERROR(VLOOKUP(L2177,'TB mapping'!A:D,4,0),0)</f>
        <v>0</v>
      </c>
      <c r="C2177" s="125">
        <f>+IFERROR(VLOOKUP(L2177,'TB mapping'!A:C,3,0),0)</f>
        <v>6.3</v>
      </c>
      <c r="D2177" s="125" t="str">
        <f t="shared" si="227"/>
        <v>LIC170</v>
      </c>
      <c r="E2177" s="125" t="str">
        <f t="shared" si="228"/>
        <v>LIC176.3</v>
      </c>
      <c r="F2177" s="158" t="str">
        <f>+VLOOKUP(H2177,'code mapping'!A:C,3,0)</f>
        <v>LIC17</v>
      </c>
      <c r="G2177" s="127" t="s">
        <v>453</v>
      </c>
      <c r="H2177" s="127" t="s">
        <v>762</v>
      </c>
      <c r="I2177" s="127" t="s">
        <v>226</v>
      </c>
      <c r="J2177" s="128">
        <v>550000</v>
      </c>
      <c r="K2177" s="127" t="s">
        <v>550</v>
      </c>
      <c r="L2177" s="151">
        <v>553107</v>
      </c>
      <c r="M2177" s="128">
        <v>0</v>
      </c>
      <c r="N2177" s="127" t="s">
        <v>553</v>
      </c>
      <c r="O2177" s="127" t="s">
        <v>457</v>
      </c>
      <c r="P2177" s="128">
        <v>-1404889.16</v>
      </c>
      <c r="Q2177" s="128">
        <v>0</v>
      </c>
      <c r="R2177" s="128">
        <v>0</v>
      </c>
      <c r="S2177" s="128">
        <v>0</v>
      </c>
      <c r="T2177" s="128">
        <v>-1404889.16</v>
      </c>
      <c r="U2177" s="128">
        <v>0</v>
      </c>
      <c r="V2177" s="128">
        <v>-1404889.16</v>
      </c>
      <c r="W2177" s="128">
        <v>0</v>
      </c>
      <c r="X2177" s="128">
        <v>0</v>
      </c>
      <c r="Y2177" s="128">
        <v>0</v>
      </c>
      <c r="Z2177" s="128">
        <v>-1404889.16</v>
      </c>
      <c r="AA2177" s="128">
        <v>0</v>
      </c>
      <c r="AB2177" s="126">
        <f t="shared" si="229"/>
        <v>0.14048891599999999</v>
      </c>
      <c r="AC2177" s="122" t="s">
        <v>1838</v>
      </c>
      <c r="AD2177" s="123">
        <f t="shared" si="225"/>
        <v>9.2582487190000027</v>
      </c>
    </row>
    <row r="2178" spans="1:30" ht="12.75" hidden="1" customHeight="1">
      <c r="A2178" s="125" t="str">
        <f t="shared" si="226"/>
        <v>LIC17Expense Allocation Account</v>
      </c>
      <c r="B2178" s="125">
        <f>+IFERROR(VLOOKUP(L2178,'TB mapping'!A:D,4,0),0)</f>
        <v>0</v>
      </c>
      <c r="C2178" s="125">
        <f>+IFERROR(VLOOKUP(L2178,'TB mapping'!A:C,3,0),0)</f>
        <v>6.3</v>
      </c>
      <c r="D2178" s="125" t="str">
        <f t="shared" si="227"/>
        <v>LIC170</v>
      </c>
      <c r="E2178" s="125" t="str">
        <f t="shared" si="228"/>
        <v>LIC176.3</v>
      </c>
      <c r="F2178" s="158" t="str">
        <f>+VLOOKUP(H2178,'code mapping'!A:C,3,0)</f>
        <v>LIC17</v>
      </c>
      <c r="G2178" s="127" t="s">
        <v>453</v>
      </c>
      <c r="H2178" s="127" t="s">
        <v>762</v>
      </c>
      <c r="I2178" s="127" t="s">
        <v>226</v>
      </c>
      <c r="J2178" s="128">
        <v>550000</v>
      </c>
      <c r="K2178" s="127" t="s">
        <v>550</v>
      </c>
      <c r="L2178" s="151">
        <v>553111</v>
      </c>
      <c r="M2178" s="128">
        <v>0</v>
      </c>
      <c r="N2178" s="127" t="s">
        <v>554</v>
      </c>
      <c r="O2178" s="127" t="s">
        <v>457</v>
      </c>
      <c r="P2178" s="128">
        <v>0</v>
      </c>
      <c r="Q2178" s="128">
        <v>2976641.01</v>
      </c>
      <c r="R2178" s="128">
        <v>0</v>
      </c>
      <c r="S2178" s="128">
        <v>0</v>
      </c>
      <c r="T2178" s="128">
        <v>0</v>
      </c>
      <c r="U2178" s="128">
        <v>2976641.01</v>
      </c>
      <c r="V2178" s="128">
        <v>0</v>
      </c>
      <c r="W2178" s="128">
        <v>2976641.01</v>
      </c>
      <c r="X2178" s="128">
        <v>0</v>
      </c>
      <c r="Y2178" s="128">
        <v>0</v>
      </c>
      <c r="Z2178" s="128">
        <v>0</v>
      </c>
      <c r="AA2178" s="128">
        <v>2976641.01</v>
      </c>
      <c r="AB2178" s="126">
        <f t="shared" si="229"/>
        <v>-0.29766410099999996</v>
      </c>
      <c r="AC2178" s="122" t="s">
        <v>1838</v>
      </c>
      <c r="AD2178" s="123">
        <f t="shared" si="225"/>
        <v>9.2582487190000027</v>
      </c>
    </row>
    <row r="2179" spans="1:30" ht="12.75" hidden="1" customHeight="1">
      <c r="A2179" s="125" t="str">
        <f t="shared" si="226"/>
        <v>LIC17Trustee Fee</v>
      </c>
      <c r="B2179" s="125">
        <f>+IFERROR(VLOOKUP(L2179,'TB mapping'!A:D,4,0),0)</f>
        <v>6.2</v>
      </c>
      <c r="C2179" s="125">
        <f>+IFERROR(VLOOKUP(L2179,'TB mapping'!A:C,3,0),0)</f>
        <v>6.3</v>
      </c>
      <c r="D2179" s="125" t="str">
        <f t="shared" si="227"/>
        <v>LIC176.2</v>
      </c>
      <c r="E2179" s="125" t="str">
        <f t="shared" si="228"/>
        <v>LIC176.3</v>
      </c>
      <c r="F2179" s="158" t="str">
        <f>+VLOOKUP(H2179,'code mapping'!A:C,3,0)</f>
        <v>LIC17</v>
      </c>
      <c r="G2179" s="127" t="s">
        <v>453</v>
      </c>
      <c r="H2179" s="127" t="s">
        <v>762</v>
      </c>
      <c r="I2179" s="127" t="s">
        <v>226</v>
      </c>
      <c r="J2179" s="128">
        <v>550000</v>
      </c>
      <c r="K2179" s="127" t="s">
        <v>550</v>
      </c>
      <c r="L2179" s="151">
        <v>553131</v>
      </c>
      <c r="M2179" s="128">
        <v>0</v>
      </c>
      <c r="N2179" s="127" t="s">
        <v>555</v>
      </c>
      <c r="O2179" s="127" t="s">
        <v>457</v>
      </c>
      <c r="P2179" s="128">
        <v>-34343.46</v>
      </c>
      <c r="Q2179" s="128">
        <v>0</v>
      </c>
      <c r="R2179" s="128">
        <v>0</v>
      </c>
      <c r="S2179" s="128">
        <v>0</v>
      </c>
      <c r="T2179" s="128">
        <v>-34343.46</v>
      </c>
      <c r="U2179" s="128">
        <v>0</v>
      </c>
      <c r="V2179" s="128">
        <v>-34343.46</v>
      </c>
      <c r="W2179" s="128">
        <v>0</v>
      </c>
      <c r="X2179" s="128">
        <v>0</v>
      </c>
      <c r="Y2179" s="128">
        <v>0</v>
      </c>
      <c r="Z2179" s="128">
        <v>-34343.46</v>
      </c>
      <c r="AA2179" s="128">
        <v>0</v>
      </c>
      <c r="AB2179" s="126">
        <f t="shared" si="229"/>
        <v>3.434346E-3</v>
      </c>
      <c r="AC2179" s="122" t="s">
        <v>1838</v>
      </c>
      <c r="AD2179" s="123">
        <f t="shared" si="225"/>
        <v>9.2582487190000027</v>
      </c>
    </row>
    <row r="2180" spans="1:30" ht="12.75" hidden="1" customHeight="1">
      <c r="A2180" s="125" t="str">
        <f t="shared" si="226"/>
        <v>LIC17Bank Charges</v>
      </c>
      <c r="B2180" s="125">
        <f>+IFERROR(VLOOKUP(L2180,'TB mapping'!A:D,4,0),0)</f>
        <v>0</v>
      </c>
      <c r="C2180" s="125">
        <f>+IFERROR(VLOOKUP(L2180,'TB mapping'!A:C,3,0),0)</f>
        <v>6.3</v>
      </c>
      <c r="D2180" s="125" t="str">
        <f t="shared" si="227"/>
        <v>LIC170</v>
      </c>
      <c r="E2180" s="125" t="str">
        <f t="shared" si="228"/>
        <v>LIC176.3</v>
      </c>
      <c r="F2180" s="158" t="str">
        <f>+VLOOKUP(H2180,'code mapping'!A:C,3,0)</f>
        <v>LIC17</v>
      </c>
      <c r="G2180" s="127" t="s">
        <v>453</v>
      </c>
      <c r="H2180" s="127" t="s">
        <v>762</v>
      </c>
      <c r="I2180" s="127" t="s">
        <v>226</v>
      </c>
      <c r="J2180" s="128">
        <v>550000</v>
      </c>
      <c r="K2180" s="127" t="s">
        <v>550</v>
      </c>
      <c r="L2180" s="151">
        <v>553141</v>
      </c>
      <c r="M2180" s="128">
        <v>0</v>
      </c>
      <c r="N2180" s="127" t="s">
        <v>556</v>
      </c>
      <c r="O2180" s="127" t="s">
        <v>457</v>
      </c>
      <c r="P2180" s="128">
        <v>-193462.75</v>
      </c>
      <c r="Q2180" s="128">
        <v>0</v>
      </c>
      <c r="R2180" s="128">
        <v>0</v>
      </c>
      <c r="S2180" s="128">
        <v>0</v>
      </c>
      <c r="T2180" s="128">
        <v>-193462.75</v>
      </c>
      <c r="U2180" s="128">
        <v>0</v>
      </c>
      <c r="V2180" s="128">
        <v>-193462.75</v>
      </c>
      <c r="W2180" s="128">
        <v>0</v>
      </c>
      <c r="X2180" s="128">
        <v>0</v>
      </c>
      <c r="Y2180" s="128">
        <v>0</v>
      </c>
      <c r="Z2180" s="128">
        <v>-193462.75</v>
      </c>
      <c r="AA2180" s="128">
        <v>0</v>
      </c>
      <c r="AB2180" s="126">
        <f t="shared" si="229"/>
        <v>1.9346275E-2</v>
      </c>
      <c r="AC2180" s="122" t="s">
        <v>1838</v>
      </c>
      <c r="AD2180" s="123">
        <f t="shared" si="225"/>
        <v>9.2582487190000027</v>
      </c>
    </row>
    <row r="2181" spans="1:30" ht="12.75" hidden="1" customHeight="1">
      <c r="A2181" s="125" t="str">
        <f t="shared" si="226"/>
        <v>LIC17Marketing Fees</v>
      </c>
      <c r="B2181" s="125">
        <f>+IFERROR(VLOOKUP(L2181,'TB mapping'!A:D,4,0),0)</f>
        <v>0</v>
      </c>
      <c r="C2181" s="125">
        <f>+IFERROR(VLOOKUP(L2181,'TB mapping'!A:C,3,0),0)</f>
        <v>6.3</v>
      </c>
      <c r="D2181" s="125" t="str">
        <f t="shared" si="227"/>
        <v>LIC170</v>
      </c>
      <c r="E2181" s="125" t="str">
        <f t="shared" si="228"/>
        <v>LIC176.3</v>
      </c>
      <c r="F2181" s="158" t="str">
        <f>+VLOOKUP(H2181,'code mapping'!A:C,3,0)</f>
        <v>LIC17</v>
      </c>
      <c r="G2181" s="127" t="s">
        <v>453</v>
      </c>
      <c r="H2181" s="127" t="s">
        <v>762</v>
      </c>
      <c r="I2181" s="127" t="s">
        <v>226</v>
      </c>
      <c r="J2181" s="128">
        <v>550000</v>
      </c>
      <c r="K2181" s="127" t="s">
        <v>550</v>
      </c>
      <c r="L2181" s="151">
        <v>553147</v>
      </c>
      <c r="M2181" s="128">
        <v>0</v>
      </c>
      <c r="N2181" s="127" t="s">
        <v>712</v>
      </c>
      <c r="O2181" s="127" t="s">
        <v>457</v>
      </c>
      <c r="P2181" s="128">
        <v>-33280.050000000003</v>
      </c>
      <c r="Q2181" s="128">
        <v>0</v>
      </c>
      <c r="R2181" s="128">
        <v>0</v>
      </c>
      <c r="S2181" s="128">
        <v>0</v>
      </c>
      <c r="T2181" s="128">
        <v>-33280.050000000003</v>
      </c>
      <c r="U2181" s="128">
        <v>0</v>
      </c>
      <c r="V2181" s="128">
        <v>-33280.050000000003</v>
      </c>
      <c r="W2181" s="128">
        <v>0</v>
      </c>
      <c r="X2181" s="128">
        <v>0</v>
      </c>
      <c r="Y2181" s="128">
        <v>0</v>
      </c>
      <c r="Z2181" s="128">
        <v>-33280.050000000003</v>
      </c>
      <c r="AA2181" s="128">
        <v>0</v>
      </c>
      <c r="AB2181" s="126">
        <f t="shared" si="229"/>
        <v>3.3280050000000002E-3</v>
      </c>
      <c r="AC2181" s="122" t="s">
        <v>1838</v>
      </c>
      <c r="AD2181" s="123">
        <f t="shared" si="225"/>
        <v>9.2582487190000027</v>
      </c>
    </row>
    <row r="2182" spans="1:30" ht="12.75" hidden="1" customHeight="1">
      <c r="A2182" s="125" t="str">
        <f t="shared" si="226"/>
        <v>LIC17Investor Education Fund Exps</v>
      </c>
      <c r="B2182" s="125">
        <f>+IFERROR(VLOOKUP(L2182,'TB mapping'!A:D,4,0),0)</f>
        <v>0</v>
      </c>
      <c r="C2182" s="125">
        <f>+IFERROR(VLOOKUP(L2182,'TB mapping'!A:C,3,0),0)</f>
        <v>6.3</v>
      </c>
      <c r="D2182" s="125" t="str">
        <f t="shared" si="227"/>
        <v>LIC170</v>
      </c>
      <c r="E2182" s="125" t="str">
        <f t="shared" si="228"/>
        <v>LIC176.3</v>
      </c>
      <c r="F2182" s="158" t="str">
        <f>+VLOOKUP(H2182,'code mapping'!A:C,3,0)</f>
        <v>LIC17</v>
      </c>
      <c r="G2182" s="127" t="s">
        <v>453</v>
      </c>
      <c r="H2182" s="127" t="s">
        <v>762</v>
      </c>
      <c r="I2182" s="127" t="s">
        <v>226</v>
      </c>
      <c r="J2182" s="128">
        <v>550000</v>
      </c>
      <c r="K2182" s="127" t="s">
        <v>550</v>
      </c>
      <c r="L2182" s="151">
        <v>553171</v>
      </c>
      <c r="M2182" s="128">
        <v>0</v>
      </c>
      <c r="N2182" s="127" t="s">
        <v>557</v>
      </c>
      <c r="O2182" s="127" t="s">
        <v>457</v>
      </c>
      <c r="P2182" s="128">
        <v>-354513.38</v>
      </c>
      <c r="Q2182" s="128">
        <v>0</v>
      </c>
      <c r="R2182" s="128">
        <v>0</v>
      </c>
      <c r="S2182" s="128">
        <v>0</v>
      </c>
      <c r="T2182" s="128">
        <v>-354513.38</v>
      </c>
      <c r="U2182" s="128">
        <v>0</v>
      </c>
      <c r="V2182" s="128">
        <v>-354513.38</v>
      </c>
      <c r="W2182" s="128">
        <v>0</v>
      </c>
      <c r="X2182" s="128">
        <v>0</v>
      </c>
      <c r="Y2182" s="128">
        <v>0</v>
      </c>
      <c r="Z2182" s="128">
        <v>-354513.38</v>
      </c>
      <c r="AA2182" s="128">
        <v>0</v>
      </c>
      <c r="AB2182" s="126">
        <f t="shared" si="229"/>
        <v>3.5451337999999999E-2</v>
      </c>
      <c r="AC2182" s="122" t="s">
        <v>1838</v>
      </c>
      <c r="AD2182" s="123">
        <f t="shared" si="225"/>
        <v>9.2582487190000027</v>
      </c>
    </row>
    <row r="2183" spans="1:30" ht="12.75" hidden="1" customHeight="1">
      <c r="A2183" s="125" t="str">
        <f t="shared" si="226"/>
        <v>LIC17Service Tax on Management Fees</v>
      </c>
      <c r="B2183" s="125">
        <f>+IFERROR(VLOOKUP(L2183,'TB mapping'!A:D,4,0),0)</f>
        <v>6.1</v>
      </c>
      <c r="C2183" s="125">
        <f>+IFERROR(VLOOKUP(L2183,'TB mapping'!A:C,3,0),0)</f>
        <v>6.3</v>
      </c>
      <c r="D2183" s="125" t="str">
        <f t="shared" si="227"/>
        <v>LIC176.1</v>
      </c>
      <c r="E2183" s="125" t="str">
        <f t="shared" si="228"/>
        <v>LIC176.3</v>
      </c>
      <c r="F2183" s="158" t="str">
        <f>+VLOOKUP(H2183,'code mapping'!A:C,3,0)</f>
        <v>LIC17</v>
      </c>
      <c r="G2183" s="127" t="s">
        <v>453</v>
      </c>
      <c r="H2183" s="127" t="s">
        <v>762</v>
      </c>
      <c r="I2183" s="127" t="s">
        <v>226</v>
      </c>
      <c r="J2183" s="128">
        <v>550000</v>
      </c>
      <c r="K2183" s="127" t="s">
        <v>550</v>
      </c>
      <c r="L2183" s="151">
        <v>553172</v>
      </c>
      <c r="M2183" s="128">
        <v>0</v>
      </c>
      <c r="N2183" s="127" t="s">
        <v>558</v>
      </c>
      <c r="O2183" s="127" t="s">
        <v>457</v>
      </c>
      <c r="P2183" s="128">
        <v>-1644872.76</v>
      </c>
      <c r="Q2183" s="128">
        <v>0</v>
      </c>
      <c r="R2183" s="128">
        <v>0</v>
      </c>
      <c r="S2183" s="128">
        <v>0</v>
      </c>
      <c r="T2183" s="128">
        <v>-1644872.76</v>
      </c>
      <c r="U2183" s="128">
        <v>0</v>
      </c>
      <c r="V2183" s="128">
        <v>-1644872.76</v>
      </c>
      <c r="W2183" s="128">
        <v>0</v>
      </c>
      <c r="X2183" s="128">
        <v>0</v>
      </c>
      <c r="Y2183" s="128">
        <v>0</v>
      </c>
      <c r="Z2183" s="128">
        <v>-1644872.76</v>
      </c>
      <c r="AA2183" s="128">
        <v>0</v>
      </c>
      <c r="AB2183" s="126">
        <f t="shared" si="229"/>
        <v>0.16448727599999999</v>
      </c>
      <c r="AC2183" s="122" t="s">
        <v>1838</v>
      </c>
      <c r="AD2183" s="123">
        <f t="shared" si="225"/>
        <v>9.2582487190000027</v>
      </c>
    </row>
    <row r="2184" spans="1:30" ht="12.75" hidden="1" customHeight="1">
      <c r="A2184" s="125" t="str">
        <f t="shared" si="226"/>
        <v>LIC17CCIL Expenses</v>
      </c>
      <c r="B2184" s="125">
        <f>+IFERROR(VLOOKUP(L2184,'TB mapping'!A:D,4,0),0)</f>
        <v>0</v>
      </c>
      <c r="C2184" s="125">
        <f>+IFERROR(VLOOKUP(L2184,'TB mapping'!A:C,3,0),0)</f>
        <v>6.3</v>
      </c>
      <c r="D2184" s="125" t="str">
        <f t="shared" si="227"/>
        <v>LIC170</v>
      </c>
      <c r="E2184" s="125" t="str">
        <f t="shared" si="228"/>
        <v>LIC176.3</v>
      </c>
      <c r="F2184" s="158" t="str">
        <f>+VLOOKUP(H2184,'code mapping'!A:C,3,0)</f>
        <v>LIC17</v>
      </c>
      <c r="G2184" s="127" t="s">
        <v>453</v>
      </c>
      <c r="H2184" s="127" t="s">
        <v>762</v>
      </c>
      <c r="I2184" s="127" t="s">
        <v>226</v>
      </c>
      <c r="J2184" s="128">
        <v>550000</v>
      </c>
      <c r="K2184" s="127" t="s">
        <v>550</v>
      </c>
      <c r="L2184" s="151">
        <v>553176</v>
      </c>
      <c r="M2184" s="128">
        <v>0</v>
      </c>
      <c r="N2184" s="127" t="s">
        <v>559</v>
      </c>
      <c r="O2184" s="127" t="s">
        <v>457</v>
      </c>
      <c r="P2184" s="128">
        <v>-25282.27</v>
      </c>
      <c r="Q2184" s="128">
        <v>0</v>
      </c>
      <c r="R2184" s="128">
        <v>0</v>
      </c>
      <c r="S2184" s="128">
        <v>0</v>
      </c>
      <c r="T2184" s="128">
        <v>-25282.27</v>
      </c>
      <c r="U2184" s="128">
        <v>0</v>
      </c>
      <c r="V2184" s="128">
        <v>-25282.27</v>
      </c>
      <c r="W2184" s="128">
        <v>0</v>
      </c>
      <c r="X2184" s="128">
        <v>0</v>
      </c>
      <c r="Y2184" s="128">
        <v>0</v>
      </c>
      <c r="Z2184" s="128">
        <v>-25282.27</v>
      </c>
      <c r="AA2184" s="128">
        <v>0</v>
      </c>
      <c r="AB2184" s="126">
        <f t="shared" si="229"/>
        <v>2.5282270000000001E-3</v>
      </c>
      <c r="AC2184" s="122" t="s">
        <v>1838</v>
      </c>
      <c r="AD2184" s="123">
        <f t="shared" si="225"/>
        <v>9.2582487190000027</v>
      </c>
    </row>
    <row r="2185" spans="1:30" ht="12.75" hidden="1" customHeight="1">
      <c r="A2185" s="125" t="str">
        <f t="shared" si="226"/>
        <v>LIC17Out of Pocket Expenses - R&amp;T</v>
      </c>
      <c r="B2185" s="125">
        <f>+IFERROR(VLOOKUP(L2185,'TB mapping'!A:D,4,0),0)</f>
        <v>0</v>
      </c>
      <c r="C2185" s="125">
        <f>+IFERROR(VLOOKUP(L2185,'TB mapping'!A:C,3,0),0)</f>
        <v>6.3</v>
      </c>
      <c r="D2185" s="125" t="str">
        <f t="shared" si="227"/>
        <v>LIC170</v>
      </c>
      <c r="E2185" s="125" t="str">
        <f t="shared" si="228"/>
        <v>LIC176.3</v>
      </c>
      <c r="F2185" s="158" t="str">
        <f>+VLOOKUP(H2185,'code mapping'!A:C,3,0)</f>
        <v>LIC17</v>
      </c>
      <c r="G2185" s="127" t="s">
        <v>453</v>
      </c>
      <c r="H2185" s="127" t="s">
        <v>762</v>
      </c>
      <c r="I2185" s="127" t="s">
        <v>226</v>
      </c>
      <c r="J2185" s="128">
        <v>550000</v>
      </c>
      <c r="K2185" s="127" t="s">
        <v>550</v>
      </c>
      <c r="L2185" s="151">
        <v>553180</v>
      </c>
      <c r="M2185" s="128">
        <v>0</v>
      </c>
      <c r="N2185" s="127" t="s">
        <v>560</v>
      </c>
      <c r="O2185" s="127" t="s">
        <v>457</v>
      </c>
      <c r="P2185" s="128">
        <v>-508193.72</v>
      </c>
      <c r="Q2185" s="128">
        <v>0</v>
      </c>
      <c r="R2185" s="128">
        <v>0</v>
      </c>
      <c r="S2185" s="128">
        <v>0</v>
      </c>
      <c r="T2185" s="128">
        <v>-508193.72</v>
      </c>
      <c r="U2185" s="128">
        <v>0</v>
      </c>
      <c r="V2185" s="128">
        <v>-508193.72</v>
      </c>
      <c r="W2185" s="128">
        <v>0</v>
      </c>
      <c r="X2185" s="128">
        <v>0</v>
      </c>
      <c r="Y2185" s="128">
        <v>0</v>
      </c>
      <c r="Z2185" s="128">
        <v>-508193.72</v>
      </c>
      <c r="AA2185" s="128">
        <v>0</v>
      </c>
      <c r="AB2185" s="126">
        <f t="shared" si="229"/>
        <v>5.0819371999999995E-2</v>
      </c>
      <c r="AC2185" s="122" t="s">
        <v>1838</v>
      </c>
      <c r="AD2185" s="123">
        <f t="shared" si="225"/>
        <v>9.2582487190000027</v>
      </c>
    </row>
    <row r="2186" spans="1:30" ht="12.75" hidden="1" customHeight="1">
      <c r="A2186" s="125" t="str">
        <f t="shared" si="226"/>
        <v>LIC17Other Expenses</v>
      </c>
      <c r="B2186" s="125">
        <f>+IFERROR(VLOOKUP(L2186,'TB mapping'!A:D,4,0),0)</f>
        <v>0</v>
      </c>
      <c r="C2186" s="125">
        <f>+IFERROR(VLOOKUP(L2186,'TB mapping'!A:C,3,0),0)</f>
        <v>6.3</v>
      </c>
      <c r="D2186" s="125" t="str">
        <f t="shared" si="227"/>
        <v>LIC170</v>
      </c>
      <c r="E2186" s="125" t="str">
        <f t="shared" si="228"/>
        <v>LIC176.3</v>
      </c>
      <c r="F2186" s="158" t="str">
        <f>+VLOOKUP(H2186,'code mapping'!A:C,3,0)</f>
        <v>LIC17</v>
      </c>
      <c r="G2186" s="127" t="s">
        <v>453</v>
      </c>
      <c r="H2186" s="127" t="s">
        <v>762</v>
      </c>
      <c r="I2186" s="127" t="s">
        <v>226</v>
      </c>
      <c r="J2186" s="128">
        <v>550000</v>
      </c>
      <c r="K2186" s="127" t="s">
        <v>550</v>
      </c>
      <c r="L2186" s="151">
        <v>553190</v>
      </c>
      <c r="M2186" s="128">
        <v>0</v>
      </c>
      <c r="N2186" s="127" t="s">
        <v>561</v>
      </c>
      <c r="O2186" s="127" t="s">
        <v>457</v>
      </c>
      <c r="P2186" s="128">
        <v>0</v>
      </c>
      <c r="Q2186" s="128">
        <v>1693213.22</v>
      </c>
      <c r="R2186" s="128">
        <v>0</v>
      </c>
      <c r="S2186" s="128">
        <v>0</v>
      </c>
      <c r="T2186" s="128">
        <v>0</v>
      </c>
      <c r="U2186" s="128">
        <v>1693213.22</v>
      </c>
      <c r="V2186" s="128">
        <v>0</v>
      </c>
      <c r="W2186" s="128">
        <v>1693213.22</v>
      </c>
      <c r="X2186" s="128">
        <v>0</v>
      </c>
      <c r="Y2186" s="128">
        <v>0</v>
      </c>
      <c r="Z2186" s="128">
        <v>0</v>
      </c>
      <c r="AA2186" s="128">
        <v>1693213.22</v>
      </c>
      <c r="AB2186" s="126">
        <f t="shared" si="229"/>
        <v>-0.169321322</v>
      </c>
      <c r="AC2186" s="122" t="s">
        <v>1838</v>
      </c>
      <c r="AD2186" s="123">
        <f t="shared" si="225"/>
        <v>9.2582487190000027</v>
      </c>
    </row>
    <row r="2187" spans="1:30" ht="12.75" hidden="1" customHeight="1">
      <c r="A2187" s="125" t="str">
        <f t="shared" si="226"/>
        <v>LIC17Other Expenses-RG</v>
      </c>
      <c r="B2187" s="125">
        <f>+IFERROR(VLOOKUP(L2187,'TB mapping'!A:D,4,0),0)</f>
        <v>0</v>
      </c>
      <c r="C2187" s="125">
        <f>+IFERROR(VLOOKUP(L2187,'TB mapping'!A:C,3,0),0)</f>
        <v>6.3</v>
      </c>
      <c r="D2187" s="125" t="str">
        <f t="shared" si="227"/>
        <v>LIC170</v>
      </c>
      <c r="E2187" s="125" t="str">
        <f t="shared" si="228"/>
        <v>LIC176.3</v>
      </c>
      <c r="F2187" s="158" t="str">
        <f>+VLOOKUP(H2187,'code mapping'!A:C,3,0)</f>
        <v>LIC17</v>
      </c>
      <c r="G2187" s="127" t="s">
        <v>453</v>
      </c>
      <c r="H2187" s="127" t="s">
        <v>762</v>
      </c>
      <c r="I2187" s="127" t="s">
        <v>226</v>
      </c>
      <c r="J2187" s="128">
        <v>550000</v>
      </c>
      <c r="K2187" s="127" t="s">
        <v>550</v>
      </c>
      <c r="L2187" s="151">
        <v>553191</v>
      </c>
      <c r="M2187" s="128">
        <v>0</v>
      </c>
      <c r="N2187" s="127" t="s">
        <v>562</v>
      </c>
      <c r="O2187" s="127" t="s">
        <v>457</v>
      </c>
      <c r="P2187" s="128">
        <v>-4029916.58</v>
      </c>
      <c r="Q2187" s="128">
        <v>0</v>
      </c>
      <c r="R2187" s="128">
        <v>0</v>
      </c>
      <c r="S2187" s="128">
        <v>0</v>
      </c>
      <c r="T2187" s="128">
        <v>-4029916.58</v>
      </c>
      <c r="U2187" s="128">
        <v>0</v>
      </c>
      <c r="V2187" s="128">
        <v>-4029916.58</v>
      </c>
      <c r="W2187" s="128">
        <v>0</v>
      </c>
      <c r="X2187" s="128">
        <v>0</v>
      </c>
      <c r="Y2187" s="128">
        <v>0</v>
      </c>
      <c r="Z2187" s="128">
        <v>-4029916.58</v>
      </c>
      <c r="AA2187" s="128">
        <v>0</v>
      </c>
      <c r="AB2187" s="126">
        <f t="shared" si="229"/>
        <v>0.40299165800000003</v>
      </c>
      <c r="AC2187" s="122" t="s">
        <v>1838</v>
      </c>
      <c r="AD2187" s="123">
        <f t="shared" si="225"/>
        <v>9.2582487190000027</v>
      </c>
    </row>
    <row r="2188" spans="1:30" ht="12.75" hidden="1" customHeight="1">
      <c r="A2188" s="125" t="str">
        <f t="shared" si="226"/>
        <v>LIC17Other Expenses-RD</v>
      </c>
      <c r="B2188" s="125">
        <f>+IFERROR(VLOOKUP(L2188,'TB mapping'!A:D,4,0),0)</f>
        <v>0</v>
      </c>
      <c r="C2188" s="125">
        <f>+IFERROR(VLOOKUP(L2188,'TB mapping'!A:C,3,0),0)</f>
        <v>6.3</v>
      </c>
      <c r="D2188" s="125" t="str">
        <f t="shared" si="227"/>
        <v>LIC170</v>
      </c>
      <c r="E2188" s="125" t="str">
        <f t="shared" si="228"/>
        <v>LIC176.3</v>
      </c>
      <c r="F2188" s="158" t="str">
        <f>+VLOOKUP(H2188,'code mapping'!A:C,3,0)</f>
        <v>LIC17</v>
      </c>
      <c r="G2188" s="127" t="s">
        <v>453</v>
      </c>
      <c r="H2188" s="127" t="s">
        <v>762</v>
      </c>
      <c r="I2188" s="127" t="s">
        <v>226</v>
      </c>
      <c r="J2188" s="128">
        <v>550000</v>
      </c>
      <c r="K2188" s="127" t="s">
        <v>550</v>
      </c>
      <c r="L2188" s="151">
        <v>553192</v>
      </c>
      <c r="M2188" s="128">
        <v>0</v>
      </c>
      <c r="N2188" s="127" t="s">
        <v>563</v>
      </c>
      <c r="O2188" s="127" t="s">
        <v>457</v>
      </c>
      <c r="P2188" s="128">
        <v>-448215.19</v>
      </c>
      <c r="Q2188" s="128">
        <v>0</v>
      </c>
      <c r="R2188" s="128">
        <v>0</v>
      </c>
      <c r="S2188" s="128">
        <v>0</v>
      </c>
      <c r="T2188" s="128">
        <v>-448215.19</v>
      </c>
      <c r="U2188" s="128">
        <v>0</v>
      </c>
      <c r="V2188" s="128">
        <v>-448215.19</v>
      </c>
      <c r="W2188" s="128">
        <v>0</v>
      </c>
      <c r="X2188" s="128">
        <v>0</v>
      </c>
      <c r="Y2188" s="128">
        <v>0</v>
      </c>
      <c r="Z2188" s="128">
        <v>-448215.19</v>
      </c>
      <c r="AA2188" s="128">
        <v>0</v>
      </c>
      <c r="AB2188" s="126">
        <f t="shared" si="229"/>
        <v>4.4821518999999997E-2</v>
      </c>
      <c r="AC2188" s="122" t="s">
        <v>1838</v>
      </c>
      <c r="AD2188" s="123">
        <f t="shared" si="225"/>
        <v>9.2582487190000027</v>
      </c>
    </row>
    <row r="2189" spans="1:30" ht="12.75" hidden="1" customHeight="1">
      <c r="A2189" s="125" t="str">
        <f t="shared" si="226"/>
        <v>LIC17Other Exp - Brok - Indirect</v>
      </c>
      <c r="B2189" s="125">
        <f>+IFERROR(VLOOKUP(L2189,'TB mapping'!A:D,4,0),0)</f>
        <v>0</v>
      </c>
      <c r="C2189" s="125">
        <f>+IFERROR(VLOOKUP(L2189,'TB mapping'!A:C,3,0),0)</f>
        <v>6.3</v>
      </c>
      <c r="D2189" s="125" t="str">
        <f t="shared" si="227"/>
        <v>LIC170</v>
      </c>
      <c r="E2189" s="125" t="str">
        <f t="shared" si="228"/>
        <v>LIC176.3</v>
      </c>
      <c r="F2189" s="158" t="str">
        <f>+VLOOKUP(H2189,'code mapping'!A:C,3,0)</f>
        <v>LIC17</v>
      </c>
      <c r="G2189" s="127" t="s">
        <v>453</v>
      </c>
      <c r="H2189" s="127" t="s">
        <v>762</v>
      </c>
      <c r="I2189" s="127" t="s">
        <v>226</v>
      </c>
      <c r="J2189" s="128">
        <v>550000</v>
      </c>
      <c r="K2189" s="127" t="s">
        <v>550</v>
      </c>
      <c r="L2189" s="151">
        <v>553202</v>
      </c>
      <c r="M2189" s="128">
        <v>0</v>
      </c>
      <c r="N2189" s="127" t="s">
        <v>564</v>
      </c>
      <c r="O2189" s="127" t="s">
        <v>457</v>
      </c>
      <c r="P2189" s="128">
        <v>-13157617.470000001</v>
      </c>
      <c r="Q2189" s="128">
        <v>0</v>
      </c>
      <c r="R2189" s="128">
        <v>0</v>
      </c>
      <c r="S2189" s="128">
        <v>0</v>
      </c>
      <c r="T2189" s="128">
        <v>-13157617.470000001</v>
      </c>
      <c r="U2189" s="128">
        <v>0</v>
      </c>
      <c r="V2189" s="128">
        <v>-13157617.470000001</v>
      </c>
      <c r="W2189" s="128">
        <v>0</v>
      </c>
      <c r="X2189" s="128">
        <v>0</v>
      </c>
      <c r="Y2189" s="128">
        <v>0</v>
      </c>
      <c r="Z2189" s="128">
        <v>-13157617.470000001</v>
      </c>
      <c r="AA2189" s="128">
        <v>0</v>
      </c>
      <c r="AB2189" s="126">
        <f t="shared" si="229"/>
        <v>1.315761747</v>
      </c>
      <c r="AC2189" s="122" t="s">
        <v>1838</v>
      </c>
      <c r="AD2189" s="123">
        <f t="shared" si="225"/>
        <v>9.2582487190000027</v>
      </c>
    </row>
    <row r="2190" spans="1:30" ht="12.75" hidden="1" customHeight="1">
      <c r="A2190" s="125" t="str">
        <f t="shared" si="226"/>
        <v>LIC17Brokerage/Dist Exps</v>
      </c>
      <c r="B2190" s="125">
        <f>+IFERROR(VLOOKUP(L2190,'TB mapping'!A:D,4,0),0)</f>
        <v>0</v>
      </c>
      <c r="C2190" s="125">
        <f>+IFERROR(VLOOKUP(L2190,'TB mapping'!A:C,3,0),0)</f>
        <v>6.3</v>
      </c>
      <c r="D2190" s="125" t="str">
        <f t="shared" si="227"/>
        <v>LIC170</v>
      </c>
      <c r="E2190" s="125" t="str">
        <f t="shared" si="228"/>
        <v>LIC176.3</v>
      </c>
      <c r="F2190" s="158" t="str">
        <f>+VLOOKUP(H2190,'code mapping'!A:C,3,0)</f>
        <v>LIC17</v>
      </c>
      <c r="G2190" s="127" t="s">
        <v>453</v>
      </c>
      <c r="H2190" s="127" t="s">
        <v>762</v>
      </c>
      <c r="I2190" s="127" t="s">
        <v>226</v>
      </c>
      <c r="J2190" s="128">
        <v>550000</v>
      </c>
      <c r="K2190" s="127" t="s">
        <v>550</v>
      </c>
      <c r="L2190" s="151">
        <v>553208</v>
      </c>
      <c r="M2190" s="128">
        <v>0</v>
      </c>
      <c r="N2190" s="127" t="s">
        <v>565</v>
      </c>
      <c r="O2190" s="127" t="s">
        <v>457</v>
      </c>
      <c r="P2190" s="128">
        <v>0</v>
      </c>
      <c r="Q2190" s="128">
        <v>3735976.05</v>
      </c>
      <c r="R2190" s="128">
        <v>0</v>
      </c>
      <c r="S2190" s="128">
        <v>0</v>
      </c>
      <c r="T2190" s="128">
        <v>0</v>
      </c>
      <c r="U2190" s="128">
        <v>3735976.05</v>
      </c>
      <c r="V2190" s="128">
        <v>0</v>
      </c>
      <c r="W2190" s="128">
        <v>3735976.05</v>
      </c>
      <c r="X2190" s="128">
        <v>0</v>
      </c>
      <c r="Y2190" s="128">
        <v>0</v>
      </c>
      <c r="Z2190" s="128">
        <v>0</v>
      </c>
      <c r="AA2190" s="128">
        <v>3735976.05</v>
      </c>
      <c r="AB2190" s="126">
        <f t="shared" si="229"/>
        <v>-0.373597605</v>
      </c>
      <c r="AC2190" s="122" t="s">
        <v>1838</v>
      </c>
      <c r="AD2190" s="123">
        <f t="shared" si="225"/>
        <v>9.2582487190000027</v>
      </c>
    </row>
    <row r="2191" spans="1:30" ht="12.75" hidden="1" customHeight="1">
      <c r="A2191" s="125" t="str">
        <f t="shared" si="226"/>
        <v>LIC17Internal Audit Fee</v>
      </c>
      <c r="B2191" s="125">
        <f>+IFERROR(VLOOKUP(L2191,'TB mapping'!A:D,4,0),0)</f>
        <v>0</v>
      </c>
      <c r="C2191" s="125">
        <f>+IFERROR(VLOOKUP(L2191,'TB mapping'!A:C,3,0),0)</f>
        <v>6.3</v>
      </c>
      <c r="D2191" s="125" t="str">
        <f t="shared" si="227"/>
        <v>LIC170</v>
      </c>
      <c r="E2191" s="125" t="str">
        <f t="shared" si="228"/>
        <v>LIC176.3</v>
      </c>
      <c r="F2191" s="158" t="str">
        <f>+VLOOKUP(H2191,'code mapping'!A:C,3,0)</f>
        <v>LIC17</v>
      </c>
      <c r="G2191" s="127" t="s">
        <v>453</v>
      </c>
      <c r="H2191" s="127" t="s">
        <v>762</v>
      </c>
      <c r="I2191" s="127" t="s">
        <v>226</v>
      </c>
      <c r="J2191" s="128">
        <v>550000</v>
      </c>
      <c r="K2191" s="127" t="s">
        <v>550</v>
      </c>
      <c r="L2191" s="151">
        <v>553213</v>
      </c>
      <c r="M2191" s="128">
        <v>0</v>
      </c>
      <c r="N2191" s="127" t="s">
        <v>566</v>
      </c>
      <c r="O2191" s="127" t="s">
        <v>457</v>
      </c>
      <c r="P2191" s="128">
        <v>-62520.26</v>
      </c>
      <c r="Q2191" s="128">
        <v>0</v>
      </c>
      <c r="R2191" s="128">
        <v>0</v>
      </c>
      <c r="S2191" s="128">
        <v>0</v>
      </c>
      <c r="T2191" s="128">
        <v>-62520.26</v>
      </c>
      <c r="U2191" s="128">
        <v>0</v>
      </c>
      <c r="V2191" s="128">
        <v>-62520.26</v>
      </c>
      <c r="W2191" s="128">
        <v>0</v>
      </c>
      <c r="X2191" s="128">
        <v>0</v>
      </c>
      <c r="Y2191" s="128">
        <v>0</v>
      </c>
      <c r="Z2191" s="128">
        <v>-62520.26</v>
      </c>
      <c r="AA2191" s="128">
        <v>0</v>
      </c>
      <c r="AB2191" s="126">
        <f t="shared" si="229"/>
        <v>6.2520259999999999E-3</v>
      </c>
      <c r="AC2191" s="122" t="s">
        <v>1838</v>
      </c>
      <c r="AD2191" s="123">
        <f t="shared" si="225"/>
        <v>9.2582487190000027</v>
      </c>
    </row>
    <row r="2192" spans="1:30" ht="12.75" hidden="1" customHeight="1">
      <c r="A2192" s="125" t="str">
        <f t="shared" si="226"/>
        <v>LIC17Other Expenses-GDP</v>
      </c>
      <c r="B2192" s="125">
        <f>+IFERROR(VLOOKUP(L2192,'TB mapping'!A:D,4,0),0)</f>
        <v>0</v>
      </c>
      <c r="C2192" s="125">
        <f>+IFERROR(VLOOKUP(L2192,'TB mapping'!A:C,3,0),0)</f>
        <v>6.3</v>
      </c>
      <c r="D2192" s="125" t="str">
        <f t="shared" si="227"/>
        <v>LIC170</v>
      </c>
      <c r="E2192" s="125" t="str">
        <f t="shared" si="228"/>
        <v>LIC176.3</v>
      </c>
      <c r="F2192" s="158" t="str">
        <f>+VLOOKUP(H2192,'code mapping'!A:C,3,0)</f>
        <v>LIC17</v>
      </c>
      <c r="G2192" s="127" t="s">
        <v>453</v>
      </c>
      <c r="H2192" s="127" t="s">
        <v>762</v>
      </c>
      <c r="I2192" s="127" t="s">
        <v>226</v>
      </c>
      <c r="J2192" s="128">
        <v>550000</v>
      </c>
      <c r="K2192" s="127" t="s">
        <v>550</v>
      </c>
      <c r="L2192" s="151">
        <v>553329</v>
      </c>
      <c r="M2192" s="128">
        <v>0</v>
      </c>
      <c r="N2192" s="127" t="s">
        <v>567</v>
      </c>
      <c r="O2192" s="127" t="s">
        <v>457</v>
      </c>
      <c r="P2192" s="128">
        <v>-1410745.81</v>
      </c>
      <c r="Q2192" s="128">
        <v>0</v>
      </c>
      <c r="R2192" s="128">
        <v>0</v>
      </c>
      <c r="S2192" s="128">
        <v>0</v>
      </c>
      <c r="T2192" s="128">
        <v>-1410745.81</v>
      </c>
      <c r="U2192" s="128">
        <v>0</v>
      </c>
      <c r="V2192" s="128">
        <v>-1410745.81</v>
      </c>
      <c r="W2192" s="128">
        <v>0</v>
      </c>
      <c r="X2192" s="128">
        <v>0</v>
      </c>
      <c r="Y2192" s="128">
        <v>0</v>
      </c>
      <c r="Z2192" s="128">
        <v>-1410745.81</v>
      </c>
      <c r="AA2192" s="128">
        <v>0</v>
      </c>
      <c r="AB2192" s="126">
        <f t="shared" si="229"/>
        <v>0.141074581</v>
      </c>
      <c r="AC2192" s="122" t="s">
        <v>1838</v>
      </c>
      <c r="AD2192" s="123">
        <f t="shared" si="225"/>
        <v>9.2582487190000027</v>
      </c>
    </row>
    <row r="2193" spans="1:30" ht="12.75" hidden="1" customHeight="1">
      <c r="A2193" s="125" t="str">
        <f t="shared" si="226"/>
        <v>LIC17Other Expenses-DDP</v>
      </c>
      <c r="B2193" s="125">
        <f>+IFERROR(VLOOKUP(L2193,'TB mapping'!A:D,4,0),0)</f>
        <v>0</v>
      </c>
      <c r="C2193" s="125">
        <f>+IFERROR(VLOOKUP(L2193,'TB mapping'!A:C,3,0),0)</f>
        <v>6.3</v>
      </c>
      <c r="D2193" s="125" t="str">
        <f t="shared" si="227"/>
        <v>LIC170</v>
      </c>
      <c r="E2193" s="125" t="str">
        <f t="shared" si="228"/>
        <v>LIC176.3</v>
      </c>
      <c r="F2193" s="158" t="str">
        <f>+VLOOKUP(H2193,'code mapping'!A:C,3,0)</f>
        <v>LIC17</v>
      </c>
      <c r="G2193" s="127" t="s">
        <v>453</v>
      </c>
      <c r="H2193" s="127" t="s">
        <v>762</v>
      </c>
      <c r="I2193" s="127" t="s">
        <v>226</v>
      </c>
      <c r="J2193" s="128">
        <v>550000</v>
      </c>
      <c r="K2193" s="127" t="s">
        <v>550</v>
      </c>
      <c r="L2193" s="151">
        <v>553330</v>
      </c>
      <c r="M2193" s="128">
        <v>0</v>
      </c>
      <c r="N2193" s="127" t="s">
        <v>568</v>
      </c>
      <c r="O2193" s="127" t="s">
        <v>457</v>
      </c>
      <c r="P2193" s="128">
        <v>-24562.54</v>
      </c>
      <c r="Q2193" s="128">
        <v>0</v>
      </c>
      <c r="R2193" s="128">
        <v>0</v>
      </c>
      <c r="S2193" s="128">
        <v>0</v>
      </c>
      <c r="T2193" s="128">
        <v>-24562.54</v>
      </c>
      <c r="U2193" s="128">
        <v>0</v>
      </c>
      <c r="V2193" s="128">
        <v>-24562.54</v>
      </c>
      <c r="W2193" s="128">
        <v>0</v>
      </c>
      <c r="X2193" s="128">
        <v>0</v>
      </c>
      <c r="Y2193" s="128">
        <v>0</v>
      </c>
      <c r="Z2193" s="128">
        <v>-24562.54</v>
      </c>
      <c r="AA2193" s="128">
        <v>0</v>
      </c>
      <c r="AB2193" s="126">
        <f t="shared" si="229"/>
        <v>2.4562540000000002E-3</v>
      </c>
      <c r="AC2193" s="122" t="s">
        <v>1838</v>
      </c>
      <c r="AD2193" s="123">
        <f t="shared" si="225"/>
        <v>9.2582487190000027</v>
      </c>
    </row>
    <row r="2194" spans="1:30" ht="12.75" hidden="1" customHeight="1">
      <c r="A2194" s="125" t="str">
        <f t="shared" si="226"/>
        <v>LIC17Exp-Additional TER</v>
      </c>
      <c r="B2194" s="125">
        <f>+IFERROR(VLOOKUP(L2194,'TB mapping'!A:D,4,0),0)</f>
        <v>0</v>
      </c>
      <c r="C2194" s="125">
        <f>+IFERROR(VLOOKUP(L2194,'TB mapping'!A:C,3,0),0)</f>
        <v>6.3</v>
      </c>
      <c r="D2194" s="125" t="str">
        <f t="shared" si="227"/>
        <v>LIC170</v>
      </c>
      <c r="E2194" s="125" t="str">
        <f t="shared" si="228"/>
        <v>LIC176.3</v>
      </c>
      <c r="F2194" s="158" t="str">
        <f>+VLOOKUP(H2194,'code mapping'!A:C,3,0)</f>
        <v>LIC17</v>
      </c>
      <c r="G2194" s="127" t="s">
        <v>453</v>
      </c>
      <c r="H2194" s="127" t="s">
        <v>762</v>
      </c>
      <c r="I2194" s="127" t="s">
        <v>226</v>
      </c>
      <c r="J2194" s="128">
        <v>550000</v>
      </c>
      <c r="K2194" s="127" t="s">
        <v>550</v>
      </c>
      <c r="L2194" s="151">
        <v>553900</v>
      </c>
      <c r="M2194" s="128">
        <v>0</v>
      </c>
      <c r="N2194" s="127" t="s">
        <v>638</v>
      </c>
      <c r="O2194" s="127" t="s">
        <v>457</v>
      </c>
      <c r="P2194" s="128">
        <v>-1511510.24</v>
      </c>
      <c r="Q2194" s="128">
        <v>0</v>
      </c>
      <c r="R2194" s="128">
        <v>0</v>
      </c>
      <c r="S2194" s="128">
        <v>0</v>
      </c>
      <c r="T2194" s="128">
        <v>-1511510.24</v>
      </c>
      <c r="U2194" s="128">
        <v>0</v>
      </c>
      <c r="V2194" s="128">
        <v>-1511510.24</v>
      </c>
      <c r="W2194" s="128">
        <v>0</v>
      </c>
      <c r="X2194" s="128">
        <v>0</v>
      </c>
      <c r="Y2194" s="128">
        <v>0</v>
      </c>
      <c r="Z2194" s="128">
        <v>-1511510.24</v>
      </c>
      <c r="AA2194" s="128">
        <v>0</v>
      </c>
      <c r="AB2194" s="126">
        <f t="shared" si="229"/>
        <v>0.15115102399999999</v>
      </c>
      <c r="AC2194" s="122" t="s">
        <v>1838</v>
      </c>
      <c r="AD2194" s="123">
        <f t="shared" si="225"/>
        <v>9.2582487190000027</v>
      </c>
    </row>
    <row r="2195" spans="1:30" ht="12.75" hidden="1" customHeight="1">
      <c r="A2195" s="125" t="str">
        <f t="shared" si="226"/>
        <v>LIC17Inv Educ Fund Expense - Amfi</v>
      </c>
      <c r="B2195" s="125">
        <f>+IFERROR(VLOOKUP(L2195,'TB mapping'!A:D,4,0),0)</f>
        <v>0</v>
      </c>
      <c r="C2195" s="125">
        <f>+IFERROR(VLOOKUP(L2195,'TB mapping'!A:C,3,0),0)</f>
        <v>6.3</v>
      </c>
      <c r="D2195" s="125" t="str">
        <f t="shared" si="227"/>
        <v>LIC170</v>
      </c>
      <c r="E2195" s="125" t="str">
        <f t="shared" si="228"/>
        <v>LIC176.3</v>
      </c>
      <c r="F2195" s="158" t="str">
        <f>+VLOOKUP(H2195,'code mapping'!A:C,3,0)</f>
        <v>LIC17</v>
      </c>
      <c r="G2195" s="127" t="s">
        <v>453</v>
      </c>
      <c r="H2195" s="127" t="s">
        <v>762</v>
      </c>
      <c r="I2195" s="127" t="s">
        <v>226</v>
      </c>
      <c r="J2195" s="128">
        <v>550000</v>
      </c>
      <c r="K2195" s="127" t="s">
        <v>550</v>
      </c>
      <c r="L2195" s="151">
        <v>554526</v>
      </c>
      <c r="M2195" s="128">
        <v>0</v>
      </c>
      <c r="N2195" s="127" t="s">
        <v>569</v>
      </c>
      <c r="O2195" s="127" t="s">
        <v>457</v>
      </c>
      <c r="P2195" s="128">
        <v>-354513.38</v>
      </c>
      <c r="Q2195" s="128">
        <v>0</v>
      </c>
      <c r="R2195" s="128">
        <v>0</v>
      </c>
      <c r="S2195" s="128">
        <v>0</v>
      </c>
      <c r="T2195" s="128">
        <v>-354513.38</v>
      </c>
      <c r="U2195" s="128">
        <v>0</v>
      </c>
      <c r="V2195" s="128">
        <v>-354513.38</v>
      </c>
      <c r="W2195" s="128">
        <v>0</v>
      </c>
      <c r="X2195" s="128">
        <v>0</v>
      </c>
      <c r="Y2195" s="128">
        <v>0</v>
      </c>
      <c r="Z2195" s="128">
        <v>-354513.38</v>
      </c>
      <c r="AA2195" s="128">
        <v>0</v>
      </c>
      <c r="AB2195" s="126">
        <f t="shared" si="229"/>
        <v>3.5451337999999999E-2</v>
      </c>
      <c r="AC2195" s="122" t="s">
        <v>1838</v>
      </c>
      <c r="AD2195" s="123">
        <f t="shared" si="225"/>
        <v>9.2582487190000027</v>
      </c>
    </row>
    <row r="2196" spans="1:30" ht="12.75" hidden="1" customHeight="1">
      <c r="A2196" s="125" t="str">
        <f t="shared" si="226"/>
        <v>LIC17Transaction Processing Charges</v>
      </c>
      <c r="B2196" s="125">
        <f>+IFERROR(VLOOKUP(L2196,'TB mapping'!A:D,4,0),0)</f>
        <v>0</v>
      </c>
      <c r="C2196" s="125">
        <f>+IFERROR(VLOOKUP(L2196,'TB mapping'!A:C,3,0),0)</f>
        <v>6.3</v>
      </c>
      <c r="D2196" s="125" t="str">
        <f t="shared" si="227"/>
        <v>LIC170</v>
      </c>
      <c r="E2196" s="125" t="str">
        <f t="shared" si="228"/>
        <v>LIC176.3</v>
      </c>
      <c r="F2196" s="158" t="str">
        <f>+VLOOKUP(H2196,'code mapping'!A:C,3,0)</f>
        <v>LIC17</v>
      </c>
      <c r="G2196" s="127" t="s">
        <v>453</v>
      </c>
      <c r="H2196" s="127" t="s">
        <v>762</v>
      </c>
      <c r="I2196" s="127" t="s">
        <v>226</v>
      </c>
      <c r="J2196" s="128">
        <v>550000</v>
      </c>
      <c r="K2196" s="127" t="s">
        <v>550</v>
      </c>
      <c r="L2196" s="151">
        <v>554527</v>
      </c>
      <c r="M2196" s="128">
        <v>0</v>
      </c>
      <c r="N2196" s="127" t="s">
        <v>570</v>
      </c>
      <c r="O2196" s="127" t="s">
        <v>457</v>
      </c>
      <c r="P2196" s="128">
        <v>-484</v>
      </c>
      <c r="Q2196" s="128">
        <v>0</v>
      </c>
      <c r="R2196" s="128">
        <v>0</v>
      </c>
      <c r="S2196" s="128">
        <v>0</v>
      </c>
      <c r="T2196" s="128">
        <v>-484</v>
      </c>
      <c r="U2196" s="128">
        <v>0</v>
      </c>
      <c r="V2196" s="128">
        <v>-484</v>
      </c>
      <c r="W2196" s="128">
        <v>0</v>
      </c>
      <c r="X2196" s="128">
        <v>0</v>
      </c>
      <c r="Y2196" s="128">
        <v>0</v>
      </c>
      <c r="Z2196" s="128">
        <v>-484</v>
      </c>
      <c r="AA2196" s="128">
        <v>0</v>
      </c>
      <c r="AB2196" s="126">
        <f t="shared" si="229"/>
        <v>4.8399999999999997E-5</v>
      </c>
      <c r="AC2196" s="122" t="s">
        <v>1838</v>
      </c>
      <c r="AD2196" s="123">
        <f t="shared" si="225"/>
        <v>9.2582487190000027</v>
      </c>
    </row>
    <row r="2197" spans="1:30" ht="12.75" hidden="1" customHeight="1">
      <c r="A2197" s="125" t="str">
        <f t="shared" si="226"/>
        <v>LIC17Client Servicing Expenes</v>
      </c>
      <c r="B2197" s="125">
        <f>+IFERROR(VLOOKUP(L2197,'TB mapping'!A:D,4,0),0)</f>
        <v>0</v>
      </c>
      <c r="C2197" s="125">
        <f>+IFERROR(VLOOKUP(L2197,'TB mapping'!A:C,3,0),0)</f>
        <v>6.3</v>
      </c>
      <c r="D2197" s="125" t="str">
        <f t="shared" si="227"/>
        <v>LIC170</v>
      </c>
      <c r="E2197" s="125" t="str">
        <f t="shared" si="228"/>
        <v>LIC176.3</v>
      </c>
      <c r="F2197" s="158" t="str">
        <f>+VLOOKUP(H2197,'code mapping'!A:C,3,0)</f>
        <v>LIC17</v>
      </c>
      <c r="G2197" s="127" t="s">
        <v>453</v>
      </c>
      <c r="H2197" s="127" t="s">
        <v>762</v>
      </c>
      <c r="I2197" s="127" t="s">
        <v>226</v>
      </c>
      <c r="J2197" s="128">
        <v>550000</v>
      </c>
      <c r="K2197" s="127" t="s">
        <v>550</v>
      </c>
      <c r="L2197" s="151">
        <v>555157</v>
      </c>
      <c r="M2197" s="128">
        <v>0</v>
      </c>
      <c r="N2197" s="127" t="s">
        <v>571</v>
      </c>
      <c r="O2197" s="127" t="s">
        <v>457</v>
      </c>
      <c r="P2197" s="128">
        <v>-9471784.9700000007</v>
      </c>
      <c r="Q2197" s="128">
        <v>0</v>
      </c>
      <c r="R2197" s="128">
        <v>0</v>
      </c>
      <c r="S2197" s="128">
        <v>0</v>
      </c>
      <c r="T2197" s="128">
        <v>-9471784.9700000007</v>
      </c>
      <c r="U2197" s="128">
        <v>0</v>
      </c>
      <c r="V2197" s="128">
        <v>-9471784.9700000007</v>
      </c>
      <c r="W2197" s="128">
        <v>0</v>
      </c>
      <c r="X2197" s="128">
        <v>0</v>
      </c>
      <c r="Y2197" s="128">
        <v>0</v>
      </c>
      <c r="Z2197" s="128">
        <v>-9471784.9700000007</v>
      </c>
      <c r="AA2197" s="128">
        <v>0</v>
      </c>
      <c r="AB2197" s="126">
        <f t="shared" si="229"/>
        <v>0.94717849700000012</v>
      </c>
      <c r="AC2197" s="122" t="s">
        <v>1838</v>
      </c>
      <c r="AD2197" s="123">
        <f t="shared" si="225"/>
        <v>9.2582487190000027</v>
      </c>
    </row>
    <row r="2198" spans="1:30" ht="12.75" hidden="1" customHeight="1">
      <c r="A2198" s="125" t="str">
        <f t="shared" si="226"/>
        <v>LIC17Management Fee-Reclassfication</v>
      </c>
      <c r="B2198" s="125">
        <f>+IFERROR(VLOOKUP(L2198,'TB mapping'!A:D,4,0),0)</f>
        <v>6.1</v>
      </c>
      <c r="C2198" s="125">
        <f>+IFERROR(VLOOKUP(L2198,'TB mapping'!A:C,3,0),0)</f>
        <v>6.3</v>
      </c>
      <c r="D2198" s="125" t="str">
        <f t="shared" si="227"/>
        <v>LIC176.1</v>
      </c>
      <c r="E2198" s="125" t="str">
        <f t="shared" si="228"/>
        <v>LIC176.3</v>
      </c>
      <c r="F2198" s="158" t="str">
        <f>+VLOOKUP(H2198,'code mapping'!A:C,3,0)</f>
        <v>LIC17</v>
      </c>
      <c r="G2198" s="127" t="s">
        <v>453</v>
      </c>
      <c r="H2198" s="127" t="s">
        <v>762</v>
      </c>
      <c r="I2198" s="127" t="s">
        <v>226</v>
      </c>
      <c r="J2198" s="128">
        <v>550000</v>
      </c>
      <c r="K2198" s="127" t="s">
        <v>550</v>
      </c>
      <c r="L2198" s="151">
        <v>555274</v>
      </c>
      <c r="M2198" s="128">
        <v>0</v>
      </c>
      <c r="N2198" s="127" t="s">
        <v>583</v>
      </c>
      <c r="O2198" s="127" t="s">
        <v>457</v>
      </c>
      <c r="P2198" s="128">
        <v>-5084745.66</v>
      </c>
      <c r="Q2198" s="128">
        <v>0</v>
      </c>
      <c r="R2198" s="128">
        <v>0</v>
      </c>
      <c r="S2198" s="128">
        <v>0</v>
      </c>
      <c r="T2198" s="128">
        <v>-5084745.66</v>
      </c>
      <c r="U2198" s="128">
        <v>0</v>
      </c>
      <c r="V2198" s="128">
        <v>-5084745.66</v>
      </c>
      <c r="W2198" s="128">
        <v>0</v>
      </c>
      <c r="X2198" s="128">
        <v>0</v>
      </c>
      <c r="Y2198" s="128">
        <v>0</v>
      </c>
      <c r="Z2198" s="128">
        <v>-5084745.66</v>
      </c>
      <c r="AA2198" s="128">
        <v>0</v>
      </c>
      <c r="AB2198" s="126">
        <f t="shared" si="229"/>
        <v>0.50847456599999996</v>
      </c>
      <c r="AC2198" s="122" t="s">
        <v>1838</v>
      </c>
      <c r="AD2198" s="123">
        <f t="shared" si="225"/>
        <v>9.2582487190000027</v>
      </c>
    </row>
    <row r="2199" spans="1:30" ht="12.75" hidden="1" customHeight="1">
      <c r="A2199" s="125" t="str">
        <f t="shared" si="226"/>
        <v>LIC17CGST on Reclassify of Exp</v>
      </c>
      <c r="B2199" s="125">
        <f>+IFERROR(VLOOKUP(L2199,'TB mapping'!A:D,4,0),0)</f>
        <v>0</v>
      </c>
      <c r="C2199" s="125">
        <f>+IFERROR(VLOOKUP(L2199,'TB mapping'!A:C,3,0),0)</f>
        <v>6.3</v>
      </c>
      <c r="D2199" s="125" t="str">
        <f t="shared" si="227"/>
        <v>LIC170</v>
      </c>
      <c r="E2199" s="125" t="str">
        <f t="shared" si="228"/>
        <v>LIC176.3</v>
      </c>
      <c r="F2199" s="158" t="str">
        <f>+VLOOKUP(H2199,'code mapping'!A:C,3,0)</f>
        <v>LIC17</v>
      </c>
      <c r="G2199" s="127" t="s">
        <v>453</v>
      </c>
      <c r="H2199" s="127" t="s">
        <v>762</v>
      </c>
      <c r="I2199" s="127" t="s">
        <v>226</v>
      </c>
      <c r="J2199" s="128">
        <v>550000</v>
      </c>
      <c r="K2199" s="127" t="s">
        <v>550</v>
      </c>
      <c r="L2199" s="151">
        <v>555276</v>
      </c>
      <c r="M2199" s="128">
        <v>0</v>
      </c>
      <c r="N2199" s="127" t="s">
        <v>572</v>
      </c>
      <c r="O2199" s="127" t="s">
        <v>457</v>
      </c>
      <c r="P2199" s="128">
        <v>-30508.48</v>
      </c>
      <c r="Q2199" s="128">
        <v>0</v>
      </c>
      <c r="R2199" s="128">
        <v>0</v>
      </c>
      <c r="S2199" s="128">
        <v>0</v>
      </c>
      <c r="T2199" s="128">
        <v>-30508.48</v>
      </c>
      <c r="U2199" s="128">
        <v>0</v>
      </c>
      <c r="V2199" s="128">
        <v>-30508.48</v>
      </c>
      <c r="W2199" s="128">
        <v>0</v>
      </c>
      <c r="X2199" s="128">
        <v>0</v>
      </c>
      <c r="Y2199" s="128">
        <v>0</v>
      </c>
      <c r="Z2199" s="128">
        <v>-30508.48</v>
      </c>
      <c r="AA2199" s="128">
        <v>0</v>
      </c>
      <c r="AB2199" s="126">
        <f t="shared" si="229"/>
        <v>3.0508480000000001E-3</v>
      </c>
      <c r="AC2199" s="122" t="s">
        <v>1838</v>
      </c>
      <c r="AD2199" s="123">
        <f t="shared" si="225"/>
        <v>9.2582487190000027</v>
      </c>
    </row>
    <row r="2200" spans="1:30" ht="12.75" hidden="1" customHeight="1">
      <c r="A2200" s="125" t="str">
        <f t="shared" si="226"/>
        <v>LIC17SGST on Reclassify of Exp</v>
      </c>
      <c r="B2200" s="125">
        <f>+IFERROR(VLOOKUP(L2200,'TB mapping'!A:D,4,0),0)</f>
        <v>0</v>
      </c>
      <c r="C2200" s="125">
        <f>+IFERROR(VLOOKUP(L2200,'TB mapping'!A:C,3,0),0)</f>
        <v>6.3</v>
      </c>
      <c r="D2200" s="125" t="str">
        <f t="shared" si="227"/>
        <v>LIC170</v>
      </c>
      <c r="E2200" s="125" t="str">
        <f t="shared" si="228"/>
        <v>LIC176.3</v>
      </c>
      <c r="F2200" s="158" t="str">
        <f>+VLOOKUP(H2200,'code mapping'!A:C,3,0)</f>
        <v>LIC17</v>
      </c>
      <c r="G2200" s="127" t="s">
        <v>453</v>
      </c>
      <c r="H2200" s="127" t="s">
        <v>762</v>
      </c>
      <c r="I2200" s="127" t="s">
        <v>226</v>
      </c>
      <c r="J2200" s="128">
        <v>550000</v>
      </c>
      <c r="K2200" s="127" t="s">
        <v>550</v>
      </c>
      <c r="L2200" s="151">
        <v>555277</v>
      </c>
      <c r="M2200" s="128">
        <v>0</v>
      </c>
      <c r="N2200" s="127" t="s">
        <v>573</v>
      </c>
      <c r="O2200" s="127" t="s">
        <v>457</v>
      </c>
      <c r="P2200" s="128">
        <v>-30508.48</v>
      </c>
      <c r="Q2200" s="128">
        <v>0</v>
      </c>
      <c r="R2200" s="128">
        <v>0</v>
      </c>
      <c r="S2200" s="128">
        <v>0</v>
      </c>
      <c r="T2200" s="128">
        <v>-30508.48</v>
      </c>
      <c r="U2200" s="128">
        <v>0</v>
      </c>
      <c r="V2200" s="128">
        <v>-30508.48</v>
      </c>
      <c r="W2200" s="128">
        <v>0</v>
      </c>
      <c r="X2200" s="128">
        <v>0</v>
      </c>
      <c r="Y2200" s="128">
        <v>0</v>
      </c>
      <c r="Z2200" s="128">
        <v>-30508.48</v>
      </c>
      <c r="AA2200" s="128">
        <v>0</v>
      </c>
      <c r="AB2200" s="126">
        <f t="shared" si="229"/>
        <v>3.0508480000000001E-3</v>
      </c>
      <c r="AC2200" s="122" t="s">
        <v>1838</v>
      </c>
      <c r="AD2200" s="123">
        <f t="shared" si="225"/>
        <v>9.2582487190000027</v>
      </c>
    </row>
    <row r="2201" spans="1:30" ht="12.75" hidden="1" customHeight="1">
      <c r="A2201" s="125" t="str">
        <f t="shared" si="226"/>
        <v>LIC17Other Expense-Reclassfication</v>
      </c>
      <c r="B2201" s="125">
        <f>+IFERROR(VLOOKUP(L2201,'TB mapping'!A:D,4,0),0)</f>
        <v>0</v>
      </c>
      <c r="C2201" s="125">
        <f>+IFERROR(VLOOKUP(L2201,'TB mapping'!A:C,3,0),0)</f>
        <v>0</v>
      </c>
      <c r="D2201" s="125" t="str">
        <f t="shared" si="227"/>
        <v>LIC170</v>
      </c>
      <c r="E2201" s="125" t="str">
        <f t="shared" si="228"/>
        <v>LIC170</v>
      </c>
      <c r="F2201" s="158" t="str">
        <f>+VLOOKUP(H2201,'code mapping'!A:C,3,0)</f>
        <v>LIC17</v>
      </c>
      <c r="G2201" s="127" t="s">
        <v>453</v>
      </c>
      <c r="H2201" s="127" t="s">
        <v>762</v>
      </c>
      <c r="I2201" s="127" t="s">
        <v>226</v>
      </c>
      <c r="J2201" s="128">
        <v>550000</v>
      </c>
      <c r="K2201" s="127" t="s">
        <v>550</v>
      </c>
      <c r="L2201" s="151">
        <v>555280</v>
      </c>
      <c r="M2201" s="128">
        <v>0</v>
      </c>
      <c r="N2201" s="127" t="s">
        <v>1590</v>
      </c>
      <c r="O2201" s="127" t="s">
        <v>457</v>
      </c>
      <c r="P2201" s="128">
        <v>0</v>
      </c>
      <c r="Q2201" s="128">
        <v>100000</v>
      </c>
      <c r="R2201" s="128">
        <v>0</v>
      </c>
      <c r="S2201" s="128">
        <v>0</v>
      </c>
      <c r="T2201" s="128">
        <v>0</v>
      </c>
      <c r="U2201" s="128">
        <v>100000</v>
      </c>
      <c r="V2201" s="128">
        <v>0</v>
      </c>
      <c r="W2201" s="128">
        <v>100000</v>
      </c>
      <c r="X2201" s="128">
        <v>0</v>
      </c>
      <c r="Y2201" s="128">
        <v>0</v>
      </c>
      <c r="Z2201" s="128">
        <v>0</v>
      </c>
      <c r="AA2201" s="128">
        <v>100000</v>
      </c>
      <c r="AB2201" s="126">
        <f t="shared" si="229"/>
        <v>-0.01</v>
      </c>
      <c r="AC2201" s="122" t="s">
        <v>1838</v>
      </c>
      <c r="AD2201" s="123">
        <f>SUMIF(C:C,C2201,AB:AB)</f>
        <v>1983.9723217250009</v>
      </c>
    </row>
    <row r="2202" spans="1:30" ht="12.75" hidden="1" customHeight="1">
      <c r="A2202" s="125" t="str">
        <f t="shared" si="226"/>
        <v>LIC17CGST on Mfees</v>
      </c>
      <c r="B2202" s="125">
        <f>+IFERROR(VLOOKUP(L2202,'TB mapping'!A:D,4,0),0)</f>
        <v>6.1</v>
      </c>
      <c r="C2202" s="125">
        <f>+IFERROR(VLOOKUP(L2202,'TB mapping'!A:C,3,0),0)</f>
        <v>6.3</v>
      </c>
      <c r="D2202" s="125" t="str">
        <f t="shared" si="227"/>
        <v>LIC176.1</v>
      </c>
      <c r="E2202" s="125" t="str">
        <f t="shared" si="228"/>
        <v>LIC176.3</v>
      </c>
      <c r="F2202" s="158" t="str">
        <f>+VLOOKUP(H2202,'code mapping'!A:C,3,0)</f>
        <v>LIC17</v>
      </c>
      <c r="G2202" s="127" t="s">
        <v>453</v>
      </c>
      <c r="H2202" s="127" t="s">
        <v>762</v>
      </c>
      <c r="I2202" s="127" t="s">
        <v>226</v>
      </c>
      <c r="J2202" s="128">
        <v>550000</v>
      </c>
      <c r="K2202" s="127" t="s">
        <v>550</v>
      </c>
      <c r="L2202" s="151">
        <v>555597</v>
      </c>
      <c r="M2202" s="128">
        <v>0</v>
      </c>
      <c r="N2202" s="127" t="s">
        <v>574</v>
      </c>
      <c r="O2202" s="127" t="s">
        <v>457</v>
      </c>
      <c r="P2202" s="128">
        <v>-4102868.1</v>
      </c>
      <c r="Q2202" s="128">
        <v>0</v>
      </c>
      <c r="R2202" s="128">
        <v>0</v>
      </c>
      <c r="S2202" s="128">
        <v>0</v>
      </c>
      <c r="T2202" s="128">
        <v>-4102868.1</v>
      </c>
      <c r="U2202" s="128">
        <v>0</v>
      </c>
      <c r="V2202" s="128">
        <v>-4102868.1</v>
      </c>
      <c r="W2202" s="128">
        <v>0</v>
      </c>
      <c r="X2202" s="128">
        <v>0</v>
      </c>
      <c r="Y2202" s="128">
        <v>0</v>
      </c>
      <c r="Z2202" s="128">
        <v>-4102868.1</v>
      </c>
      <c r="AA2202" s="128">
        <v>0</v>
      </c>
      <c r="AB2202" s="126">
        <f t="shared" si="229"/>
        <v>0.41028681</v>
      </c>
      <c r="AC2202" s="122" t="s">
        <v>1838</v>
      </c>
      <c r="AD2202" s="123">
        <f t="shared" ref="AD2202:AD2214" si="230">SUMIF(E:E,E2202,AB:AB)</f>
        <v>9.2582487190000027</v>
      </c>
    </row>
    <row r="2203" spans="1:30" ht="12.75" hidden="1" customHeight="1">
      <c r="A2203" s="125" t="str">
        <f t="shared" si="226"/>
        <v>LIC17SGST on Mfees</v>
      </c>
      <c r="B2203" s="125">
        <f>+IFERROR(VLOOKUP(L2203,'TB mapping'!A:D,4,0),0)</f>
        <v>6.1</v>
      </c>
      <c r="C2203" s="125">
        <f>+IFERROR(VLOOKUP(L2203,'TB mapping'!A:C,3,0),0)</f>
        <v>6.3</v>
      </c>
      <c r="D2203" s="125" t="str">
        <f t="shared" si="227"/>
        <v>LIC176.1</v>
      </c>
      <c r="E2203" s="125" t="str">
        <f t="shared" si="228"/>
        <v>LIC176.3</v>
      </c>
      <c r="F2203" s="158" t="str">
        <f>+VLOOKUP(H2203,'code mapping'!A:C,3,0)</f>
        <v>LIC17</v>
      </c>
      <c r="G2203" s="127" t="s">
        <v>453</v>
      </c>
      <c r="H2203" s="127" t="s">
        <v>762</v>
      </c>
      <c r="I2203" s="127" t="s">
        <v>226</v>
      </c>
      <c r="J2203" s="128">
        <v>550000</v>
      </c>
      <c r="K2203" s="127" t="s">
        <v>550</v>
      </c>
      <c r="L2203" s="151">
        <v>555598</v>
      </c>
      <c r="M2203" s="128">
        <v>0</v>
      </c>
      <c r="N2203" s="127" t="s">
        <v>575</v>
      </c>
      <c r="O2203" s="127" t="s">
        <v>457</v>
      </c>
      <c r="P2203" s="128">
        <v>-4102870.26</v>
      </c>
      <c r="Q2203" s="128">
        <v>0</v>
      </c>
      <c r="R2203" s="128">
        <v>0</v>
      </c>
      <c r="S2203" s="128">
        <v>0</v>
      </c>
      <c r="T2203" s="128">
        <v>-4102870.26</v>
      </c>
      <c r="U2203" s="128">
        <v>0</v>
      </c>
      <c r="V2203" s="128">
        <v>-4102870.26</v>
      </c>
      <c r="W2203" s="128">
        <v>0</v>
      </c>
      <c r="X2203" s="128">
        <v>0</v>
      </c>
      <c r="Y2203" s="128">
        <v>0</v>
      </c>
      <c r="Z2203" s="128">
        <v>-4102870.26</v>
      </c>
      <c r="AA2203" s="128">
        <v>0</v>
      </c>
      <c r="AB2203" s="126">
        <f t="shared" si="229"/>
        <v>0.410287026</v>
      </c>
      <c r="AC2203" s="122" t="s">
        <v>1838</v>
      </c>
      <c r="AD2203" s="123">
        <f t="shared" si="230"/>
        <v>9.2582487190000027</v>
      </c>
    </row>
    <row r="2204" spans="1:30" ht="12.75" hidden="1" customHeight="1">
      <c r="A2204" s="125" t="str">
        <f t="shared" si="226"/>
        <v>LIC17CGST on Mfees -GDP</v>
      </c>
      <c r="B2204" s="125">
        <f>+IFERROR(VLOOKUP(L2204,'TB mapping'!A:D,4,0),0)</f>
        <v>6.1</v>
      </c>
      <c r="C2204" s="125">
        <f>+IFERROR(VLOOKUP(L2204,'TB mapping'!A:C,3,0),0)</f>
        <v>6.3</v>
      </c>
      <c r="D2204" s="125" t="str">
        <f t="shared" si="227"/>
        <v>LIC176.1</v>
      </c>
      <c r="E2204" s="125" t="str">
        <f t="shared" si="228"/>
        <v>LIC176.3</v>
      </c>
      <c r="F2204" s="158" t="str">
        <f>+VLOOKUP(H2204,'code mapping'!A:C,3,0)</f>
        <v>LIC17</v>
      </c>
      <c r="G2204" s="127" t="s">
        <v>453</v>
      </c>
      <c r="H2204" s="127" t="s">
        <v>762</v>
      </c>
      <c r="I2204" s="127" t="s">
        <v>226</v>
      </c>
      <c r="J2204" s="128">
        <v>550000</v>
      </c>
      <c r="K2204" s="127" t="s">
        <v>550</v>
      </c>
      <c r="L2204" s="151">
        <v>555599</v>
      </c>
      <c r="M2204" s="128">
        <v>0</v>
      </c>
      <c r="N2204" s="127" t="s">
        <v>576</v>
      </c>
      <c r="O2204" s="127" t="s">
        <v>457</v>
      </c>
      <c r="P2204" s="128">
        <v>0</v>
      </c>
      <c r="Q2204" s="128">
        <v>3612.96</v>
      </c>
      <c r="R2204" s="128">
        <v>0</v>
      </c>
      <c r="S2204" s="128">
        <v>0</v>
      </c>
      <c r="T2204" s="128">
        <v>0</v>
      </c>
      <c r="U2204" s="128">
        <v>3612.96</v>
      </c>
      <c r="V2204" s="128">
        <v>0</v>
      </c>
      <c r="W2204" s="128">
        <v>3612.96</v>
      </c>
      <c r="X2204" s="128">
        <v>0</v>
      </c>
      <c r="Y2204" s="128">
        <v>0</v>
      </c>
      <c r="Z2204" s="128">
        <v>0</v>
      </c>
      <c r="AA2204" s="128">
        <v>3612.96</v>
      </c>
      <c r="AB2204" s="126">
        <f t="shared" si="229"/>
        <v>-3.6129599999999999E-4</v>
      </c>
      <c r="AC2204" s="122" t="s">
        <v>1838</v>
      </c>
      <c r="AD2204" s="123">
        <f t="shared" si="230"/>
        <v>9.2582487190000027</v>
      </c>
    </row>
    <row r="2205" spans="1:30" ht="12.75" hidden="1" customHeight="1">
      <c r="A2205" s="125" t="str">
        <f t="shared" si="226"/>
        <v>LIC17SGST on Mfees -GDP</v>
      </c>
      <c r="B2205" s="125">
        <f>+IFERROR(VLOOKUP(L2205,'TB mapping'!A:D,4,0),0)</f>
        <v>6.1</v>
      </c>
      <c r="C2205" s="125">
        <f>+IFERROR(VLOOKUP(L2205,'TB mapping'!A:C,3,0),0)</f>
        <v>6.3</v>
      </c>
      <c r="D2205" s="125" t="str">
        <f t="shared" si="227"/>
        <v>LIC176.1</v>
      </c>
      <c r="E2205" s="125" t="str">
        <f t="shared" si="228"/>
        <v>LIC176.3</v>
      </c>
      <c r="F2205" s="158" t="str">
        <f>+VLOOKUP(H2205,'code mapping'!A:C,3,0)</f>
        <v>LIC17</v>
      </c>
      <c r="G2205" s="127" t="s">
        <v>453</v>
      </c>
      <c r="H2205" s="127" t="s">
        <v>762</v>
      </c>
      <c r="I2205" s="127" t="s">
        <v>226</v>
      </c>
      <c r="J2205" s="128">
        <v>550000</v>
      </c>
      <c r="K2205" s="127" t="s">
        <v>550</v>
      </c>
      <c r="L2205" s="151">
        <v>555600</v>
      </c>
      <c r="M2205" s="128">
        <v>0</v>
      </c>
      <c r="N2205" s="127" t="s">
        <v>577</v>
      </c>
      <c r="O2205" s="127" t="s">
        <v>457</v>
      </c>
      <c r="P2205" s="128">
        <v>0</v>
      </c>
      <c r="Q2205" s="128">
        <v>3615.12</v>
      </c>
      <c r="R2205" s="128">
        <v>0</v>
      </c>
      <c r="S2205" s="128">
        <v>0</v>
      </c>
      <c r="T2205" s="128">
        <v>0</v>
      </c>
      <c r="U2205" s="128">
        <v>3615.12</v>
      </c>
      <c r="V2205" s="128">
        <v>0</v>
      </c>
      <c r="W2205" s="128">
        <v>3615.12</v>
      </c>
      <c r="X2205" s="128">
        <v>0</v>
      </c>
      <c r="Y2205" s="128">
        <v>0</v>
      </c>
      <c r="Z2205" s="128">
        <v>0</v>
      </c>
      <c r="AA2205" s="128">
        <v>3615.12</v>
      </c>
      <c r="AB2205" s="126">
        <f t="shared" si="229"/>
        <v>-3.6151199999999998E-4</v>
      </c>
      <c r="AC2205" s="122" t="s">
        <v>1838</v>
      </c>
      <c r="AD2205" s="123">
        <f t="shared" si="230"/>
        <v>9.2582487190000027</v>
      </c>
    </row>
    <row r="2206" spans="1:30" ht="12.75" hidden="1" customHeight="1">
      <c r="A2206" s="125" t="str">
        <f t="shared" si="226"/>
        <v>LIC17CGST on Mfees -Regular</v>
      </c>
      <c r="B2206" s="125">
        <f>+IFERROR(VLOOKUP(L2206,'TB mapping'!A:D,4,0),0)</f>
        <v>6.1</v>
      </c>
      <c r="C2206" s="125">
        <f>+IFERROR(VLOOKUP(L2206,'TB mapping'!A:C,3,0),0)</f>
        <v>6.3</v>
      </c>
      <c r="D2206" s="125" t="str">
        <f t="shared" si="227"/>
        <v>LIC176.1</v>
      </c>
      <c r="E2206" s="125" t="str">
        <f t="shared" si="228"/>
        <v>LIC176.3</v>
      </c>
      <c r="F2206" s="158" t="str">
        <f>+VLOOKUP(H2206,'code mapping'!A:C,3,0)</f>
        <v>LIC17</v>
      </c>
      <c r="G2206" s="127" t="s">
        <v>453</v>
      </c>
      <c r="H2206" s="127" t="s">
        <v>762</v>
      </c>
      <c r="I2206" s="127" t="s">
        <v>226</v>
      </c>
      <c r="J2206" s="128">
        <v>550000</v>
      </c>
      <c r="K2206" s="127" t="s">
        <v>550</v>
      </c>
      <c r="L2206" s="151">
        <v>555605</v>
      </c>
      <c r="M2206" s="128">
        <v>0</v>
      </c>
      <c r="N2206" s="127" t="s">
        <v>743</v>
      </c>
      <c r="O2206" s="127" t="s">
        <v>457</v>
      </c>
      <c r="P2206" s="128">
        <v>-76271.19</v>
      </c>
      <c r="Q2206" s="128">
        <v>0</v>
      </c>
      <c r="R2206" s="128">
        <v>0</v>
      </c>
      <c r="S2206" s="128">
        <v>0</v>
      </c>
      <c r="T2206" s="128">
        <v>-76271.19</v>
      </c>
      <c r="U2206" s="128">
        <v>0</v>
      </c>
      <c r="V2206" s="128">
        <v>-76271.19</v>
      </c>
      <c r="W2206" s="128">
        <v>0</v>
      </c>
      <c r="X2206" s="128">
        <v>0</v>
      </c>
      <c r="Y2206" s="128">
        <v>0</v>
      </c>
      <c r="Z2206" s="128">
        <v>-76271.19</v>
      </c>
      <c r="AA2206" s="128">
        <v>0</v>
      </c>
      <c r="AB2206" s="126">
        <f t="shared" si="229"/>
        <v>7.6271189999999999E-3</v>
      </c>
      <c r="AC2206" s="122" t="s">
        <v>1838</v>
      </c>
      <c r="AD2206" s="123">
        <f t="shared" si="230"/>
        <v>9.2582487190000027</v>
      </c>
    </row>
    <row r="2207" spans="1:30" ht="12.75" hidden="1" customHeight="1">
      <c r="A2207" s="125" t="str">
        <f t="shared" si="226"/>
        <v>LIC17SGST on Mfees -Regular</v>
      </c>
      <c r="B2207" s="125">
        <f>+IFERROR(VLOOKUP(L2207,'TB mapping'!A:D,4,0),0)</f>
        <v>6.1</v>
      </c>
      <c r="C2207" s="125">
        <f>+IFERROR(VLOOKUP(L2207,'TB mapping'!A:C,3,0),0)</f>
        <v>6.3</v>
      </c>
      <c r="D2207" s="125" t="str">
        <f t="shared" si="227"/>
        <v>LIC176.1</v>
      </c>
      <c r="E2207" s="125" t="str">
        <f t="shared" si="228"/>
        <v>LIC176.3</v>
      </c>
      <c r="F2207" s="158" t="str">
        <f>+VLOOKUP(H2207,'code mapping'!A:C,3,0)</f>
        <v>LIC17</v>
      </c>
      <c r="G2207" s="127" t="s">
        <v>453</v>
      </c>
      <c r="H2207" s="127" t="s">
        <v>762</v>
      </c>
      <c r="I2207" s="127" t="s">
        <v>226</v>
      </c>
      <c r="J2207" s="128">
        <v>550000</v>
      </c>
      <c r="K2207" s="127" t="s">
        <v>550</v>
      </c>
      <c r="L2207" s="151">
        <v>555606</v>
      </c>
      <c r="M2207" s="128">
        <v>0</v>
      </c>
      <c r="N2207" s="127" t="s">
        <v>744</v>
      </c>
      <c r="O2207" s="127" t="s">
        <v>457</v>
      </c>
      <c r="P2207" s="128">
        <v>-76271.19</v>
      </c>
      <c r="Q2207" s="128">
        <v>0</v>
      </c>
      <c r="R2207" s="128">
        <v>0</v>
      </c>
      <c r="S2207" s="128">
        <v>0</v>
      </c>
      <c r="T2207" s="128">
        <v>-76271.19</v>
      </c>
      <c r="U2207" s="128">
        <v>0</v>
      </c>
      <c r="V2207" s="128">
        <v>-76271.19</v>
      </c>
      <c r="W2207" s="128">
        <v>0</v>
      </c>
      <c r="X2207" s="128">
        <v>0</v>
      </c>
      <c r="Y2207" s="128">
        <v>0</v>
      </c>
      <c r="Z2207" s="128">
        <v>-76271.19</v>
      </c>
      <c r="AA2207" s="128">
        <v>0</v>
      </c>
      <c r="AB2207" s="126">
        <f t="shared" si="229"/>
        <v>7.6271189999999999E-3</v>
      </c>
      <c r="AC2207" s="122" t="s">
        <v>1838</v>
      </c>
      <c r="AD2207" s="123">
        <f t="shared" si="230"/>
        <v>9.2582487190000027</v>
      </c>
    </row>
    <row r="2208" spans="1:30" ht="12.75" hidden="1" customHeight="1">
      <c r="A2208" s="125" t="str">
        <f t="shared" si="226"/>
        <v>LIC17Operating Expenses</v>
      </c>
      <c r="B2208" s="125">
        <f>+IFERROR(VLOOKUP(L2208,'TB mapping'!A:D,4,0),0)</f>
        <v>0</v>
      </c>
      <c r="C2208" s="125">
        <f>+IFERROR(VLOOKUP(L2208,'TB mapping'!A:C,3,0),0)</f>
        <v>6.3</v>
      </c>
      <c r="D2208" s="125" t="str">
        <f t="shared" si="227"/>
        <v>LIC170</v>
      </c>
      <c r="E2208" s="125" t="str">
        <f t="shared" si="228"/>
        <v>LIC176.3</v>
      </c>
      <c r="F2208" s="158" t="str">
        <f>+VLOOKUP(H2208,'code mapping'!A:C,3,0)</f>
        <v>LIC17</v>
      </c>
      <c r="G2208" s="127" t="s">
        <v>453</v>
      </c>
      <c r="H2208" s="127" t="s">
        <v>762</v>
      </c>
      <c r="I2208" s="127" t="s">
        <v>226</v>
      </c>
      <c r="J2208" s="128">
        <v>550000</v>
      </c>
      <c r="K2208" s="127" t="s">
        <v>550</v>
      </c>
      <c r="L2208" s="151">
        <v>556421</v>
      </c>
      <c r="M2208" s="128">
        <v>0</v>
      </c>
      <c r="N2208" s="127" t="s">
        <v>578</v>
      </c>
      <c r="O2208" s="127" t="s">
        <v>457</v>
      </c>
      <c r="P2208" s="128">
        <v>-83399.650000000009</v>
      </c>
      <c r="Q2208" s="128">
        <v>0</v>
      </c>
      <c r="R2208" s="128">
        <v>0</v>
      </c>
      <c r="S2208" s="128">
        <v>0</v>
      </c>
      <c r="T2208" s="128">
        <v>-83399.650000000009</v>
      </c>
      <c r="U2208" s="128">
        <v>0</v>
      </c>
      <c r="V2208" s="128">
        <v>-83399.650000000009</v>
      </c>
      <c r="W2208" s="128">
        <v>0</v>
      </c>
      <c r="X2208" s="128">
        <v>0</v>
      </c>
      <c r="Y2208" s="128">
        <v>0</v>
      </c>
      <c r="Z2208" s="128">
        <v>-83399.650000000009</v>
      </c>
      <c r="AA2208" s="128">
        <v>0</v>
      </c>
      <c r="AB2208" s="126">
        <f t="shared" si="229"/>
        <v>8.3399650000000013E-3</v>
      </c>
      <c r="AC2208" s="122" t="s">
        <v>1838</v>
      </c>
      <c r="AD2208" s="123">
        <f t="shared" si="230"/>
        <v>9.2582487190000027</v>
      </c>
    </row>
    <row r="2209" spans="1:30" ht="12.75" hidden="1" customHeight="1">
      <c r="A2209" s="125" t="str">
        <f t="shared" si="226"/>
        <v>LIC17Management Fee</v>
      </c>
      <c r="B2209" s="125">
        <f>+IFERROR(VLOOKUP(L2209,'TB mapping'!A:D,4,0),0)</f>
        <v>6.1</v>
      </c>
      <c r="C2209" s="125">
        <f>+IFERROR(VLOOKUP(L2209,'TB mapping'!A:C,3,0),0)</f>
        <v>6.3</v>
      </c>
      <c r="D2209" s="125" t="str">
        <f t="shared" si="227"/>
        <v>LIC176.1</v>
      </c>
      <c r="E2209" s="125" t="str">
        <f t="shared" si="228"/>
        <v>LIC176.3</v>
      </c>
      <c r="F2209" s="158" t="str">
        <f>+VLOOKUP(H2209,'code mapping'!A:C,3,0)</f>
        <v>LIC17</v>
      </c>
      <c r="G2209" s="127" t="s">
        <v>453</v>
      </c>
      <c r="H2209" s="127" t="s">
        <v>762</v>
      </c>
      <c r="I2209" s="127" t="s">
        <v>226</v>
      </c>
      <c r="J2209" s="128">
        <v>555100</v>
      </c>
      <c r="K2209" s="127" t="s">
        <v>579</v>
      </c>
      <c r="L2209" s="151">
        <v>555100</v>
      </c>
      <c r="M2209" s="128">
        <v>0</v>
      </c>
      <c r="N2209" s="127" t="s">
        <v>580</v>
      </c>
      <c r="O2209" s="127" t="s">
        <v>457</v>
      </c>
      <c r="P2209" s="128">
        <v>-21263119.829999998</v>
      </c>
      <c r="Q2209" s="128">
        <v>0</v>
      </c>
      <c r="R2209" s="128">
        <v>0</v>
      </c>
      <c r="S2209" s="128">
        <v>0</v>
      </c>
      <c r="T2209" s="128">
        <v>-21263119.829999998</v>
      </c>
      <c r="U2209" s="128">
        <v>0</v>
      </c>
      <c r="V2209" s="128">
        <v>-21263119.829999998</v>
      </c>
      <c r="W2209" s="128">
        <v>0</v>
      </c>
      <c r="X2209" s="128">
        <v>0</v>
      </c>
      <c r="Y2209" s="128">
        <v>0</v>
      </c>
      <c r="Z2209" s="128">
        <v>-21263119.829999998</v>
      </c>
      <c r="AA2209" s="128">
        <v>0</v>
      </c>
      <c r="AB2209" s="126">
        <f t="shared" si="229"/>
        <v>2.1263119829999999</v>
      </c>
      <c r="AC2209" s="122" t="s">
        <v>1838</v>
      </c>
      <c r="AD2209" s="123">
        <f t="shared" si="230"/>
        <v>9.2582487190000027</v>
      </c>
    </row>
    <row r="2210" spans="1:30" ht="12.75" hidden="1" customHeight="1">
      <c r="A2210" s="125" t="str">
        <f t="shared" si="226"/>
        <v>LIC17Management Fees-RG</v>
      </c>
      <c r="B2210" s="125">
        <f>+IFERROR(VLOOKUP(L2210,'TB mapping'!A:D,4,0),0)</f>
        <v>6.1</v>
      </c>
      <c r="C2210" s="125">
        <f>+IFERROR(VLOOKUP(L2210,'TB mapping'!A:C,3,0),0)</f>
        <v>6.3</v>
      </c>
      <c r="D2210" s="125" t="str">
        <f t="shared" si="227"/>
        <v>LIC176.1</v>
      </c>
      <c r="E2210" s="125" t="str">
        <f t="shared" si="228"/>
        <v>LIC176.3</v>
      </c>
      <c r="F2210" s="158" t="str">
        <f>+VLOOKUP(H2210,'code mapping'!A:C,3,0)</f>
        <v>LIC17</v>
      </c>
      <c r="G2210" s="127" t="s">
        <v>453</v>
      </c>
      <c r="H2210" s="127" t="s">
        <v>762</v>
      </c>
      <c r="I2210" s="127" t="s">
        <v>226</v>
      </c>
      <c r="J2210" s="128">
        <v>555100</v>
      </c>
      <c r="K2210" s="127" t="s">
        <v>579</v>
      </c>
      <c r="L2210" s="151">
        <v>555191</v>
      </c>
      <c r="M2210" s="128">
        <v>0</v>
      </c>
      <c r="N2210" s="127" t="s">
        <v>581</v>
      </c>
      <c r="O2210" s="127" t="s">
        <v>457</v>
      </c>
      <c r="P2210" s="128">
        <v>-20829518.449999999</v>
      </c>
      <c r="Q2210" s="128">
        <v>0</v>
      </c>
      <c r="R2210" s="128">
        <v>0</v>
      </c>
      <c r="S2210" s="128">
        <v>0</v>
      </c>
      <c r="T2210" s="128">
        <v>-20829518.449999999</v>
      </c>
      <c r="U2210" s="128">
        <v>0</v>
      </c>
      <c r="V2210" s="128">
        <v>-20829518.449999999</v>
      </c>
      <c r="W2210" s="128">
        <v>0</v>
      </c>
      <c r="X2210" s="128">
        <v>0</v>
      </c>
      <c r="Y2210" s="128">
        <v>0</v>
      </c>
      <c r="Z2210" s="128">
        <v>-20829518.449999999</v>
      </c>
      <c r="AA2210" s="128">
        <v>0</v>
      </c>
      <c r="AB2210" s="126">
        <f t="shared" si="229"/>
        <v>2.0829518449999997</v>
      </c>
      <c r="AC2210" s="122" t="s">
        <v>1838</v>
      </c>
      <c r="AD2210" s="123">
        <f t="shared" si="230"/>
        <v>9.2582487190000027</v>
      </c>
    </row>
    <row r="2211" spans="1:30" ht="12.75" hidden="1" customHeight="1">
      <c r="A2211" s="125" t="str">
        <f t="shared" si="226"/>
        <v>LIC17Management Fees-RD</v>
      </c>
      <c r="B2211" s="125">
        <f>+IFERROR(VLOOKUP(L2211,'TB mapping'!A:D,4,0),0)</f>
        <v>6.1</v>
      </c>
      <c r="C2211" s="125">
        <f>+IFERROR(VLOOKUP(L2211,'TB mapping'!A:C,3,0),0)</f>
        <v>6.3</v>
      </c>
      <c r="D2211" s="125" t="str">
        <f t="shared" si="227"/>
        <v>LIC176.1</v>
      </c>
      <c r="E2211" s="125" t="str">
        <f t="shared" si="228"/>
        <v>LIC176.3</v>
      </c>
      <c r="F2211" s="158" t="str">
        <f>+VLOOKUP(H2211,'code mapping'!A:C,3,0)</f>
        <v>LIC17</v>
      </c>
      <c r="G2211" s="127" t="s">
        <v>453</v>
      </c>
      <c r="H2211" s="127" t="s">
        <v>762</v>
      </c>
      <c r="I2211" s="127" t="s">
        <v>226</v>
      </c>
      <c r="J2211" s="128">
        <v>555100</v>
      </c>
      <c r="K2211" s="127" t="s">
        <v>579</v>
      </c>
      <c r="L2211" s="151">
        <v>555192</v>
      </c>
      <c r="M2211" s="128">
        <v>0</v>
      </c>
      <c r="N2211" s="127" t="s">
        <v>582</v>
      </c>
      <c r="O2211" s="127" t="s">
        <v>457</v>
      </c>
      <c r="P2211" s="128">
        <v>-2302429.6800000002</v>
      </c>
      <c r="Q2211" s="128">
        <v>0</v>
      </c>
      <c r="R2211" s="128">
        <v>0</v>
      </c>
      <c r="S2211" s="128">
        <v>0</v>
      </c>
      <c r="T2211" s="128">
        <v>-2302429.6800000002</v>
      </c>
      <c r="U2211" s="128">
        <v>0</v>
      </c>
      <c r="V2211" s="128">
        <v>-2302429.6800000002</v>
      </c>
      <c r="W2211" s="128">
        <v>0</v>
      </c>
      <c r="X2211" s="128">
        <v>0</v>
      </c>
      <c r="Y2211" s="128">
        <v>0</v>
      </c>
      <c r="Z2211" s="128">
        <v>-2302429.6800000002</v>
      </c>
      <c r="AA2211" s="128">
        <v>0</v>
      </c>
      <c r="AB2211" s="126">
        <f t="shared" si="229"/>
        <v>0.23024296800000002</v>
      </c>
      <c r="AC2211" s="122" t="s">
        <v>1838</v>
      </c>
      <c r="AD2211" s="123">
        <f t="shared" si="230"/>
        <v>9.2582487190000027</v>
      </c>
    </row>
    <row r="2212" spans="1:30" ht="12.75" hidden="1" customHeight="1">
      <c r="A2212" s="125" t="str">
        <f t="shared" si="226"/>
        <v>LIC17Management Fees-GDP</v>
      </c>
      <c r="B2212" s="125">
        <f>+IFERROR(VLOOKUP(L2212,'TB mapping'!A:D,4,0),0)</f>
        <v>6.1</v>
      </c>
      <c r="C2212" s="125">
        <f>+IFERROR(VLOOKUP(L2212,'TB mapping'!A:C,3,0),0)</f>
        <v>6.3</v>
      </c>
      <c r="D2212" s="125" t="str">
        <f t="shared" si="227"/>
        <v>LIC176.1</v>
      </c>
      <c r="E2212" s="125" t="str">
        <f t="shared" si="228"/>
        <v>LIC176.3</v>
      </c>
      <c r="F2212" s="158" t="str">
        <f>+VLOOKUP(H2212,'code mapping'!A:C,3,0)</f>
        <v>LIC17</v>
      </c>
      <c r="G2212" s="127" t="s">
        <v>453</v>
      </c>
      <c r="H2212" s="127" t="s">
        <v>762</v>
      </c>
      <c r="I2212" s="127" t="s">
        <v>226</v>
      </c>
      <c r="J2212" s="128">
        <v>555100</v>
      </c>
      <c r="K2212" s="127" t="s">
        <v>579</v>
      </c>
      <c r="L2212" s="151">
        <v>555329</v>
      </c>
      <c r="M2212" s="128">
        <v>0</v>
      </c>
      <c r="N2212" s="127" t="s">
        <v>584</v>
      </c>
      <c r="O2212" s="127" t="s">
        <v>457</v>
      </c>
      <c r="P2212" s="128">
        <v>-7242807.4500000002</v>
      </c>
      <c r="Q2212" s="128">
        <v>0</v>
      </c>
      <c r="R2212" s="128">
        <v>0</v>
      </c>
      <c r="S2212" s="128">
        <v>0</v>
      </c>
      <c r="T2212" s="128">
        <v>-7242807.4500000002</v>
      </c>
      <c r="U2212" s="128">
        <v>0</v>
      </c>
      <c r="V2212" s="128">
        <v>-7242807.4500000002</v>
      </c>
      <c r="W2212" s="128">
        <v>0</v>
      </c>
      <c r="X2212" s="128">
        <v>0</v>
      </c>
      <c r="Y2212" s="128">
        <v>0</v>
      </c>
      <c r="Z2212" s="128">
        <v>-7242807.4500000002</v>
      </c>
      <c r="AA2212" s="128">
        <v>0</v>
      </c>
      <c r="AB2212" s="126">
        <f t="shared" si="229"/>
        <v>0.72428074500000006</v>
      </c>
      <c r="AC2212" s="122" t="s">
        <v>1838</v>
      </c>
      <c r="AD2212" s="123">
        <f t="shared" si="230"/>
        <v>9.2582487190000027</v>
      </c>
    </row>
    <row r="2213" spans="1:30" ht="12.75" hidden="1" customHeight="1">
      <c r="A2213" s="125" t="str">
        <f t="shared" si="226"/>
        <v>LIC17Management Fees-DDP</v>
      </c>
      <c r="B2213" s="125">
        <f>+IFERROR(VLOOKUP(L2213,'TB mapping'!A:D,4,0),0)</f>
        <v>6.1</v>
      </c>
      <c r="C2213" s="125">
        <f>+IFERROR(VLOOKUP(L2213,'TB mapping'!A:C,3,0),0)</f>
        <v>6.3</v>
      </c>
      <c r="D2213" s="125" t="str">
        <f t="shared" si="227"/>
        <v>LIC176.1</v>
      </c>
      <c r="E2213" s="125" t="str">
        <f t="shared" si="228"/>
        <v>LIC176.3</v>
      </c>
      <c r="F2213" s="158" t="str">
        <f>+VLOOKUP(H2213,'code mapping'!A:C,3,0)</f>
        <v>LIC17</v>
      </c>
      <c r="G2213" s="127" t="s">
        <v>453</v>
      </c>
      <c r="H2213" s="127" t="s">
        <v>762</v>
      </c>
      <c r="I2213" s="127" t="s">
        <v>226</v>
      </c>
      <c r="J2213" s="128">
        <v>555100</v>
      </c>
      <c r="K2213" s="127" t="s">
        <v>579</v>
      </c>
      <c r="L2213" s="151">
        <v>555330</v>
      </c>
      <c r="M2213" s="128">
        <v>0</v>
      </c>
      <c r="N2213" s="127" t="s">
        <v>585</v>
      </c>
      <c r="O2213" s="127" t="s">
        <v>457</v>
      </c>
      <c r="P2213" s="128">
        <v>-128951.12000000002</v>
      </c>
      <c r="Q2213" s="128">
        <v>0</v>
      </c>
      <c r="R2213" s="128">
        <v>0</v>
      </c>
      <c r="S2213" s="128">
        <v>0</v>
      </c>
      <c r="T2213" s="128">
        <v>-128951.12000000002</v>
      </c>
      <c r="U2213" s="128">
        <v>0</v>
      </c>
      <c r="V2213" s="128">
        <v>-128951.12000000002</v>
      </c>
      <c r="W2213" s="128">
        <v>0</v>
      </c>
      <c r="X2213" s="128">
        <v>0</v>
      </c>
      <c r="Y2213" s="128">
        <v>0</v>
      </c>
      <c r="Z2213" s="128">
        <v>-128951.12000000002</v>
      </c>
      <c r="AA2213" s="128">
        <v>0</v>
      </c>
      <c r="AB2213" s="126">
        <f t="shared" si="229"/>
        <v>1.2895112000000002E-2</v>
      </c>
      <c r="AC2213" s="122" t="s">
        <v>1838</v>
      </c>
      <c r="AD2213" s="123">
        <f t="shared" si="230"/>
        <v>9.2582487190000027</v>
      </c>
    </row>
    <row r="2214" spans="1:30" ht="12.75" hidden="1" customHeight="1">
      <c r="A2214" s="125" t="str">
        <f t="shared" si="226"/>
        <v>LIC17Management Fees-Regular</v>
      </c>
      <c r="B2214" s="125">
        <f>+IFERROR(VLOOKUP(L2214,'TB mapping'!A:D,4,0),0)</f>
        <v>6.1</v>
      </c>
      <c r="C2214" s="125">
        <f>+IFERROR(VLOOKUP(L2214,'TB mapping'!A:C,3,0),0)</f>
        <v>6.3</v>
      </c>
      <c r="D2214" s="125" t="str">
        <f t="shared" si="227"/>
        <v>LIC176.1</v>
      </c>
      <c r="E2214" s="125" t="str">
        <f t="shared" si="228"/>
        <v>LIC176.3</v>
      </c>
      <c r="F2214" s="158" t="str">
        <f>+VLOOKUP(H2214,'code mapping'!A:C,3,0)</f>
        <v>LIC17</v>
      </c>
      <c r="G2214" s="127" t="s">
        <v>453</v>
      </c>
      <c r="H2214" s="127" t="s">
        <v>762</v>
      </c>
      <c r="I2214" s="127" t="s">
        <v>226</v>
      </c>
      <c r="J2214" s="128">
        <v>555100</v>
      </c>
      <c r="K2214" s="127" t="s">
        <v>579</v>
      </c>
      <c r="L2214" s="151">
        <v>555521</v>
      </c>
      <c r="M2214" s="128">
        <v>0</v>
      </c>
      <c r="N2214" s="127" t="s">
        <v>745</v>
      </c>
      <c r="O2214" s="127" t="s">
        <v>457</v>
      </c>
      <c r="P2214" s="128">
        <v>-847457.62</v>
      </c>
      <c r="Q2214" s="128">
        <v>0</v>
      </c>
      <c r="R2214" s="128">
        <v>0</v>
      </c>
      <c r="S2214" s="128">
        <v>0</v>
      </c>
      <c r="T2214" s="128">
        <v>-847457.62</v>
      </c>
      <c r="U2214" s="128">
        <v>0</v>
      </c>
      <c r="V2214" s="128">
        <v>-847457.62</v>
      </c>
      <c r="W2214" s="128">
        <v>0</v>
      </c>
      <c r="X2214" s="128">
        <v>0</v>
      </c>
      <c r="Y2214" s="128">
        <v>0</v>
      </c>
      <c r="Z2214" s="128">
        <v>-847457.62</v>
      </c>
      <c r="AA2214" s="128">
        <v>0</v>
      </c>
      <c r="AB2214" s="126">
        <f t="shared" si="229"/>
        <v>8.4745762000000002E-2</v>
      </c>
      <c r="AC2214" s="122" t="s">
        <v>1838</v>
      </c>
      <c r="AD2214" s="123">
        <f t="shared" si="230"/>
        <v>9.2582487190000027</v>
      </c>
    </row>
    <row r="2215" spans="1:30" ht="12.75" hidden="1" customHeight="1">
      <c r="A2215" s="125" t="str">
        <f t="shared" si="226"/>
        <v>LIC19Investment - Equities</v>
      </c>
      <c r="B2215" s="125">
        <f>+IFERROR(VLOOKUP(L2215,'TB mapping'!A:D,4,0),0)</f>
        <v>0</v>
      </c>
      <c r="C2215" s="125">
        <f>+IFERROR(VLOOKUP(L2215,'TB mapping'!A:C,3,0),0)</f>
        <v>0</v>
      </c>
      <c r="D2215" s="125" t="str">
        <f t="shared" si="227"/>
        <v>LIC190</v>
      </c>
      <c r="E2215" s="125" t="str">
        <f t="shared" si="228"/>
        <v>LIC190</v>
      </c>
      <c r="F2215" s="158" t="str">
        <f>+VLOOKUP(H2215,'code mapping'!A:C,3,0)</f>
        <v>LIC19</v>
      </c>
      <c r="G2215" s="127" t="s">
        <v>453</v>
      </c>
      <c r="H2215" s="127" t="s">
        <v>763</v>
      </c>
      <c r="I2215" s="127" t="s">
        <v>227</v>
      </c>
      <c r="J2215" s="128">
        <v>101000</v>
      </c>
      <c r="K2215" s="127" t="s">
        <v>591</v>
      </c>
      <c r="L2215" s="151">
        <v>101100</v>
      </c>
      <c r="M2215" s="128">
        <v>0</v>
      </c>
      <c r="N2215" s="127" t="s">
        <v>592</v>
      </c>
      <c r="O2215" s="127" t="s">
        <v>457</v>
      </c>
      <c r="P2215" s="128">
        <v>-1962276025.55</v>
      </c>
      <c r="Q2215" s="128">
        <v>0</v>
      </c>
      <c r="R2215" s="128">
        <v>0</v>
      </c>
      <c r="S2215" s="128">
        <v>0</v>
      </c>
      <c r="T2215" s="128">
        <v>-1962276025.55</v>
      </c>
      <c r="U2215" s="128">
        <v>0</v>
      </c>
      <c r="V2215" s="128">
        <v>-1962276025.55</v>
      </c>
      <c r="W2215" s="128">
        <v>0</v>
      </c>
      <c r="X2215" s="128">
        <v>0</v>
      </c>
      <c r="Y2215" s="128">
        <v>0</v>
      </c>
      <c r="Z2215" s="128">
        <v>-1962276025.55</v>
      </c>
      <c r="AA2215" s="128">
        <v>0</v>
      </c>
      <c r="AB2215" s="126">
        <f t="shared" si="229"/>
        <v>196.227602555</v>
      </c>
      <c r="AC2215" s="122" t="s">
        <v>1838</v>
      </c>
      <c r="AD2215" s="123">
        <f t="shared" ref="AD2215:AD2259" si="231">SUMIF(C:C,C2215,AB:AB)</f>
        <v>1983.9723217250009</v>
      </c>
    </row>
    <row r="2216" spans="1:30" ht="12.75" hidden="1" customHeight="1">
      <c r="A2216" s="125" t="str">
        <f t="shared" si="226"/>
        <v>LIC19Investment Mutual Fund</v>
      </c>
      <c r="B2216" s="125">
        <f>+IFERROR(VLOOKUP(L2216,'TB mapping'!A:D,4,0),0)</f>
        <v>0</v>
      </c>
      <c r="C2216" s="125">
        <f>+IFERROR(VLOOKUP(L2216,'TB mapping'!A:C,3,0),0)</f>
        <v>0</v>
      </c>
      <c r="D2216" s="125" t="str">
        <f t="shared" si="227"/>
        <v>LIC190</v>
      </c>
      <c r="E2216" s="125" t="str">
        <f t="shared" si="228"/>
        <v>LIC190</v>
      </c>
      <c r="F2216" s="158" t="str">
        <f>+VLOOKUP(H2216,'code mapping'!A:C,3,0)</f>
        <v>LIC19</v>
      </c>
      <c r="G2216" s="127" t="s">
        <v>453</v>
      </c>
      <c r="H2216" s="127" t="s">
        <v>763</v>
      </c>
      <c r="I2216" s="127" t="s">
        <v>227</v>
      </c>
      <c r="J2216" s="128">
        <v>105000</v>
      </c>
      <c r="K2216" s="127" t="s">
        <v>460</v>
      </c>
      <c r="L2216" s="151">
        <v>105100</v>
      </c>
      <c r="M2216" s="128">
        <v>0</v>
      </c>
      <c r="N2216" s="127" t="s">
        <v>461</v>
      </c>
      <c r="O2216" s="127" t="s">
        <v>457</v>
      </c>
      <c r="P2216" s="128">
        <v>-7.0000000000000007E-2</v>
      </c>
      <c r="Q2216" s="128">
        <v>0</v>
      </c>
      <c r="R2216" s="128">
        <v>0</v>
      </c>
      <c r="S2216" s="128">
        <v>0</v>
      </c>
      <c r="T2216" s="128">
        <v>-7.0000000000000007E-2</v>
      </c>
      <c r="U2216" s="128">
        <v>0</v>
      </c>
      <c r="V2216" s="128">
        <v>-7.0000000000000007E-2</v>
      </c>
      <c r="W2216" s="128">
        <v>0</v>
      </c>
      <c r="X2216" s="128">
        <v>0</v>
      </c>
      <c r="Y2216" s="128">
        <v>0</v>
      </c>
      <c r="Z2216" s="128">
        <v>-7.0000000000000007E-2</v>
      </c>
      <c r="AA2216" s="128">
        <v>0</v>
      </c>
      <c r="AB2216" s="126">
        <f t="shared" si="229"/>
        <v>7.0000000000000006E-9</v>
      </c>
      <c r="AC2216" s="122" t="s">
        <v>1838</v>
      </c>
      <c r="AD2216" s="123">
        <f t="shared" si="231"/>
        <v>1983.9723217250009</v>
      </c>
    </row>
    <row r="2217" spans="1:30" ht="12.75" hidden="1" customHeight="1">
      <c r="A2217" s="125" t="str">
        <f t="shared" si="226"/>
        <v>LIC19Investment - CBLO</v>
      </c>
      <c r="B2217" s="125">
        <f>+IFERROR(VLOOKUP(L2217,'TB mapping'!A:D,4,0),0)</f>
        <v>0</v>
      </c>
      <c r="C2217" s="125">
        <f>+IFERROR(VLOOKUP(L2217,'TB mapping'!A:C,3,0),0)</f>
        <v>0</v>
      </c>
      <c r="D2217" s="125" t="str">
        <f t="shared" si="227"/>
        <v>LIC190</v>
      </c>
      <c r="E2217" s="125" t="str">
        <f t="shared" si="228"/>
        <v>LIC190</v>
      </c>
      <c r="F2217" s="158" t="str">
        <f>+VLOOKUP(H2217,'code mapping'!A:C,3,0)</f>
        <v>LIC19</v>
      </c>
      <c r="G2217" s="127" t="s">
        <v>453</v>
      </c>
      <c r="H2217" s="127" t="s">
        <v>763</v>
      </c>
      <c r="I2217" s="127" t="s">
        <v>227</v>
      </c>
      <c r="J2217" s="128">
        <v>110000</v>
      </c>
      <c r="K2217" s="127" t="s">
        <v>462</v>
      </c>
      <c r="L2217" s="151">
        <v>110100</v>
      </c>
      <c r="M2217" s="128">
        <v>0</v>
      </c>
      <c r="N2217" s="127" t="s">
        <v>463</v>
      </c>
      <c r="O2217" s="127" t="s">
        <v>457</v>
      </c>
      <c r="P2217" s="128">
        <v>-98211757.299999997</v>
      </c>
      <c r="Q2217" s="128">
        <v>0</v>
      </c>
      <c r="R2217" s="128">
        <v>0</v>
      </c>
      <c r="S2217" s="128">
        <v>0</v>
      </c>
      <c r="T2217" s="128">
        <v>-98211757.299999997</v>
      </c>
      <c r="U2217" s="128">
        <v>0</v>
      </c>
      <c r="V2217" s="128">
        <v>-98211757.299999997</v>
      </c>
      <c r="W2217" s="128">
        <v>0</v>
      </c>
      <c r="X2217" s="128">
        <v>0</v>
      </c>
      <c r="Y2217" s="128">
        <v>0</v>
      </c>
      <c r="Z2217" s="128">
        <v>-98211757.299999997</v>
      </c>
      <c r="AA2217" s="128">
        <v>0</v>
      </c>
      <c r="AB2217" s="126">
        <f t="shared" si="229"/>
        <v>9.8211757300000002</v>
      </c>
      <c r="AC2217" s="122" t="s">
        <v>1838</v>
      </c>
      <c r="AD2217" s="123">
        <f t="shared" si="231"/>
        <v>1983.9723217250009</v>
      </c>
    </row>
    <row r="2218" spans="1:30" ht="12.75" hidden="1" customHeight="1">
      <c r="A2218" s="125" t="str">
        <f t="shared" si="226"/>
        <v>LIC19Margin Money Deposits</v>
      </c>
      <c r="B2218" s="125">
        <f>+IFERROR(VLOOKUP(L2218,'TB mapping'!A:D,4,0),0)</f>
        <v>0</v>
      </c>
      <c r="C2218" s="125">
        <f>+IFERROR(VLOOKUP(L2218,'TB mapping'!A:C,3,0),0)</f>
        <v>0</v>
      </c>
      <c r="D2218" s="125" t="str">
        <f t="shared" si="227"/>
        <v>LIC190</v>
      </c>
      <c r="E2218" s="125" t="str">
        <f t="shared" si="228"/>
        <v>LIC190</v>
      </c>
      <c r="F2218" s="158" t="str">
        <f>+VLOOKUP(H2218,'code mapping'!A:C,3,0)</f>
        <v>LIC19</v>
      </c>
      <c r="G2218" s="127" t="s">
        <v>453</v>
      </c>
      <c r="H2218" s="127" t="s">
        <v>763</v>
      </c>
      <c r="I2218" s="127" t="s">
        <v>227</v>
      </c>
      <c r="J2218" s="128">
        <v>110000</v>
      </c>
      <c r="K2218" s="127" t="s">
        <v>462</v>
      </c>
      <c r="L2218" s="151">
        <v>110110</v>
      </c>
      <c r="M2218" s="128">
        <v>0</v>
      </c>
      <c r="N2218" s="127" t="s">
        <v>464</v>
      </c>
      <c r="O2218" s="127" t="s">
        <v>457</v>
      </c>
      <c r="P2218" s="128">
        <v>-58098.94</v>
      </c>
      <c r="Q2218" s="128">
        <v>0</v>
      </c>
      <c r="R2218" s="128">
        <v>0</v>
      </c>
      <c r="S2218" s="128">
        <v>0</v>
      </c>
      <c r="T2218" s="128">
        <v>-58098.94</v>
      </c>
      <c r="U2218" s="128">
        <v>0</v>
      </c>
      <c r="V2218" s="128">
        <v>-58098.94</v>
      </c>
      <c r="W2218" s="128">
        <v>0</v>
      </c>
      <c r="X2218" s="128">
        <v>0</v>
      </c>
      <c r="Y2218" s="128">
        <v>0</v>
      </c>
      <c r="Z2218" s="128">
        <v>-58098.94</v>
      </c>
      <c r="AA2218" s="128">
        <v>0</v>
      </c>
      <c r="AB2218" s="126">
        <f t="shared" si="229"/>
        <v>5.8098940000000003E-3</v>
      </c>
      <c r="AC2218" s="122" t="s">
        <v>1838</v>
      </c>
      <c r="AD2218" s="123">
        <f t="shared" si="231"/>
        <v>1983.9723217250009</v>
      </c>
    </row>
    <row r="2219" spans="1:30" ht="12.75" hidden="1" customHeight="1">
      <c r="A2219" s="125" t="str">
        <f t="shared" si="226"/>
        <v>LIC19Margin Deposit For CCIL</v>
      </c>
      <c r="B2219" s="125">
        <f>+IFERROR(VLOOKUP(L2219,'TB mapping'!A:D,4,0),0)</f>
        <v>0</v>
      </c>
      <c r="C2219" s="125">
        <f>+IFERROR(VLOOKUP(L2219,'TB mapping'!A:C,3,0),0)</f>
        <v>0</v>
      </c>
      <c r="D2219" s="125" t="str">
        <f t="shared" si="227"/>
        <v>LIC190</v>
      </c>
      <c r="E2219" s="125" t="str">
        <f t="shared" si="228"/>
        <v>LIC190</v>
      </c>
      <c r="F2219" s="158" t="str">
        <f>+VLOOKUP(H2219,'code mapping'!A:C,3,0)</f>
        <v>LIC19</v>
      </c>
      <c r="G2219" s="127" t="s">
        <v>453</v>
      </c>
      <c r="H2219" s="127" t="s">
        <v>763</v>
      </c>
      <c r="I2219" s="127" t="s">
        <v>227</v>
      </c>
      <c r="J2219" s="128">
        <v>110000</v>
      </c>
      <c r="K2219" s="127" t="s">
        <v>462</v>
      </c>
      <c r="L2219" s="151">
        <v>110116</v>
      </c>
      <c r="M2219" s="128">
        <v>0</v>
      </c>
      <c r="N2219" s="127" t="s">
        <v>465</v>
      </c>
      <c r="O2219" s="127" t="s">
        <v>457</v>
      </c>
      <c r="P2219" s="128">
        <v>-132293.54</v>
      </c>
      <c r="Q2219" s="128">
        <v>0</v>
      </c>
      <c r="R2219" s="128">
        <v>0</v>
      </c>
      <c r="S2219" s="128">
        <v>0</v>
      </c>
      <c r="T2219" s="128">
        <v>-132293.54</v>
      </c>
      <c r="U2219" s="128">
        <v>0</v>
      </c>
      <c r="V2219" s="128">
        <v>-132293.54</v>
      </c>
      <c r="W2219" s="128">
        <v>0</v>
      </c>
      <c r="X2219" s="128">
        <v>0</v>
      </c>
      <c r="Y2219" s="128">
        <v>0</v>
      </c>
      <c r="Z2219" s="128">
        <v>-132293.54</v>
      </c>
      <c r="AA2219" s="128">
        <v>0</v>
      </c>
      <c r="AB2219" s="126">
        <f t="shared" si="229"/>
        <v>1.3229354E-2</v>
      </c>
      <c r="AC2219" s="122" t="s">
        <v>1838</v>
      </c>
      <c r="AD2219" s="123">
        <f t="shared" si="231"/>
        <v>1983.9723217250009</v>
      </c>
    </row>
    <row r="2220" spans="1:30" ht="12.75" hidden="1" customHeight="1">
      <c r="A2220" s="125" t="str">
        <f t="shared" si="226"/>
        <v>LIC19Dividend Receivable</v>
      </c>
      <c r="B2220" s="125">
        <f>+IFERROR(VLOOKUP(L2220,'TB mapping'!A:D,4,0),0)</f>
        <v>0</v>
      </c>
      <c r="C2220" s="125">
        <f>+IFERROR(VLOOKUP(L2220,'TB mapping'!A:C,3,0),0)</f>
        <v>0</v>
      </c>
      <c r="D2220" s="125" t="str">
        <f t="shared" si="227"/>
        <v>LIC190</v>
      </c>
      <c r="E2220" s="125" t="str">
        <f t="shared" si="228"/>
        <v>LIC190</v>
      </c>
      <c r="F2220" s="158" t="str">
        <f>+VLOOKUP(H2220,'code mapping'!A:C,3,0)</f>
        <v>LIC19</v>
      </c>
      <c r="G2220" s="127" t="s">
        <v>453</v>
      </c>
      <c r="H2220" s="127" t="s">
        <v>763</v>
      </c>
      <c r="I2220" s="127" t="s">
        <v>227</v>
      </c>
      <c r="J2220" s="128">
        <v>132000</v>
      </c>
      <c r="K2220" s="127" t="s">
        <v>466</v>
      </c>
      <c r="L2220" s="151">
        <v>132100</v>
      </c>
      <c r="M2220" s="128">
        <v>0</v>
      </c>
      <c r="N2220" s="127" t="s">
        <v>593</v>
      </c>
      <c r="O2220" s="127" t="s">
        <v>457</v>
      </c>
      <c r="P2220" s="128">
        <v>-231875</v>
      </c>
      <c r="Q2220" s="128">
        <v>0</v>
      </c>
      <c r="R2220" s="128">
        <v>0</v>
      </c>
      <c r="S2220" s="128">
        <v>0</v>
      </c>
      <c r="T2220" s="128">
        <v>-231875</v>
      </c>
      <c r="U2220" s="128">
        <v>0</v>
      </c>
      <c r="V2220" s="128">
        <v>-231875</v>
      </c>
      <c r="W2220" s="128">
        <v>0</v>
      </c>
      <c r="X2220" s="128">
        <v>0</v>
      </c>
      <c r="Y2220" s="128">
        <v>0</v>
      </c>
      <c r="Z2220" s="128">
        <v>-231875</v>
      </c>
      <c r="AA2220" s="128">
        <v>0</v>
      </c>
      <c r="AB2220" s="126">
        <f t="shared" si="229"/>
        <v>2.31875E-2</v>
      </c>
      <c r="AC2220" s="122" t="s">
        <v>1838</v>
      </c>
      <c r="AD2220" s="123">
        <f t="shared" si="231"/>
        <v>1983.9723217250009</v>
      </c>
    </row>
    <row r="2221" spans="1:30" ht="12.75" hidden="1" customHeight="1">
      <c r="A2221" s="125" t="str">
        <f t="shared" si="226"/>
        <v>LIC19Sub. Rec. Control Account</v>
      </c>
      <c r="B2221" s="125">
        <f>+IFERROR(VLOOKUP(L2221,'TB mapping'!A:D,4,0),0)</f>
        <v>0</v>
      </c>
      <c r="C2221" s="125">
        <f>+IFERROR(VLOOKUP(L2221,'TB mapping'!A:C,3,0),0)</f>
        <v>0</v>
      </c>
      <c r="D2221" s="125" t="str">
        <f t="shared" si="227"/>
        <v>LIC190</v>
      </c>
      <c r="E2221" s="125" t="str">
        <f t="shared" si="228"/>
        <v>LIC190</v>
      </c>
      <c r="F2221" s="158" t="str">
        <f>+VLOOKUP(H2221,'code mapping'!A:C,3,0)</f>
        <v>LIC19</v>
      </c>
      <c r="G2221" s="127" t="s">
        <v>453</v>
      </c>
      <c r="H2221" s="127" t="s">
        <v>763</v>
      </c>
      <c r="I2221" s="127" t="s">
        <v>227</v>
      </c>
      <c r="J2221" s="128">
        <v>132000</v>
      </c>
      <c r="K2221" s="127" t="s">
        <v>466</v>
      </c>
      <c r="L2221" s="151">
        <v>132121</v>
      </c>
      <c r="M2221" s="128">
        <v>0</v>
      </c>
      <c r="N2221" s="127" t="s">
        <v>467</v>
      </c>
      <c r="O2221" s="127" t="s">
        <v>457</v>
      </c>
      <c r="P2221" s="128">
        <v>-3310397.16</v>
      </c>
      <c r="Q2221" s="128">
        <v>0</v>
      </c>
      <c r="R2221" s="128">
        <v>0</v>
      </c>
      <c r="S2221" s="128">
        <v>0</v>
      </c>
      <c r="T2221" s="128">
        <v>-3310397.16</v>
      </c>
      <c r="U2221" s="128">
        <v>0</v>
      </c>
      <c r="V2221" s="128">
        <v>-3310397.16</v>
      </c>
      <c r="W2221" s="128">
        <v>0</v>
      </c>
      <c r="X2221" s="128">
        <v>0</v>
      </c>
      <c r="Y2221" s="128">
        <v>0</v>
      </c>
      <c r="Z2221" s="128">
        <v>-3310397.16</v>
      </c>
      <c r="AA2221" s="128">
        <v>0</v>
      </c>
      <c r="AB2221" s="126">
        <f t="shared" si="229"/>
        <v>0.33103971600000004</v>
      </c>
      <c r="AC2221" s="122" t="s">
        <v>1838</v>
      </c>
      <c r="AD2221" s="123">
        <f t="shared" si="231"/>
        <v>1983.9723217250009</v>
      </c>
    </row>
    <row r="2222" spans="1:30" ht="12.75" hidden="1" customHeight="1">
      <c r="A2222" s="125" t="str">
        <f t="shared" si="226"/>
        <v>LIC19Switch in Receivable Ct</v>
      </c>
      <c r="B2222" s="125">
        <f>+IFERROR(VLOOKUP(L2222,'TB mapping'!A:D,4,0),0)</f>
        <v>0</v>
      </c>
      <c r="C2222" s="125">
        <f>+IFERROR(VLOOKUP(L2222,'TB mapping'!A:C,3,0),0)</f>
        <v>0</v>
      </c>
      <c r="D2222" s="125" t="str">
        <f t="shared" si="227"/>
        <v>LIC190</v>
      </c>
      <c r="E2222" s="125" t="str">
        <f t="shared" si="228"/>
        <v>LIC190</v>
      </c>
      <c r="F2222" s="158" t="str">
        <f>+VLOOKUP(H2222,'code mapping'!A:C,3,0)</f>
        <v>LIC19</v>
      </c>
      <c r="G2222" s="127" t="s">
        <v>453</v>
      </c>
      <c r="H2222" s="127" t="s">
        <v>763</v>
      </c>
      <c r="I2222" s="127" t="s">
        <v>227</v>
      </c>
      <c r="J2222" s="128">
        <v>132000</v>
      </c>
      <c r="K2222" s="127" t="s">
        <v>466</v>
      </c>
      <c r="L2222" s="151">
        <v>132124</v>
      </c>
      <c r="M2222" s="128">
        <v>0</v>
      </c>
      <c r="N2222" s="127" t="s">
        <v>468</v>
      </c>
      <c r="O2222" s="127" t="s">
        <v>457</v>
      </c>
      <c r="P2222" s="128">
        <v>-4911498.92</v>
      </c>
      <c r="Q2222" s="128">
        <v>0</v>
      </c>
      <c r="R2222" s="128">
        <v>0</v>
      </c>
      <c r="S2222" s="128">
        <v>0</v>
      </c>
      <c r="T2222" s="128">
        <v>-4911498.92</v>
      </c>
      <c r="U2222" s="128">
        <v>0</v>
      </c>
      <c r="V2222" s="128">
        <v>-4911498.92</v>
      </c>
      <c r="W2222" s="128">
        <v>0</v>
      </c>
      <c r="X2222" s="128">
        <v>0</v>
      </c>
      <c r="Y2222" s="128">
        <v>0</v>
      </c>
      <c r="Z2222" s="128">
        <v>-4911498.92</v>
      </c>
      <c r="AA2222" s="128">
        <v>0</v>
      </c>
      <c r="AB2222" s="126">
        <f t="shared" si="229"/>
        <v>0.49114989199999998</v>
      </c>
      <c r="AC2222" s="122" t="s">
        <v>1838</v>
      </c>
      <c r="AD2222" s="123">
        <f t="shared" si="231"/>
        <v>1983.9723217250009</v>
      </c>
    </row>
    <row r="2223" spans="1:30" ht="12.75" hidden="1" customHeight="1">
      <c r="A2223" s="125" t="str">
        <f t="shared" si="226"/>
        <v>LIC19Receivable from AMC</v>
      </c>
      <c r="B2223" s="125">
        <f>+IFERROR(VLOOKUP(L2223,'TB mapping'!A:D,4,0),0)</f>
        <v>0</v>
      </c>
      <c r="C2223" s="125">
        <f>+IFERROR(VLOOKUP(L2223,'TB mapping'!A:C,3,0),0)</f>
        <v>0</v>
      </c>
      <c r="D2223" s="125" t="str">
        <f t="shared" si="227"/>
        <v>LIC190</v>
      </c>
      <c r="E2223" s="125" t="str">
        <f t="shared" si="228"/>
        <v>LIC190</v>
      </c>
      <c r="F2223" s="158" t="str">
        <f>+VLOOKUP(H2223,'code mapping'!A:C,3,0)</f>
        <v>LIC19</v>
      </c>
      <c r="G2223" s="127" t="s">
        <v>453</v>
      </c>
      <c r="H2223" s="127" t="s">
        <v>763</v>
      </c>
      <c r="I2223" s="127" t="s">
        <v>227</v>
      </c>
      <c r="J2223" s="128">
        <v>132000</v>
      </c>
      <c r="K2223" s="127" t="s">
        <v>466</v>
      </c>
      <c r="L2223" s="151">
        <v>152400</v>
      </c>
      <c r="M2223" s="128">
        <v>0</v>
      </c>
      <c r="N2223" s="127" t="s">
        <v>471</v>
      </c>
      <c r="O2223" s="127" t="s">
        <v>457</v>
      </c>
      <c r="P2223" s="128">
        <v>-0.34</v>
      </c>
      <c r="Q2223" s="128">
        <v>0</v>
      </c>
      <c r="R2223" s="128">
        <v>0</v>
      </c>
      <c r="S2223" s="128">
        <v>0</v>
      </c>
      <c r="T2223" s="128">
        <v>-0.34</v>
      </c>
      <c r="U2223" s="128">
        <v>0</v>
      </c>
      <c r="V2223" s="128">
        <v>-0.34</v>
      </c>
      <c r="W2223" s="128">
        <v>0</v>
      </c>
      <c r="X2223" s="128">
        <v>0</v>
      </c>
      <c r="Y2223" s="128">
        <v>0</v>
      </c>
      <c r="Z2223" s="128">
        <v>-0.34</v>
      </c>
      <c r="AA2223" s="128">
        <v>0</v>
      </c>
      <c r="AB2223" s="126">
        <f t="shared" si="229"/>
        <v>3.4E-8</v>
      </c>
      <c r="AC2223" s="122" t="s">
        <v>1838</v>
      </c>
      <c r="AD2223" s="123">
        <f t="shared" si="231"/>
        <v>1983.9723217250009</v>
      </c>
    </row>
    <row r="2224" spans="1:30" ht="12.75" hidden="1" customHeight="1">
      <c r="A2224" s="125" t="str">
        <f t="shared" si="226"/>
        <v>LIC19CCIL Settlement A/C</v>
      </c>
      <c r="B2224" s="125">
        <f>+IFERROR(VLOOKUP(L2224,'TB mapping'!A:D,4,0),0)</f>
        <v>0</v>
      </c>
      <c r="C2224" s="125">
        <f>+IFERROR(VLOOKUP(L2224,'TB mapping'!A:C,3,0),0)</f>
        <v>0</v>
      </c>
      <c r="D2224" s="125" t="str">
        <f t="shared" si="227"/>
        <v>LIC190</v>
      </c>
      <c r="E2224" s="125" t="str">
        <f t="shared" si="228"/>
        <v>LIC190</v>
      </c>
      <c r="F2224" s="158" t="str">
        <f>+VLOOKUP(H2224,'code mapping'!A:C,3,0)</f>
        <v>LIC19</v>
      </c>
      <c r="G2224" s="127" t="s">
        <v>453</v>
      </c>
      <c r="H2224" s="127" t="s">
        <v>763</v>
      </c>
      <c r="I2224" s="127" t="s">
        <v>227</v>
      </c>
      <c r="J2224" s="128">
        <v>140000</v>
      </c>
      <c r="K2224" s="127" t="s">
        <v>472</v>
      </c>
      <c r="L2224" s="151">
        <v>132237</v>
      </c>
      <c r="M2224" s="128">
        <v>0</v>
      </c>
      <c r="N2224" s="127" t="s">
        <v>473</v>
      </c>
      <c r="O2224" s="127" t="s">
        <v>457</v>
      </c>
      <c r="P2224" s="128">
        <v>0</v>
      </c>
      <c r="Q2224" s="128">
        <v>0.13</v>
      </c>
      <c r="R2224" s="128">
        <v>0</v>
      </c>
      <c r="S2224" s="128">
        <v>0</v>
      </c>
      <c r="T2224" s="128">
        <v>0</v>
      </c>
      <c r="U2224" s="128">
        <v>0.13</v>
      </c>
      <c r="V2224" s="128">
        <v>0</v>
      </c>
      <c r="W2224" s="128">
        <v>0.13</v>
      </c>
      <c r="X2224" s="128">
        <v>0</v>
      </c>
      <c r="Y2224" s="128">
        <v>0</v>
      </c>
      <c r="Z2224" s="128">
        <v>0</v>
      </c>
      <c r="AA2224" s="128">
        <v>0.13</v>
      </c>
      <c r="AB2224" s="126">
        <f t="shared" si="229"/>
        <v>-1.3000000000000001E-8</v>
      </c>
      <c r="AC2224" s="122" t="s">
        <v>1838</v>
      </c>
      <c r="AD2224" s="123">
        <f t="shared" si="231"/>
        <v>1983.9723217250009</v>
      </c>
    </row>
    <row r="2225" spans="1:30" ht="12.75" hidden="1" customHeight="1">
      <c r="A2225" s="125" t="str">
        <f t="shared" si="226"/>
        <v>LIC19HDFC Current Account</v>
      </c>
      <c r="B2225" s="125">
        <f>+IFERROR(VLOOKUP(L2225,'TB mapping'!A:D,4,0),0)</f>
        <v>0</v>
      </c>
      <c r="C2225" s="125">
        <f>+IFERROR(VLOOKUP(L2225,'TB mapping'!A:C,3,0),0)</f>
        <v>0</v>
      </c>
      <c r="D2225" s="125" t="str">
        <f t="shared" si="227"/>
        <v>LIC190</v>
      </c>
      <c r="E2225" s="125" t="str">
        <f t="shared" si="228"/>
        <v>LIC190</v>
      </c>
      <c r="F2225" s="158" t="str">
        <f>+VLOOKUP(H2225,'code mapping'!A:C,3,0)</f>
        <v>LIC19</v>
      </c>
      <c r="G2225" s="127" t="s">
        <v>453</v>
      </c>
      <c r="H2225" s="127" t="s">
        <v>763</v>
      </c>
      <c r="I2225" s="127" t="s">
        <v>227</v>
      </c>
      <c r="J2225" s="128">
        <v>140000</v>
      </c>
      <c r="K2225" s="127" t="s">
        <v>472</v>
      </c>
      <c r="L2225" s="151">
        <v>140330</v>
      </c>
      <c r="M2225" s="128">
        <v>0</v>
      </c>
      <c r="N2225" s="127" t="s">
        <v>475</v>
      </c>
      <c r="O2225" s="127" t="s">
        <v>457</v>
      </c>
      <c r="P2225" s="128">
        <v>0</v>
      </c>
      <c r="Q2225" s="128">
        <v>1.7</v>
      </c>
      <c r="R2225" s="128">
        <v>0</v>
      </c>
      <c r="S2225" s="128">
        <v>0</v>
      </c>
      <c r="T2225" s="128">
        <v>0</v>
      </c>
      <c r="U2225" s="128">
        <v>1.7</v>
      </c>
      <c r="V2225" s="128">
        <v>0</v>
      </c>
      <c r="W2225" s="128">
        <v>1.7</v>
      </c>
      <c r="X2225" s="128">
        <v>0</v>
      </c>
      <c r="Y2225" s="128">
        <v>0</v>
      </c>
      <c r="Z2225" s="128">
        <v>0</v>
      </c>
      <c r="AA2225" s="128">
        <v>1.7</v>
      </c>
      <c r="AB2225" s="126">
        <f t="shared" si="229"/>
        <v>-1.6999999999999999E-7</v>
      </c>
      <c r="AC2225" s="122" t="s">
        <v>1838</v>
      </c>
      <c r="AD2225" s="123">
        <f t="shared" si="231"/>
        <v>1983.9723217250009</v>
      </c>
    </row>
    <row r="2226" spans="1:30" ht="12.75" hidden="1" customHeight="1">
      <c r="A2226" s="125" t="str">
        <f t="shared" si="226"/>
        <v>LIC19HDFC Bank Ltd</v>
      </c>
      <c r="B2226" s="125">
        <f>+IFERROR(VLOOKUP(L2226,'TB mapping'!A:D,4,0),0)</f>
        <v>0</v>
      </c>
      <c r="C2226" s="125">
        <f>+IFERROR(VLOOKUP(L2226,'TB mapping'!A:C,3,0),0)</f>
        <v>0</v>
      </c>
      <c r="D2226" s="125" t="str">
        <f t="shared" si="227"/>
        <v>LIC190</v>
      </c>
      <c r="E2226" s="125" t="str">
        <f t="shared" si="228"/>
        <v>LIC190</v>
      </c>
      <c r="F2226" s="158" t="str">
        <f>+VLOOKUP(H2226,'code mapping'!A:C,3,0)</f>
        <v>LIC19</v>
      </c>
      <c r="G2226" s="127" t="s">
        <v>453</v>
      </c>
      <c r="H2226" s="127" t="s">
        <v>763</v>
      </c>
      <c r="I2226" s="127" t="s">
        <v>227</v>
      </c>
      <c r="J2226" s="128">
        <v>140000</v>
      </c>
      <c r="K2226" s="127" t="s">
        <v>472</v>
      </c>
      <c r="L2226" s="151">
        <v>140372</v>
      </c>
      <c r="M2226" s="128">
        <v>0</v>
      </c>
      <c r="N2226" s="127" t="s">
        <v>476</v>
      </c>
      <c r="O2226" s="127" t="s">
        <v>457</v>
      </c>
      <c r="P2226" s="128">
        <v>0</v>
      </c>
      <c r="Q2226" s="128">
        <v>2.85</v>
      </c>
      <c r="R2226" s="128">
        <v>0</v>
      </c>
      <c r="S2226" s="128">
        <v>0</v>
      </c>
      <c r="T2226" s="128">
        <v>0</v>
      </c>
      <c r="U2226" s="128">
        <v>2.85</v>
      </c>
      <c r="V2226" s="128">
        <v>0</v>
      </c>
      <c r="W2226" s="128">
        <v>2.85</v>
      </c>
      <c r="X2226" s="128">
        <v>0</v>
      </c>
      <c r="Y2226" s="128">
        <v>0</v>
      </c>
      <c r="Z2226" s="128">
        <v>0</v>
      </c>
      <c r="AA2226" s="128">
        <v>2.85</v>
      </c>
      <c r="AB2226" s="126">
        <f t="shared" si="229"/>
        <v>-2.8500000000000002E-7</v>
      </c>
      <c r="AC2226" s="122" t="s">
        <v>1838</v>
      </c>
      <c r="AD2226" s="123">
        <f t="shared" si="231"/>
        <v>1983.9723217250009</v>
      </c>
    </row>
    <row r="2227" spans="1:30" ht="12.75" hidden="1" customHeight="1">
      <c r="A2227" s="125" t="str">
        <f t="shared" si="226"/>
        <v>LIC19Standard Chartered Bank- India</v>
      </c>
      <c r="B2227" s="125">
        <f>+IFERROR(VLOOKUP(L2227,'TB mapping'!A:D,4,0),0)</f>
        <v>0</v>
      </c>
      <c r="C2227" s="125">
        <f>+IFERROR(VLOOKUP(L2227,'TB mapping'!A:C,3,0),0)</f>
        <v>0</v>
      </c>
      <c r="D2227" s="125" t="str">
        <f t="shared" si="227"/>
        <v>LIC190</v>
      </c>
      <c r="E2227" s="125" t="str">
        <f t="shared" si="228"/>
        <v>LIC190</v>
      </c>
      <c r="F2227" s="158" t="str">
        <f>+VLOOKUP(H2227,'code mapping'!A:C,3,0)</f>
        <v>LIC19</v>
      </c>
      <c r="G2227" s="127" t="s">
        <v>453</v>
      </c>
      <c r="H2227" s="127" t="s">
        <v>763</v>
      </c>
      <c r="I2227" s="127" t="s">
        <v>227</v>
      </c>
      <c r="J2227" s="128">
        <v>140000</v>
      </c>
      <c r="K2227" s="127" t="s">
        <v>472</v>
      </c>
      <c r="L2227" s="151">
        <v>140500</v>
      </c>
      <c r="M2227" s="128">
        <v>0</v>
      </c>
      <c r="N2227" s="127" t="s">
        <v>477</v>
      </c>
      <c r="O2227" s="127" t="s">
        <v>457</v>
      </c>
      <c r="P2227" s="128">
        <v>-65905.070000000007</v>
      </c>
      <c r="Q2227" s="128">
        <v>0</v>
      </c>
      <c r="R2227" s="128">
        <v>0</v>
      </c>
      <c r="S2227" s="128">
        <v>0</v>
      </c>
      <c r="T2227" s="128">
        <v>-65905.070000000007</v>
      </c>
      <c r="U2227" s="128">
        <v>0</v>
      </c>
      <c r="V2227" s="128">
        <v>-65905.070000000007</v>
      </c>
      <c r="W2227" s="128">
        <v>0</v>
      </c>
      <c r="X2227" s="128">
        <v>0</v>
      </c>
      <c r="Y2227" s="128">
        <v>0</v>
      </c>
      <c r="Z2227" s="128">
        <v>-65905.070000000007</v>
      </c>
      <c r="AA2227" s="128">
        <v>0</v>
      </c>
      <c r="AB2227" s="126">
        <f t="shared" si="229"/>
        <v>6.5905070000000007E-3</v>
      </c>
      <c r="AC2227" s="122" t="s">
        <v>1838</v>
      </c>
      <c r="AD2227" s="123">
        <f t="shared" si="231"/>
        <v>1983.9723217250009</v>
      </c>
    </row>
    <row r="2228" spans="1:30" ht="12.75" hidden="1" customHeight="1">
      <c r="A2228" s="125" t="str">
        <f t="shared" si="226"/>
        <v>LIC19Amort Receivable - CBLO</v>
      </c>
      <c r="B2228" s="125">
        <f>+IFERROR(VLOOKUP(L2228,'TB mapping'!A:D,4,0),0)</f>
        <v>0</v>
      </c>
      <c r="C2228" s="125">
        <f>+IFERROR(VLOOKUP(L2228,'TB mapping'!A:C,3,0),0)</f>
        <v>0</v>
      </c>
      <c r="D2228" s="125" t="str">
        <f t="shared" si="227"/>
        <v>LIC190</v>
      </c>
      <c r="E2228" s="125" t="str">
        <f t="shared" si="228"/>
        <v>LIC190</v>
      </c>
      <c r="F2228" s="158" t="str">
        <f>+VLOOKUP(H2228,'code mapping'!A:C,3,0)</f>
        <v>LIC19</v>
      </c>
      <c r="G2228" s="127" t="s">
        <v>453</v>
      </c>
      <c r="H2228" s="127" t="s">
        <v>763</v>
      </c>
      <c r="I2228" s="127" t="s">
        <v>227</v>
      </c>
      <c r="J2228" s="128">
        <v>152000</v>
      </c>
      <c r="K2228" s="127" t="s">
        <v>478</v>
      </c>
      <c r="L2228" s="151">
        <v>152232</v>
      </c>
      <c r="M2228" s="128">
        <v>0</v>
      </c>
      <c r="N2228" s="127" t="s">
        <v>482</v>
      </c>
      <c r="O2228" s="127" t="s">
        <v>457</v>
      </c>
      <c r="P2228" s="128">
        <v>-43937.81</v>
      </c>
      <c r="Q2228" s="128">
        <v>0</v>
      </c>
      <c r="R2228" s="128">
        <v>0</v>
      </c>
      <c r="S2228" s="128">
        <v>0</v>
      </c>
      <c r="T2228" s="128">
        <v>-43937.81</v>
      </c>
      <c r="U2228" s="128">
        <v>0</v>
      </c>
      <c r="V2228" s="128">
        <v>-43937.81</v>
      </c>
      <c r="W2228" s="128">
        <v>0</v>
      </c>
      <c r="X2228" s="128">
        <v>0</v>
      </c>
      <c r="Y2228" s="128">
        <v>0</v>
      </c>
      <c r="Z2228" s="128">
        <v>-43937.81</v>
      </c>
      <c r="AA2228" s="128">
        <v>0</v>
      </c>
      <c r="AB2228" s="126">
        <f t="shared" si="229"/>
        <v>4.3937809999999994E-3</v>
      </c>
      <c r="AC2228" s="122" t="s">
        <v>1838</v>
      </c>
      <c r="AD2228" s="123">
        <f t="shared" si="231"/>
        <v>1983.9723217250009</v>
      </c>
    </row>
    <row r="2229" spans="1:30" ht="12.75" hidden="1" customHeight="1">
      <c r="A2229" s="125" t="str">
        <f t="shared" si="226"/>
        <v>LIC19Prov Unr P/L - Equities</v>
      </c>
      <c r="B2229" s="125">
        <f>+IFERROR(VLOOKUP(L2229,'TB mapping'!A:D,4,0),0)</f>
        <v>0</v>
      </c>
      <c r="C2229" s="125">
        <f>+IFERROR(VLOOKUP(L2229,'TB mapping'!A:C,3,0),0)</f>
        <v>0</v>
      </c>
      <c r="D2229" s="125" t="str">
        <f t="shared" si="227"/>
        <v>LIC190</v>
      </c>
      <c r="E2229" s="125" t="str">
        <f t="shared" si="228"/>
        <v>LIC190</v>
      </c>
      <c r="F2229" s="158" t="str">
        <f>+VLOOKUP(H2229,'code mapping'!A:C,3,0)</f>
        <v>LIC19</v>
      </c>
      <c r="G2229" s="127" t="s">
        <v>453</v>
      </c>
      <c r="H2229" s="127" t="s">
        <v>763</v>
      </c>
      <c r="I2229" s="127" t="s">
        <v>227</v>
      </c>
      <c r="J2229" s="128">
        <v>160000</v>
      </c>
      <c r="K2229" s="127" t="s">
        <v>483</v>
      </c>
      <c r="L2229" s="151">
        <v>161100</v>
      </c>
      <c r="M2229" s="128">
        <v>0</v>
      </c>
      <c r="N2229" s="127" t="s">
        <v>595</v>
      </c>
      <c r="O2229" s="127" t="s">
        <v>457</v>
      </c>
      <c r="P2229" s="128">
        <v>-339273805.01999998</v>
      </c>
      <c r="Q2229" s="128">
        <v>0</v>
      </c>
      <c r="R2229" s="128">
        <v>0</v>
      </c>
      <c r="S2229" s="128">
        <v>0</v>
      </c>
      <c r="T2229" s="128">
        <v>-339273805.01999998</v>
      </c>
      <c r="U2229" s="128">
        <v>0</v>
      </c>
      <c r="V2229" s="128">
        <v>-339273805.01999998</v>
      </c>
      <c r="W2229" s="128">
        <v>0</v>
      </c>
      <c r="X2229" s="128">
        <v>0</v>
      </c>
      <c r="Y2229" s="128">
        <v>0</v>
      </c>
      <c r="Z2229" s="128">
        <v>-339273805.01999998</v>
      </c>
      <c r="AA2229" s="128">
        <v>0</v>
      </c>
      <c r="AB2229" s="126">
        <f t="shared" si="229"/>
        <v>33.927380501999998</v>
      </c>
      <c r="AC2229" s="122" t="s">
        <v>1838</v>
      </c>
      <c r="AD2229" s="123">
        <f t="shared" si="231"/>
        <v>1983.9723217250009</v>
      </c>
    </row>
    <row r="2230" spans="1:30" ht="12.75" hidden="1" customHeight="1">
      <c r="A2230" s="125" t="str">
        <f t="shared" si="226"/>
        <v>LIC19Payable - Withhold Brokerage</v>
      </c>
      <c r="B2230" s="125">
        <f>+IFERROR(VLOOKUP(L2230,'TB mapping'!A:D,4,0),0)</f>
        <v>0</v>
      </c>
      <c r="C2230" s="125">
        <f>+IFERROR(VLOOKUP(L2230,'TB mapping'!A:C,3,0),0)</f>
        <v>0</v>
      </c>
      <c r="D2230" s="125" t="str">
        <f t="shared" si="227"/>
        <v>LIC190</v>
      </c>
      <c r="E2230" s="125" t="str">
        <f t="shared" si="228"/>
        <v>LIC190</v>
      </c>
      <c r="F2230" s="158" t="str">
        <f>+VLOOKUP(H2230,'code mapping'!A:C,3,0)</f>
        <v>LIC19</v>
      </c>
      <c r="G2230" s="127" t="s">
        <v>453</v>
      </c>
      <c r="H2230" s="127" t="s">
        <v>763</v>
      </c>
      <c r="I2230" s="127" t="s">
        <v>227</v>
      </c>
      <c r="J2230" s="128">
        <v>212000</v>
      </c>
      <c r="K2230" s="127" t="s">
        <v>487</v>
      </c>
      <c r="L2230" s="151">
        <v>210164</v>
      </c>
      <c r="M2230" s="128">
        <v>0</v>
      </c>
      <c r="N2230" s="127" t="s">
        <v>488</v>
      </c>
      <c r="O2230" s="127" t="s">
        <v>457</v>
      </c>
      <c r="P2230" s="128">
        <v>0</v>
      </c>
      <c r="Q2230" s="128">
        <v>494755.11</v>
      </c>
      <c r="R2230" s="128">
        <v>0</v>
      </c>
      <c r="S2230" s="128">
        <v>0</v>
      </c>
      <c r="T2230" s="128">
        <v>0</v>
      </c>
      <c r="U2230" s="128">
        <v>494755.11</v>
      </c>
      <c r="V2230" s="128">
        <v>0</v>
      </c>
      <c r="W2230" s="128">
        <v>494755.11</v>
      </c>
      <c r="X2230" s="128">
        <v>0</v>
      </c>
      <c r="Y2230" s="128">
        <v>0</v>
      </c>
      <c r="Z2230" s="128">
        <v>0</v>
      </c>
      <c r="AA2230" s="128">
        <v>494755.11</v>
      </c>
      <c r="AB2230" s="126">
        <f t="shared" si="229"/>
        <v>-4.9475511E-2</v>
      </c>
      <c r="AC2230" s="122" t="s">
        <v>1838</v>
      </c>
      <c r="AD2230" s="123">
        <f t="shared" si="231"/>
        <v>1983.9723217250009</v>
      </c>
    </row>
    <row r="2231" spans="1:30" ht="12.75" hidden="1" customHeight="1">
      <c r="A2231" s="125" t="str">
        <f t="shared" si="226"/>
        <v>LIC19Dividend Payable</v>
      </c>
      <c r="B2231" s="125">
        <f>+IFERROR(VLOOKUP(L2231,'TB mapping'!A:D,4,0),0)</f>
        <v>0</v>
      </c>
      <c r="C2231" s="125">
        <f>+IFERROR(VLOOKUP(L2231,'TB mapping'!A:C,3,0),0)</f>
        <v>0</v>
      </c>
      <c r="D2231" s="125" t="str">
        <f t="shared" si="227"/>
        <v>LIC190</v>
      </c>
      <c r="E2231" s="125" t="str">
        <f t="shared" si="228"/>
        <v>LIC190</v>
      </c>
      <c r="F2231" s="158" t="str">
        <f>+VLOOKUP(H2231,'code mapping'!A:C,3,0)</f>
        <v>LIC19</v>
      </c>
      <c r="G2231" s="127" t="s">
        <v>453</v>
      </c>
      <c r="H2231" s="127" t="s">
        <v>763</v>
      </c>
      <c r="I2231" s="127" t="s">
        <v>227</v>
      </c>
      <c r="J2231" s="128">
        <v>212000</v>
      </c>
      <c r="K2231" s="127" t="s">
        <v>487</v>
      </c>
      <c r="L2231" s="151">
        <v>212100</v>
      </c>
      <c r="M2231" s="128">
        <v>0</v>
      </c>
      <c r="N2231" s="127" t="s">
        <v>489</v>
      </c>
      <c r="O2231" s="127" t="s">
        <v>457</v>
      </c>
      <c r="P2231" s="128">
        <v>0</v>
      </c>
      <c r="Q2231" s="128">
        <v>947845.97</v>
      </c>
      <c r="R2231" s="128">
        <v>0</v>
      </c>
      <c r="S2231" s="128">
        <v>0</v>
      </c>
      <c r="T2231" s="128">
        <v>0</v>
      </c>
      <c r="U2231" s="128">
        <v>947845.97</v>
      </c>
      <c r="V2231" s="128">
        <v>0</v>
      </c>
      <c r="W2231" s="128">
        <v>947845.97</v>
      </c>
      <c r="X2231" s="128">
        <v>0</v>
      </c>
      <c r="Y2231" s="128">
        <v>0</v>
      </c>
      <c r="Z2231" s="128">
        <v>0</v>
      </c>
      <c r="AA2231" s="128">
        <v>947845.97</v>
      </c>
      <c r="AB2231" s="126">
        <f t="shared" si="229"/>
        <v>-9.4784596999999998E-2</v>
      </c>
      <c r="AC2231" s="122" t="s">
        <v>1838</v>
      </c>
      <c r="AD2231" s="123">
        <f t="shared" si="231"/>
        <v>1983.9723217250009</v>
      </c>
    </row>
    <row r="2232" spans="1:30" ht="12.75" hidden="1" customHeight="1">
      <c r="A2232" s="125" t="str">
        <f t="shared" si="226"/>
        <v>LIC19CGST Payable</v>
      </c>
      <c r="B2232" s="125">
        <f>+IFERROR(VLOOKUP(L2232,'TB mapping'!A:D,4,0),0)</f>
        <v>0</v>
      </c>
      <c r="C2232" s="125">
        <f>+IFERROR(VLOOKUP(L2232,'TB mapping'!A:C,3,0),0)</f>
        <v>0</v>
      </c>
      <c r="D2232" s="125" t="str">
        <f t="shared" si="227"/>
        <v>LIC190</v>
      </c>
      <c r="E2232" s="125" t="str">
        <f t="shared" si="228"/>
        <v>LIC190</v>
      </c>
      <c r="F2232" s="158" t="str">
        <f>+VLOOKUP(H2232,'code mapping'!A:C,3,0)</f>
        <v>LIC19</v>
      </c>
      <c r="G2232" s="127" t="s">
        <v>453</v>
      </c>
      <c r="H2232" s="127" t="s">
        <v>763</v>
      </c>
      <c r="I2232" s="127" t="s">
        <v>227</v>
      </c>
      <c r="J2232" s="128">
        <v>212000</v>
      </c>
      <c r="K2232" s="127" t="s">
        <v>487</v>
      </c>
      <c r="L2232" s="151">
        <v>212112</v>
      </c>
      <c r="M2232" s="128">
        <v>0</v>
      </c>
      <c r="N2232" s="127" t="s">
        <v>490</v>
      </c>
      <c r="O2232" s="127" t="s">
        <v>457</v>
      </c>
      <c r="P2232" s="128">
        <v>0</v>
      </c>
      <c r="Q2232" s="128">
        <v>745.26</v>
      </c>
      <c r="R2232" s="128">
        <v>0</v>
      </c>
      <c r="S2232" s="128">
        <v>0</v>
      </c>
      <c r="T2232" s="128">
        <v>0</v>
      </c>
      <c r="U2232" s="128">
        <v>745.26</v>
      </c>
      <c r="V2232" s="128">
        <v>0</v>
      </c>
      <c r="W2232" s="128">
        <v>745.26</v>
      </c>
      <c r="X2232" s="128">
        <v>0</v>
      </c>
      <c r="Y2232" s="128">
        <v>0</v>
      </c>
      <c r="Z2232" s="128">
        <v>0</v>
      </c>
      <c r="AA2232" s="128">
        <v>745.26</v>
      </c>
      <c r="AB2232" s="126">
        <f t="shared" si="229"/>
        <v>-7.4525999999999998E-5</v>
      </c>
      <c r="AC2232" s="122" t="s">
        <v>1838</v>
      </c>
      <c r="AD2232" s="123">
        <f t="shared" si="231"/>
        <v>1983.9723217250009</v>
      </c>
    </row>
    <row r="2233" spans="1:30" ht="12.75" hidden="1" customHeight="1">
      <c r="A2233" s="125" t="str">
        <f t="shared" ref="A2233:A2296" si="232">+F2233&amp;N2233</f>
        <v>LIC19SGST Payable</v>
      </c>
      <c r="B2233" s="125">
        <f>+IFERROR(VLOOKUP(L2233,'TB mapping'!A:D,4,0),0)</f>
        <v>0</v>
      </c>
      <c r="C2233" s="125">
        <f>+IFERROR(VLOOKUP(L2233,'TB mapping'!A:C,3,0),0)</f>
        <v>0</v>
      </c>
      <c r="D2233" s="125" t="str">
        <f t="shared" ref="D2233:D2296" si="233">+F2233&amp;B2233</f>
        <v>LIC190</v>
      </c>
      <c r="E2233" s="125" t="str">
        <f t="shared" ref="E2233:E2296" si="234">+F2233&amp;C2233</f>
        <v>LIC190</v>
      </c>
      <c r="F2233" s="158" t="str">
        <f>+VLOOKUP(H2233,'code mapping'!A:C,3,0)</f>
        <v>LIC19</v>
      </c>
      <c r="G2233" s="127" t="s">
        <v>453</v>
      </c>
      <c r="H2233" s="127" t="s">
        <v>763</v>
      </c>
      <c r="I2233" s="127" t="s">
        <v>227</v>
      </c>
      <c r="J2233" s="128">
        <v>212000</v>
      </c>
      <c r="K2233" s="127" t="s">
        <v>487</v>
      </c>
      <c r="L2233" s="151">
        <v>212113</v>
      </c>
      <c r="M2233" s="128">
        <v>0</v>
      </c>
      <c r="N2233" s="127" t="s">
        <v>491</v>
      </c>
      <c r="O2233" s="127" t="s">
        <v>457</v>
      </c>
      <c r="P2233" s="128">
        <v>0</v>
      </c>
      <c r="Q2233" s="128">
        <v>745.63</v>
      </c>
      <c r="R2233" s="128">
        <v>0</v>
      </c>
      <c r="S2233" s="128">
        <v>0</v>
      </c>
      <c r="T2233" s="128">
        <v>0</v>
      </c>
      <c r="U2233" s="128">
        <v>745.63</v>
      </c>
      <c r="V2233" s="128">
        <v>0</v>
      </c>
      <c r="W2233" s="128">
        <v>745.63</v>
      </c>
      <c r="X2233" s="128">
        <v>0</v>
      </c>
      <c r="Y2233" s="128">
        <v>0</v>
      </c>
      <c r="Z2233" s="128">
        <v>0</v>
      </c>
      <c r="AA2233" s="128">
        <v>745.63</v>
      </c>
      <c r="AB2233" s="126">
        <f t="shared" ref="AB2233:AB2296" si="235">SUM(-Z2233-AA2233)/10^7</f>
        <v>-7.4562999999999997E-5</v>
      </c>
      <c r="AC2233" s="122" t="s">
        <v>1838</v>
      </c>
      <c r="AD2233" s="123">
        <f t="shared" si="231"/>
        <v>1983.9723217250009</v>
      </c>
    </row>
    <row r="2234" spans="1:30" ht="12.75" hidden="1" customHeight="1">
      <c r="A2234" s="125" t="str">
        <f t="shared" si="232"/>
        <v>LIC19IGST Payable</v>
      </c>
      <c r="B2234" s="125">
        <f>+IFERROR(VLOOKUP(L2234,'TB mapping'!A:D,4,0),0)</f>
        <v>0</v>
      </c>
      <c r="C2234" s="125">
        <f>+IFERROR(VLOOKUP(L2234,'TB mapping'!A:C,3,0),0)</f>
        <v>0</v>
      </c>
      <c r="D2234" s="125" t="str">
        <f t="shared" si="233"/>
        <v>LIC190</v>
      </c>
      <c r="E2234" s="125" t="str">
        <f t="shared" si="234"/>
        <v>LIC190</v>
      </c>
      <c r="F2234" s="158" t="str">
        <f>+VLOOKUP(H2234,'code mapping'!A:C,3,0)</f>
        <v>LIC19</v>
      </c>
      <c r="G2234" s="127" t="s">
        <v>453</v>
      </c>
      <c r="H2234" s="127" t="s">
        <v>763</v>
      </c>
      <c r="I2234" s="127" t="s">
        <v>227</v>
      </c>
      <c r="J2234" s="128">
        <v>212000</v>
      </c>
      <c r="K2234" s="127" t="s">
        <v>487</v>
      </c>
      <c r="L2234" s="151">
        <v>212114</v>
      </c>
      <c r="M2234" s="128">
        <v>0</v>
      </c>
      <c r="N2234" s="127" t="s">
        <v>492</v>
      </c>
      <c r="O2234" s="127" t="s">
        <v>457</v>
      </c>
      <c r="P2234" s="128">
        <v>0</v>
      </c>
      <c r="Q2234" s="128">
        <v>9155.94</v>
      </c>
      <c r="R2234" s="128">
        <v>0</v>
      </c>
      <c r="S2234" s="128">
        <v>0</v>
      </c>
      <c r="T2234" s="128">
        <v>0</v>
      </c>
      <c r="U2234" s="128">
        <v>9155.94</v>
      </c>
      <c r="V2234" s="128">
        <v>0</v>
      </c>
      <c r="W2234" s="128">
        <v>9155.94</v>
      </c>
      <c r="X2234" s="128">
        <v>0</v>
      </c>
      <c r="Y2234" s="128">
        <v>0</v>
      </c>
      <c r="Z2234" s="128">
        <v>0</v>
      </c>
      <c r="AA2234" s="128">
        <v>9155.94</v>
      </c>
      <c r="AB2234" s="126">
        <f t="shared" si="235"/>
        <v>-9.1559400000000004E-4</v>
      </c>
      <c r="AC2234" s="122" t="s">
        <v>1838</v>
      </c>
      <c r="AD2234" s="123">
        <f t="shared" si="231"/>
        <v>1983.9723217250009</v>
      </c>
    </row>
    <row r="2235" spans="1:30" ht="12.75" hidden="1" customHeight="1">
      <c r="A2235" s="125" t="str">
        <f t="shared" si="232"/>
        <v>LIC19Redemption Payable Ct</v>
      </c>
      <c r="B2235" s="125">
        <f>+IFERROR(VLOOKUP(L2235,'TB mapping'!A:D,4,0),0)</f>
        <v>0</v>
      </c>
      <c r="C2235" s="125">
        <f>+IFERROR(VLOOKUP(L2235,'TB mapping'!A:C,3,0),0)</f>
        <v>0</v>
      </c>
      <c r="D2235" s="125" t="str">
        <f t="shared" si="233"/>
        <v>LIC190</v>
      </c>
      <c r="E2235" s="125" t="str">
        <f t="shared" si="234"/>
        <v>LIC190</v>
      </c>
      <c r="F2235" s="158" t="str">
        <f>+VLOOKUP(H2235,'code mapping'!A:C,3,0)</f>
        <v>LIC19</v>
      </c>
      <c r="G2235" s="127" t="s">
        <v>453</v>
      </c>
      <c r="H2235" s="127" t="s">
        <v>763</v>
      </c>
      <c r="I2235" s="127" t="s">
        <v>227</v>
      </c>
      <c r="J2235" s="128">
        <v>212000</v>
      </c>
      <c r="K2235" s="127" t="s">
        <v>487</v>
      </c>
      <c r="L2235" s="151">
        <v>212121</v>
      </c>
      <c r="M2235" s="128">
        <v>0</v>
      </c>
      <c r="N2235" s="127" t="s">
        <v>493</v>
      </c>
      <c r="O2235" s="127" t="s">
        <v>457</v>
      </c>
      <c r="P2235" s="128">
        <v>0</v>
      </c>
      <c r="Q2235" s="128">
        <v>2642490.4300000002</v>
      </c>
      <c r="R2235" s="128">
        <v>0</v>
      </c>
      <c r="S2235" s="128">
        <v>0</v>
      </c>
      <c r="T2235" s="128">
        <v>0</v>
      </c>
      <c r="U2235" s="128">
        <v>2642490.4300000002</v>
      </c>
      <c r="V2235" s="128">
        <v>0</v>
      </c>
      <c r="W2235" s="128">
        <v>2642490.4300000002</v>
      </c>
      <c r="X2235" s="128">
        <v>0</v>
      </c>
      <c r="Y2235" s="128">
        <v>0</v>
      </c>
      <c r="Z2235" s="128">
        <v>0</v>
      </c>
      <c r="AA2235" s="128">
        <v>2642490.4300000002</v>
      </c>
      <c r="AB2235" s="126">
        <f t="shared" si="235"/>
        <v>-0.26424904300000002</v>
      </c>
      <c r="AC2235" s="122" t="s">
        <v>1838</v>
      </c>
      <c r="AD2235" s="123">
        <f t="shared" si="231"/>
        <v>1983.9723217250009</v>
      </c>
    </row>
    <row r="2236" spans="1:30" ht="12.75" hidden="1" customHeight="1">
      <c r="A2236" s="125" t="str">
        <f t="shared" si="232"/>
        <v>LIC19Switch Out Payable Ct</v>
      </c>
      <c r="B2236" s="125">
        <f>+IFERROR(VLOOKUP(L2236,'TB mapping'!A:D,4,0),0)</f>
        <v>0</v>
      </c>
      <c r="C2236" s="125">
        <f>+IFERROR(VLOOKUP(L2236,'TB mapping'!A:C,3,0),0)</f>
        <v>0</v>
      </c>
      <c r="D2236" s="125" t="str">
        <f t="shared" si="233"/>
        <v>LIC190</v>
      </c>
      <c r="E2236" s="125" t="str">
        <f t="shared" si="234"/>
        <v>LIC190</v>
      </c>
      <c r="F2236" s="158" t="str">
        <f>+VLOOKUP(H2236,'code mapping'!A:C,3,0)</f>
        <v>LIC19</v>
      </c>
      <c r="G2236" s="127" t="s">
        <v>453</v>
      </c>
      <c r="H2236" s="127" t="s">
        <v>763</v>
      </c>
      <c r="I2236" s="127" t="s">
        <v>227</v>
      </c>
      <c r="J2236" s="128">
        <v>212000</v>
      </c>
      <c r="K2236" s="127" t="s">
        <v>487</v>
      </c>
      <c r="L2236" s="151">
        <v>212124</v>
      </c>
      <c r="M2236" s="128">
        <v>0</v>
      </c>
      <c r="N2236" s="127" t="s">
        <v>494</v>
      </c>
      <c r="O2236" s="127" t="s">
        <v>457</v>
      </c>
      <c r="P2236" s="128">
        <v>0</v>
      </c>
      <c r="Q2236" s="128">
        <v>1212748.76</v>
      </c>
      <c r="R2236" s="128">
        <v>0</v>
      </c>
      <c r="S2236" s="128">
        <v>0</v>
      </c>
      <c r="T2236" s="128">
        <v>0</v>
      </c>
      <c r="U2236" s="128">
        <v>1212748.76</v>
      </c>
      <c r="V2236" s="128">
        <v>0</v>
      </c>
      <c r="W2236" s="128">
        <v>1212748.76</v>
      </c>
      <c r="X2236" s="128">
        <v>0</v>
      </c>
      <c r="Y2236" s="128">
        <v>0</v>
      </c>
      <c r="Z2236" s="128">
        <v>0</v>
      </c>
      <c r="AA2236" s="128">
        <v>1212748.76</v>
      </c>
      <c r="AB2236" s="126">
        <f t="shared" si="235"/>
        <v>-0.121274876</v>
      </c>
      <c r="AC2236" s="122" t="s">
        <v>1838</v>
      </c>
      <c r="AD2236" s="123">
        <f t="shared" si="231"/>
        <v>1983.9723217250009</v>
      </c>
    </row>
    <row r="2237" spans="1:30" ht="12.75" hidden="1" customHeight="1">
      <c r="A2237" s="125" t="str">
        <f t="shared" si="232"/>
        <v>LIC19Audit Fee-Payable</v>
      </c>
      <c r="B2237" s="125">
        <f>+IFERROR(VLOOKUP(L2237,'TB mapping'!A:D,4,0),0)</f>
        <v>0</v>
      </c>
      <c r="C2237" s="125">
        <f>+IFERROR(VLOOKUP(L2237,'TB mapping'!A:C,3,0),0)</f>
        <v>0</v>
      </c>
      <c r="D2237" s="125" t="str">
        <f t="shared" si="233"/>
        <v>LIC190</v>
      </c>
      <c r="E2237" s="125" t="str">
        <f t="shared" si="234"/>
        <v>LIC190</v>
      </c>
      <c r="F2237" s="158" t="str">
        <f>+VLOOKUP(H2237,'code mapping'!A:C,3,0)</f>
        <v>LIC19</v>
      </c>
      <c r="G2237" s="127" t="s">
        <v>453</v>
      </c>
      <c r="H2237" s="127" t="s">
        <v>763</v>
      </c>
      <c r="I2237" s="127" t="s">
        <v>227</v>
      </c>
      <c r="J2237" s="128">
        <v>212000</v>
      </c>
      <c r="K2237" s="127" t="s">
        <v>487</v>
      </c>
      <c r="L2237" s="151">
        <v>212194</v>
      </c>
      <c r="M2237" s="128">
        <v>0</v>
      </c>
      <c r="N2237" s="127" t="s">
        <v>496</v>
      </c>
      <c r="O2237" s="127" t="s">
        <v>457</v>
      </c>
      <c r="P2237" s="128">
        <v>-573.06000000000006</v>
      </c>
      <c r="Q2237" s="128">
        <v>0</v>
      </c>
      <c r="R2237" s="128">
        <v>0</v>
      </c>
      <c r="S2237" s="128">
        <v>0</v>
      </c>
      <c r="T2237" s="128">
        <v>-573.06000000000006</v>
      </c>
      <c r="U2237" s="128">
        <v>0</v>
      </c>
      <c r="V2237" s="128">
        <v>-573.06000000000006</v>
      </c>
      <c r="W2237" s="128">
        <v>0</v>
      </c>
      <c r="X2237" s="128">
        <v>0</v>
      </c>
      <c r="Y2237" s="128">
        <v>0</v>
      </c>
      <c r="Z2237" s="128">
        <v>-573.06000000000006</v>
      </c>
      <c r="AA2237" s="128">
        <v>0</v>
      </c>
      <c r="AB2237" s="126">
        <f t="shared" si="235"/>
        <v>5.7306000000000003E-5</v>
      </c>
      <c r="AC2237" s="122" t="s">
        <v>1838</v>
      </c>
      <c r="AD2237" s="123">
        <f t="shared" si="231"/>
        <v>1983.9723217250009</v>
      </c>
    </row>
    <row r="2238" spans="1:30" ht="12.75" hidden="1" customHeight="1">
      <c r="A2238" s="125" t="str">
        <f t="shared" si="232"/>
        <v>LIC19Other Exp- Payable</v>
      </c>
      <c r="B2238" s="125">
        <f>+IFERROR(VLOOKUP(L2238,'TB mapping'!A:D,4,0),0)</f>
        <v>0</v>
      </c>
      <c r="C2238" s="125">
        <f>+IFERROR(VLOOKUP(L2238,'TB mapping'!A:C,3,0),0)</f>
        <v>0</v>
      </c>
      <c r="D2238" s="125" t="str">
        <f t="shared" si="233"/>
        <v>LIC190</v>
      </c>
      <c r="E2238" s="125" t="str">
        <f t="shared" si="234"/>
        <v>LIC190</v>
      </c>
      <c r="F2238" s="158" t="str">
        <f>+VLOOKUP(H2238,'code mapping'!A:C,3,0)</f>
        <v>LIC19</v>
      </c>
      <c r="G2238" s="127" t="s">
        <v>453</v>
      </c>
      <c r="H2238" s="127" t="s">
        <v>763</v>
      </c>
      <c r="I2238" s="127" t="s">
        <v>227</v>
      </c>
      <c r="J2238" s="128">
        <v>212000</v>
      </c>
      <c r="K2238" s="127" t="s">
        <v>487</v>
      </c>
      <c r="L2238" s="151">
        <v>212220</v>
      </c>
      <c r="M2238" s="128">
        <v>0</v>
      </c>
      <c r="N2238" s="127" t="s">
        <v>497</v>
      </c>
      <c r="O2238" s="127" t="s">
        <v>457</v>
      </c>
      <c r="P2238" s="128">
        <v>0</v>
      </c>
      <c r="Q2238" s="128">
        <v>2841432.42</v>
      </c>
      <c r="R2238" s="128">
        <v>0</v>
      </c>
      <c r="S2238" s="128">
        <v>0</v>
      </c>
      <c r="T2238" s="128">
        <v>0</v>
      </c>
      <c r="U2238" s="128">
        <v>2841432.42</v>
      </c>
      <c r="V2238" s="128">
        <v>0</v>
      </c>
      <c r="W2238" s="128">
        <v>2841432.42</v>
      </c>
      <c r="X2238" s="128">
        <v>0</v>
      </c>
      <c r="Y2238" s="128">
        <v>0</v>
      </c>
      <c r="Z2238" s="128">
        <v>0</v>
      </c>
      <c r="AA2238" s="128">
        <v>2841432.42</v>
      </c>
      <c r="AB2238" s="126">
        <f t="shared" si="235"/>
        <v>-0.28414324200000002</v>
      </c>
      <c r="AC2238" s="122" t="s">
        <v>1838</v>
      </c>
      <c r="AD2238" s="123">
        <f t="shared" si="231"/>
        <v>1983.9723217250009</v>
      </c>
    </row>
    <row r="2239" spans="1:30" ht="12.75" hidden="1" customHeight="1">
      <c r="A2239" s="125" t="str">
        <f t="shared" si="232"/>
        <v>LIC19Expense Allocation-Liab'ity Ac</v>
      </c>
      <c r="B2239" s="125">
        <f>+IFERROR(VLOOKUP(L2239,'TB mapping'!A:D,4,0),0)</f>
        <v>0</v>
      </c>
      <c r="C2239" s="125">
        <f>+IFERROR(VLOOKUP(L2239,'TB mapping'!A:C,3,0),0)</f>
        <v>0</v>
      </c>
      <c r="D2239" s="125" t="str">
        <f t="shared" si="233"/>
        <v>LIC190</v>
      </c>
      <c r="E2239" s="125" t="str">
        <f t="shared" si="234"/>
        <v>LIC190</v>
      </c>
      <c r="F2239" s="158" t="str">
        <f>+VLOOKUP(H2239,'code mapping'!A:C,3,0)</f>
        <v>LIC19</v>
      </c>
      <c r="G2239" s="127" t="s">
        <v>453</v>
      </c>
      <c r="H2239" s="127" t="s">
        <v>763</v>
      </c>
      <c r="I2239" s="127" t="s">
        <v>227</v>
      </c>
      <c r="J2239" s="128">
        <v>212000</v>
      </c>
      <c r="K2239" s="127" t="s">
        <v>487</v>
      </c>
      <c r="L2239" s="151">
        <v>212223</v>
      </c>
      <c r="M2239" s="128">
        <v>0</v>
      </c>
      <c r="N2239" s="127" t="s">
        <v>498</v>
      </c>
      <c r="O2239" s="127" t="s">
        <v>457</v>
      </c>
      <c r="P2239" s="128">
        <v>-2365072.96</v>
      </c>
      <c r="Q2239" s="128">
        <v>0</v>
      </c>
      <c r="R2239" s="128">
        <v>0</v>
      </c>
      <c r="S2239" s="128">
        <v>0</v>
      </c>
      <c r="T2239" s="128">
        <v>-2365072.96</v>
      </c>
      <c r="U2239" s="128">
        <v>0</v>
      </c>
      <c r="V2239" s="128">
        <v>-2365072.96</v>
      </c>
      <c r="W2239" s="128">
        <v>0</v>
      </c>
      <c r="X2239" s="128">
        <v>0</v>
      </c>
      <c r="Y2239" s="128">
        <v>0</v>
      </c>
      <c r="Z2239" s="128">
        <v>-2365072.96</v>
      </c>
      <c r="AA2239" s="128">
        <v>0</v>
      </c>
      <c r="AB2239" s="126">
        <f t="shared" si="235"/>
        <v>0.23650729600000001</v>
      </c>
      <c r="AC2239" s="122" t="s">
        <v>1838</v>
      </c>
      <c r="AD2239" s="123">
        <f t="shared" si="231"/>
        <v>1983.9723217250009</v>
      </c>
    </row>
    <row r="2240" spans="1:30" ht="12.75" hidden="1" customHeight="1">
      <c r="A2240" s="125" t="str">
        <f t="shared" si="232"/>
        <v>LIC19Exp- Additional TER Payable</v>
      </c>
      <c r="B2240" s="125">
        <f>+IFERROR(VLOOKUP(L2240,'TB mapping'!A:D,4,0),0)</f>
        <v>0</v>
      </c>
      <c r="C2240" s="125">
        <f>+IFERROR(VLOOKUP(L2240,'TB mapping'!A:C,3,0),0)</f>
        <v>0</v>
      </c>
      <c r="D2240" s="125" t="str">
        <f t="shared" si="233"/>
        <v>LIC190</v>
      </c>
      <c r="E2240" s="125" t="str">
        <f t="shared" si="234"/>
        <v>LIC190</v>
      </c>
      <c r="F2240" s="158" t="str">
        <f>+VLOOKUP(H2240,'code mapping'!A:C,3,0)</f>
        <v>LIC19</v>
      </c>
      <c r="G2240" s="127" t="s">
        <v>453</v>
      </c>
      <c r="H2240" s="127" t="s">
        <v>763</v>
      </c>
      <c r="I2240" s="127" t="s">
        <v>227</v>
      </c>
      <c r="J2240" s="128">
        <v>212000</v>
      </c>
      <c r="K2240" s="127" t="s">
        <v>487</v>
      </c>
      <c r="L2240" s="151">
        <v>212227</v>
      </c>
      <c r="M2240" s="128">
        <v>0</v>
      </c>
      <c r="N2240" s="127" t="s">
        <v>627</v>
      </c>
      <c r="O2240" s="127" t="s">
        <v>457</v>
      </c>
      <c r="P2240" s="128">
        <v>0</v>
      </c>
      <c r="Q2240" s="128">
        <v>1153038.3700000001</v>
      </c>
      <c r="R2240" s="128">
        <v>0</v>
      </c>
      <c r="S2240" s="128">
        <v>0</v>
      </c>
      <c r="T2240" s="128">
        <v>0</v>
      </c>
      <c r="U2240" s="128">
        <v>1153038.3700000001</v>
      </c>
      <c r="V2240" s="128">
        <v>0</v>
      </c>
      <c r="W2240" s="128">
        <v>1153038.3700000001</v>
      </c>
      <c r="X2240" s="128">
        <v>0</v>
      </c>
      <c r="Y2240" s="128">
        <v>0</v>
      </c>
      <c r="Z2240" s="128">
        <v>0</v>
      </c>
      <c r="AA2240" s="128">
        <v>1153038.3700000001</v>
      </c>
      <c r="AB2240" s="126">
        <f t="shared" si="235"/>
        <v>-0.11530383700000001</v>
      </c>
      <c r="AC2240" s="122" t="s">
        <v>1838</v>
      </c>
      <c r="AD2240" s="123">
        <f t="shared" si="231"/>
        <v>1983.9723217250009</v>
      </c>
    </row>
    <row r="2241" spans="1:30" ht="12.75" hidden="1" customHeight="1">
      <c r="A2241" s="125" t="str">
        <f t="shared" si="232"/>
        <v>LIC19STT Payable</v>
      </c>
      <c r="B2241" s="125">
        <f>+IFERROR(VLOOKUP(L2241,'TB mapping'!A:D,4,0),0)</f>
        <v>0</v>
      </c>
      <c r="C2241" s="125">
        <f>+IFERROR(VLOOKUP(L2241,'TB mapping'!A:C,3,0),0)</f>
        <v>0</v>
      </c>
      <c r="D2241" s="125" t="str">
        <f t="shared" si="233"/>
        <v>LIC190</v>
      </c>
      <c r="E2241" s="125" t="str">
        <f t="shared" si="234"/>
        <v>LIC190</v>
      </c>
      <c r="F2241" s="158" t="str">
        <f>+VLOOKUP(H2241,'code mapping'!A:C,3,0)</f>
        <v>LIC19</v>
      </c>
      <c r="G2241" s="127" t="s">
        <v>453</v>
      </c>
      <c r="H2241" s="127" t="s">
        <v>763</v>
      </c>
      <c r="I2241" s="127" t="s">
        <v>227</v>
      </c>
      <c r="J2241" s="128">
        <v>212000</v>
      </c>
      <c r="K2241" s="127" t="s">
        <v>487</v>
      </c>
      <c r="L2241" s="151">
        <v>212231</v>
      </c>
      <c r="M2241" s="128">
        <v>0</v>
      </c>
      <c r="N2241" s="127" t="s">
        <v>748</v>
      </c>
      <c r="O2241" s="127" t="s">
        <v>457</v>
      </c>
      <c r="P2241" s="128">
        <v>0</v>
      </c>
      <c r="Q2241" s="128">
        <v>718.81</v>
      </c>
      <c r="R2241" s="128">
        <v>0</v>
      </c>
      <c r="S2241" s="128">
        <v>0</v>
      </c>
      <c r="T2241" s="128">
        <v>0</v>
      </c>
      <c r="U2241" s="128">
        <v>718.81</v>
      </c>
      <c r="V2241" s="128">
        <v>0</v>
      </c>
      <c r="W2241" s="128">
        <v>718.81</v>
      </c>
      <c r="X2241" s="128">
        <v>0</v>
      </c>
      <c r="Y2241" s="128">
        <v>0</v>
      </c>
      <c r="Z2241" s="128">
        <v>0</v>
      </c>
      <c r="AA2241" s="128">
        <v>718.81</v>
      </c>
      <c r="AB2241" s="126">
        <f t="shared" si="235"/>
        <v>-7.1880999999999998E-5</v>
      </c>
      <c r="AC2241" s="122" t="s">
        <v>1838</v>
      </c>
      <c r="AD2241" s="123">
        <f t="shared" si="231"/>
        <v>1983.9723217250009</v>
      </c>
    </row>
    <row r="2242" spans="1:30" ht="12.75" hidden="1" customHeight="1">
      <c r="A2242" s="125" t="str">
        <f t="shared" si="232"/>
        <v>LIC19Load Payable</v>
      </c>
      <c r="B2242" s="125">
        <f>+IFERROR(VLOOKUP(L2242,'TB mapping'!A:D,4,0),0)</f>
        <v>0</v>
      </c>
      <c r="C2242" s="125">
        <f>+IFERROR(VLOOKUP(L2242,'TB mapping'!A:C,3,0),0)</f>
        <v>0</v>
      </c>
      <c r="D2242" s="125" t="str">
        <f t="shared" si="233"/>
        <v>LIC190</v>
      </c>
      <c r="E2242" s="125" t="str">
        <f t="shared" si="234"/>
        <v>LIC190</v>
      </c>
      <c r="F2242" s="158" t="str">
        <f>+VLOOKUP(H2242,'code mapping'!A:C,3,0)</f>
        <v>LIC19</v>
      </c>
      <c r="G2242" s="127" t="s">
        <v>453</v>
      </c>
      <c r="H2242" s="127" t="s">
        <v>763</v>
      </c>
      <c r="I2242" s="127" t="s">
        <v>227</v>
      </c>
      <c r="J2242" s="128">
        <v>212000</v>
      </c>
      <c r="K2242" s="127" t="s">
        <v>487</v>
      </c>
      <c r="L2242" s="151">
        <v>212232</v>
      </c>
      <c r="M2242" s="128">
        <v>0</v>
      </c>
      <c r="N2242" s="127" t="s">
        <v>749</v>
      </c>
      <c r="O2242" s="127" t="s">
        <v>457</v>
      </c>
      <c r="P2242" s="128">
        <v>0</v>
      </c>
      <c r="Q2242" s="128">
        <v>9758.2900000000009</v>
      </c>
      <c r="R2242" s="128">
        <v>0</v>
      </c>
      <c r="S2242" s="128">
        <v>0</v>
      </c>
      <c r="T2242" s="128">
        <v>0</v>
      </c>
      <c r="U2242" s="128">
        <v>9758.2900000000009</v>
      </c>
      <c r="V2242" s="128">
        <v>0</v>
      </c>
      <c r="W2242" s="128">
        <v>9758.2900000000009</v>
      </c>
      <c r="X2242" s="128">
        <v>0</v>
      </c>
      <c r="Y2242" s="128">
        <v>0</v>
      </c>
      <c r="Z2242" s="128">
        <v>0</v>
      </c>
      <c r="AA2242" s="128">
        <v>9758.2900000000009</v>
      </c>
      <c r="AB2242" s="126">
        <f t="shared" si="235"/>
        <v>-9.7582900000000011E-4</v>
      </c>
      <c r="AC2242" s="122" t="s">
        <v>1838</v>
      </c>
      <c r="AD2242" s="123">
        <f t="shared" si="231"/>
        <v>1983.9723217250009</v>
      </c>
    </row>
    <row r="2243" spans="1:30" ht="12.75" hidden="1" customHeight="1">
      <c r="A2243" s="125" t="str">
        <f t="shared" si="232"/>
        <v>LIC19Investor Education Payable</v>
      </c>
      <c r="B2243" s="125">
        <f>+IFERROR(VLOOKUP(L2243,'TB mapping'!A:D,4,0),0)</f>
        <v>0</v>
      </c>
      <c r="C2243" s="125">
        <f>+IFERROR(VLOOKUP(L2243,'TB mapping'!A:C,3,0),0)</f>
        <v>0</v>
      </c>
      <c r="D2243" s="125" t="str">
        <f t="shared" si="233"/>
        <v>LIC190</v>
      </c>
      <c r="E2243" s="125" t="str">
        <f t="shared" si="234"/>
        <v>LIC190</v>
      </c>
      <c r="F2243" s="158" t="str">
        <f>+VLOOKUP(H2243,'code mapping'!A:C,3,0)</f>
        <v>LIC19</v>
      </c>
      <c r="G2243" s="127" t="s">
        <v>453</v>
      </c>
      <c r="H2243" s="127" t="s">
        <v>763</v>
      </c>
      <c r="I2243" s="127" t="s">
        <v>227</v>
      </c>
      <c r="J2243" s="128">
        <v>212000</v>
      </c>
      <c r="K2243" s="127" t="s">
        <v>487</v>
      </c>
      <c r="L2243" s="151">
        <v>212240</v>
      </c>
      <c r="M2243" s="128">
        <v>0</v>
      </c>
      <c r="N2243" s="127" t="s">
        <v>500</v>
      </c>
      <c r="O2243" s="127" t="s">
        <v>457</v>
      </c>
      <c r="P2243" s="128">
        <v>0</v>
      </c>
      <c r="Q2243" s="128">
        <v>20172.990000000002</v>
      </c>
      <c r="R2243" s="128">
        <v>0</v>
      </c>
      <c r="S2243" s="128">
        <v>0</v>
      </c>
      <c r="T2243" s="128">
        <v>0</v>
      </c>
      <c r="U2243" s="128">
        <v>20172.990000000002</v>
      </c>
      <c r="V2243" s="128">
        <v>0</v>
      </c>
      <c r="W2243" s="128">
        <v>20172.990000000002</v>
      </c>
      <c r="X2243" s="128">
        <v>0</v>
      </c>
      <c r="Y2243" s="128">
        <v>0</v>
      </c>
      <c r="Z2243" s="128">
        <v>0</v>
      </c>
      <c r="AA2243" s="128">
        <v>20172.990000000002</v>
      </c>
      <c r="AB2243" s="126">
        <f t="shared" si="235"/>
        <v>-2.0172990000000002E-3</v>
      </c>
      <c r="AC2243" s="122" t="s">
        <v>1838</v>
      </c>
      <c r="AD2243" s="123">
        <f t="shared" si="231"/>
        <v>1983.9723217250009</v>
      </c>
    </row>
    <row r="2244" spans="1:30" ht="12.75" hidden="1" customHeight="1">
      <c r="A2244" s="125" t="str">
        <f t="shared" si="232"/>
        <v>LIC19Transaction Charges Payable</v>
      </c>
      <c r="B2244" s="125">
        <f>+IFERROR(VLOOKUP(L2244,'TB mapping'!A:D,4,0),0)</f>
        <v>0</v>
      </c>
      <c r="C2244" s="125">
        <f>+IFERROR(VLOOKUP(L2244,'TB mapping'!A:C,3,0),0)</f>
        <v>0</v>
      </c>
      <c r="D2244" s="125" t="str">
        <f t="shared" si="233"/>
        <v>LIC190</v>
      </c>
      <c r="E2244" s="125" t="str">
        <f t="shared" si="234"/>
        <v>LIC190</v>
      </c>
      <c r="F2244" s="158" t="str">
        <f>+VLOOKUP(H2244,'code mapping'!A:C,3,0)</f>
        <v>LIC19</v>
      </c>
      <c r="G2244" s="127" t="s">
        <v>453</v>
      </c>
      <c r="H2244" s="127" t="s">
        <v>763</v>
      </c>
      <c r="I2244" s="127" t="s">
        <v>227</v>
      </c>
      <c r="J2244" s="128">
        <v>212000</v>
      </c>
      <c r="K2244" s="127" t="s">
        <v>487</v>
      </c>
      <c r="L2244" s="151">
        <v>212247</v>
      </c>
      <c r="M2244" s="128">
        <v>0</v>
      </c>
      <c r="N2244" s="127" t="s">
        <v>501</v>
      </c>
      <c r="O2244" s="127" t="s">
        <v>457</v>
      </c>
      <c r="P2244" s="128">
        <v>0</v>
      </c>
      <c r="Q2244" s="128">
        <v>8517.5</v>
      </c>
      <c r="R2244" s="128">
        <v>0</v>
      </c>
      <c r="S2244" s="128">
        <v>0</v>
      </c>
      <c r="T2244" s="128">
        <v>0</v>
      </c>
      <c r="U2244" s="128">
        <v>8517.5</v>
      </c>
      <c r="V2244" s="128">
        <v>0</v>
      </c>
      <c r="W2244" s="128">
        <v>8517.5</v>
      </c>
      <c r="X2244" s="128">
        <v>0</v>
      </c>
      <c r="Y2244" s="128">
        <v>0</v>
      </c>
      <c r="Z2244" s="128">
        <v>0</v>
      </c>
      <c r="AA2244" s="128">
        <v>8517.5</v>
      </c>
      <c r="AB2244" s="126">
        <f t="shared" si="235"/>
        <v>-8.5174999999999997E-4</v>
      </c>
      <c r="AC2244" s="122" t="s">
        <v>1838</v>
      </c>
      <c r="AD2244" s="123">
        <f t="shared" si="231"/>
        <v>1983.9723217250009</v>
      </c>
    </row>
    <row r="2245" spans="1:30" ht="12.75" hidden="1" customHeight="1">
      <c r="A2245" s="125" t="str">
        <f t="shared" si="232"/>
        <v>LIC19Brokerage &amp; Dist Exp Payable</v>
      </c>
      <c r="B2245" s="125">
        <f>+IFERROR(VLOOKUP(L2245,'TB mapping'!A:D,4,0),0)</f>
        <v>0</v>
      </c>
      <c r="C2245" s="125">
        <f>+IFERROR(VLOOKUP(L2245,'TB mapping'!A:C,3,0),0)</f>
        <v>0</v>
      </c>
      <c r="D2245" s="125" t="str">
        <f t="shared" si="233"/>
        <v>LIC190</v>
      </c>
      <c r="E2245" s="125" t="str">
        <f t="shared" si="234"/>
        <v>LIC190</v>
      </c>
      <c r="F2245" s="158" t="str">
        <f>+VLOOKUP(H2245,'code mapping'!A:C,3,0)</f>
        <v>LIC19</v>
      </c>
      <c r="G2245" s="127" t="s">
        <v>453</v>
      </c>
      <c r="H2245" s="127" t="s">
        <v>763</v>
      </c>
      <c r="I2245" s="127" t="s">
        <v>227</v>
      </c>
      <c r="J2245" s="128">
        <v>212000</v>
      </c>
      <c r="K2245" s="127" t="s">
        <v>487</v>
      </c>
      <c r="L2245" s="151">
        <v>212255</v>
      </c>
      <c r="M2245" s="128">
        <v>0</v>
      </c>
      <c r="N2245" s="127" t="s">
        <v>503</v>
      </c>
      <c r="O2245" s="127" t="s">
        <v>457</v>
      </c>
      <c r="P2245" s="128">
        <v>0</v>
      </c>
      <c r="Q2245" s="128">
        <v>3050822.27</v>
      </c>
      <c r="R2245" s="128">
        <v>0</v>
      </c>
      <c r="S2245" s="128">
        <v>0</v>
      </c>
      <c r="T2245" s="128">
        <v>0</v>
      </c>
      <c r="U2245" s="128">
        <v>3050822.27</v>
      </c>
      <c r="V2245" s="128">
        <v>0</v>
      </c>
      <c r="W2245" s="128">
        <v>3050822.27</v>
      </c>
      <c r="X2245" s="128">
        <v>0</v>
      </c>
      <c r="Y2245" s="128">
        <v>0</v>
      </c>
      <c r="Z2245" s="128">
        <v>0</v>
      </c>
      <c r="AA2245" s="128">
        <v>3050822.27</v>
      </c>
      <c r="AB2245" s="126">
        <f t="shared" si="235"/>
        <v>-0.30508222699999998</v>
      </c>
      <c r="AC2245" s="122" t="s">
        <v>1838</v>
      </c>
      <c r="AD2245" s="123">
        <f t="shared" si="231"/>
        <v>1983.9723217250009</v>
      </c>
    </row>
    <row r="2246" spans="1:30" ht="12.75" hidden="1" customHeight="1">
      <c r="A2246" s="125" t="str">
        <f t="shared" si="232"/>
        <v>LIC19Upfront Brk &amp; Trail Paid-Liab</v>
      </c>
      <c r="B2246" s="125">
        <f>+IFERROR(VLOOKUP(L2246,'TB mapping'!A:D,4,0),0)</f>
        <v>0</v>
      </c>
      <c r="C2246" s="125">
        <f>+IFERROR(VLOOKUP(L2246,'TB mapping'!A:C,3,0),0)</f>
        <v>0</v>
      </c>
      <c r="D2246" s="125" t="str">
        <f t="shared" si="233"/>
        <v>LIC190</v>
      </c>
      <c r="E2246" s="125" t="str">
        <f t="shared" si="234"/>
        <v>LIC190</v>
      </c>
      <c r="F2246" s="158" t="str">
        <f>+VLOOKUP(H2246,'code mapping'!A:C,3,0)</f>
        <v>LIC19</v>
      </c>
      <c r="G2246" s="127" t="s">
        <v>453</v>
      </c>
      <c r="H2246" s="127" t="s">
        <v>763</v>
      </c>
      <c r="I2246" s="127" t="s">
        <v>227</v>
      </c>
      <c r="J2246" s="128">
        <v>212000</v>
      </c>
      <c r="K2246" s="127" t="s">
        <v>487</v>
      </c>
      <c r="L2246" s="151">
        <v>212257</v>
      </c>
      <c r="M2246" s="128">
        <v>0</v>
      </c>
      <c r="N2246" s="127" t="s">
        <v>504</v>
      </c>
      <c r="O2246" s="127" t="s">
        <v>457</v>
      </c>
      <c r="P2246" s="128">
        <v>0</v>
      </c>
      <c r="Q2246" s="128">
        <v>3704.53</v>
      </c>
      <c r="R2246" s="128">
        <v>0</v>
      </c>
      <c r="S2246" s="128">
        <v>0</v>
      </c>
      <c r="T2246" s="128">
        <v>0</v>
      </c>
      <c r="U2246" s="128">
        <v>3704.53</v>
      </c>
      <c r="V2246" s="128">
        <v>0</v>
      </c>
      <c r="W2246" s="128">
        <v>3704.53</v>
      </c>
      <c r="X2246" s="128">
        <v>0</v>
      </c>
      <c r="Y2246" s="128">
        <v>0</v>
      </c>
      <c r="Z2246" s="128">
        <v>0</v>
      </c>
      <c r="AA2246" s="128">
        <v>3704.53</v>
      </c>
      <c r="AB2246" s="126">
        <f t="shared" si="235"/>
        <v>-3.7045300000000003E-4</v>
      </c>
      <c r="AC2246" s="122" t="s">
        <v>1838</v>
      </c>
      <c r="AD2246" s="123">
        <f t="shared" si="231"/>
        <v>1983.9723217250009</v>
      </c>
    </row>
    <row r="2247" spans="1:30" ht="12.75" hidden="1" customHeight="1">
      <c r="A2247" s="125" t="str">
        <f t="shared" si="232"/>
        <v>LIC19Payable CGST on Mfees</v>
      </c>
      <c r="B2247" s="125">
        <f>+IFERROR(VLOOKUP(L2247,'TB mapping'!A:D,4,0),0)</f>
        <v>0</v>
      </c>
      <c r="C2247" s="125">
        <f>+IFERROR(VLOOKUP(L2247,'TB mapping'!A:C,3,0),0)</f>
        <v>0</v>
      </c>
      <c r="D2247" s="125" t="str">
        <f t="shared" si="233"/>
        <v>LIC190</v>
      </c>
      <c r="E2247" s="125" t="str">
        <f t="shared" si="234"/>
        <v>LIC190</v>
      </c>
      <c r="F2247" s="158" t="str">
        <f>+VLOOKUP(H2247,'code mapping'!A:C,3,0)</f>
        <v>LIC19</v>
      </c>
      <c r="G2247" s="127" t="s">
        <v>453</v>
      </c>
      <c r="H2247" s="127" t="s">
        <v>763</v>
      </c>
      <c r="I2247" s="127" t="s">
        <v>227</v>
      </c>
      <c r="J2247" s="128">
        <v>212000</v>
      </c>
      <c r="K2247" s="127" t="s">
        <v>487</v>
      </c>
      <c r="L2247" s="151">
        <v>212271</v>
      </c>
      <c r="M2247" s="128">
        <v>0</v>
      </c>
      <c r="N2247" s="127" t="s">
        <v>505</v>
      </c>
      <c r="O2247" s="127" t="s">
        <v>457</v>
      </c>
      <c r="P2247" s="128">
        <v>0</v>
      </c>
      <c r="Q2247" s="128">
        <v>45197.2</v>
      </c>
      <c r="R2247" s="128">
        <v>0</v>
      </c>
      <c r="S2247" s="128">
        <v>0</v>
      </c>
      <c r="T2247" s="128">
        <v>0</v>
      </c>
      <c r="U2247" s="128">
        <v>45197.2</v>
      </c>
      <c r="V2247" s="128">
        <v>0</v>
      </c>
      <c r="W2247" s="128">
        <v>45197.2</v>
      </c>
      <c r="X2247" s="128">
        <v>0</v>
      </c>
      <c r="Y2247" s="128">
        <v>0</v>
      </c>
      <c r="Z2247" s="128">
        <v>0</v>
      </c>
      <c r="AA2247" s="128">
        <v>45197.2</v>
      </c>
      <c r="AB2247" s="126">
        <f t="shared" si="235"/>
        <v>-4.5197199999999996E-3</v>
      </c>
      <c r="AC2247" s="122" t="s">
        <v>1838</v>
      </c>
      <c r="AD2247" s="123">
        <f t="shared" si="231"/>
        <v>1983.9723217250009</v>
      </c>
    </row>
    <row r="2248" spans="1:30" ht="12.75" hidden="1" customHeight="1">
      <c r="A2248" s="125" t="str">
        <f t="shared" si="232"/>
        <v>LIC19Payable SGST on Mfees</v>
      </c>
      <c r="B2248" s="125">
        <f>+IFERROR(VLOOKUP(L2248,'TB mapping'!A:D,4,0),0)</f>
        <v>0</v>
      </c>
      <c r="C2248" s="125">
        <f>+IFERROR(VLOOKUP(L2248,'TB mapping'!A:C,3,0),0)</f>
        <v>0</v>
      </c>
      <c r="D2248" s="125" t="str">
        <f t="shared" si="233"/>
        <v>LIC190</v>
      </c>
      <c r="E2248" s="125" t="str">
        <f t="shared" si="234"/>
        <v>LIC190</v>
      </c>
      <c r="F2248" s="158" t="str">
        <f>+VLOOKUP(H2248,'code mapping'!A:C,3,0)</f>
        <v>LIC19</v>
      </c>
      <c r="G2248" s="127" t="s">
        <v>453</v>
      </c>
      <c r="H2248" s="127" t="s">
        <v>763</v>
      </c>
      <c r="I2248" s="127" t="s">
        <v>227</v>
      </c>
      <c r="J2248" s="128">
        <v>212000</v>
      </c>
      <c r="K2248" s="127" t="s">
        <v>487</v>
      </c>
      <c r="L2248" s="151">
        <v>212272</v>
      </c>
      <c r="M2248" s="128">
        <v>0</v>
      </c>
      <c r="N2248" s="127" t="s">
        <v>506</v>
      </c>
      <c r="O2248" s="127" t="s">
        <v>457</v>
      </c>
      <c r="P2248" s="128">
        <v>0</v>
      </c>
      <c r="Q2248" s="128">
        <v>45197.2</v>
      </c>
      <c r="R2248" s="128">
        <v>0</v>
      </c>
      <c r="S2248" s="128">
        <v>0</v>
      </c>
      <c r="T2248" s="128">
        <v>0</v>
      </c>
      <c r="U2248" s="128">
        <v>45197.2</v>
      </c>
      <c r="V2248" s="128">
        <v>0</v>
      </c>
      <c r="W2248" s="128">
        <v>45197.2</v>
      </c>
      <c r="X2248" s="128">
        <v>0</v>
      </c>
      <c r="Y2248" s="128">
        <v>0</v>
      </c>
      <c r="Z2248" s="128">
        <v>0</v>
      </c>
      <c r="AA2248" s="128">
        <v>45197.2</v>
      </c>
      <c r="AB2248" s="126">
        <f t="shared" si="235"/>
        <v>-4.5197199999999996E-3</v>
      </c>
      <c r="AC2248" s="122" t="s">
        <v>1838</v>
      </c>
      <c r="AD2248" s="123">
        <f t="shared" si="231"/>
        <v>1983.9723217250009</v>
      </c>
    </row>
    <row r="2249" spans="1:30" ht="12.75" hidden="1" customHeight="1">
      <c r="A2249" s="125" t="str">
        <f t="shared" si="232"/>
        <v>LIC19Payable -Inv Educ Fund-AMFI</v>
      </c>
      <c r="B2249" s="125">
        <f>+IFERROR(VLOOKUP(L2249,'TB mapping'!A:D,4,0),0)</f>
        <v>0</v>
      </c>
      <c r="C2249" s="125">
        <f>+IFERROR(VLOOKUP(L2249,'TB mapping'!A:C,3,0),0)</f>
        <v>0</v>
      </c>
      <c r="D2249" s="125" t="str">
        <f t="shared" si="233"/>
        <v>LIC190</v>
      </c>
      <c r="E2249" s="125" t="str">
        <f t="shared" si="234"/>
        <v>LIC190</v>
      </c>
      <c r="F2249" s="158" t="str">
        <f>+VLOOKUP(H2249,'code mapping'!A:C,3,0)</f>
        <v>LIC19</v>
      </c>
      <c r="G2249" s="127" t="s">
        <v>453</v>
      </c>
      <c r="H2249" s="127" t="s">
        <v>763</v>
      </c>
      <c r="I2249" s="127" t="s">
        <v>227</v>
      </c>
      <c r="J2249" s="128">
        <v>212000</v>
      </c>
      <c r="K2249" s="127" t="s">
        <v>487</v>
      </c>
      <c r="L2249" s="151">
        <v>213166</v>
      </c>
      <c r="M2249" s="128">
        <v>0</v>
      </c>
      <c r="N2249" s="127" t="s">
        <v>507</v>
      </c>
      <c r="O2249" s="127" t="s">
        <v>457</v>
      </c>
      <c r="P2249" s="128">
        <v>0</v>
      </c>
      <c r="Q2249" s="128">
        <v>20172.990000000002</v>
      </c>
      <c r="R2249" s="128">
        <v>0</v>
      </c>
      <c r="S2249" s="128">
        <v>0</v>
      </c>
      <c r="T2249" s="128">
        <v>0</v>
      </c>
      <c r="U2249" s="128">
        <v>20172.990000000002</v>
      </c>
      <c r="V2249" s="128">
        <v>0</v>
      </c>
      <c r="W2249" s="128">
        <v>20172.990000000002</v>
      </c>
      <c r="X2249" s="128">
        <v>0</v>
      </c>
      <c r="Y2249" s="128">
        <v>0</v>
      </c>
      <c r="Z2249" s="128">
        <v>0</v>
      </c>
      <c r="AA2249" s="128">
        <v>20172.990000000002</v>
      </c>
      <c r="AB2249" s="126">
        <f t="shared" si="235"/>
        <v>-2.0172990000000002E-3</v>
      </c>
      <c r="AC2249" s="122" t="s">
        <v>1838</v>
      </c>
      <c r="AD2249" s="123">
        <f t="shared" si="231"/>
        <v>1983.9723217250009</v>
      </c>
    </row>
    <row r="2250" spans="1:30" ht="12.75" hidden="1" customHeight="1">
      <c r="A2250" s="125" t="str">
        <f t="shared" si="232"/>
        <v>LIC19Management Fee Payable</v>
      </c>
      <c r="B2250" s="125">
        <f>+IFERROR(VLOOKUP(L2250,'TB mapping'!A:D,4,0),0)</f>
        <v>0</v>
      </c>
      <c r="C2250" s="125">
        <f>+IFERROR(VLOOKUP(L2250,'TB mapping'!A:C,3,0),0)</f>
        <v>0</v>
      </c>
      <c r="D2250" s="125" t="str">
        <f t="shared" si="233"/>
        <v>LIC190</v>
      </c>
      <c r="E2250" s="125" t="str">
        <f t="shared" si="234"/>
        <v>LIC190</v>
      </c>
      <c r="F2250" s="158" t="str">
        <f>+VLOOKUP(H2250,'code mapping'!A:C,3,0)</f>
        <v>LIC19</v>
      </c>
      <c r="G2250" s="127" t="s">
        <v>453</v>
      </c>
      <c r="H2250" s="127" t="s">
        <v>763</v>
      </c>
      <c r="I2250" s="127" t="s">
        <v>227</v>
      </c>
      <c r="J2250" s="128">
        <v>213000</v>
      </c>
      <c r="K2250" s="127" t="s">
        <v>508</v>
      </c>
      <c r="L2250" s="151">
        <v>213500</v>
      </c>
      <c r="M2250" s="128">
        <v>0</v>
      </c>
      <c r="N2250" s="127" t="s">
        <v>509</v>
      </c>
      <c r="O2250" s="127" t="s">
        <v>457</v>
      </c>
      <c r="P2250" s="128">
        <v>0</v>
      </c>
      <c r="Q2250" s="128">
        <v>502128.24</v>
      </c>
      <c r="R2250" s="128">
        <v>0</v>
      </c>
      <c r="S2250" s="128">
        <v>0</v>
      </c>
      <c r="T2250" s="128">
        <v>0</v>
      </c>
      <c r="U2250" s="128">
        <v>502128.24</v>
      </c>
      <c r="V2250" s="128">
        <v>0</v>
      </c>
      <c r="W2250" s="128">
        <v>502128.24</v>
      </c>
      <c r="X2250" s="128">
        <v>0</v>
      </c>
      <c r="Y2250" s="128">
        <v>0</v>
      </c>
      <c r="Z2250" s="128">
        <v>0</v>
      </c>
      <c r="AA2250" s="128">
        <v>502128.24</v>
      </c>
      <c r="AB2250" s="126">
        <f t="shared" si="235"/>
        <v>-5.0212823999999996E-2</v>
      </c>
      <c r="AC2250" s="122" t="s">
        <v>1838</v>
      </c>
      <c r="AD2250" s="123">
        <f t="shared" si="231"/>
        <v>1983.9723217250009</v>
      </c>
    </row>
    <row r="2251" spans="1:30" ht="12.75" hidden="1" customHeight="1">
      <c r="A2251" s="125" t="str">
        <f t="shared" si="232"/>
        <v>LIC19Other Adjustment A/c.</v>
      </c>
      <c r="B2251" s="125">
        <f>+IFERROR(VLOOKUP(L2251,'TB mapping'!A:D,4,0),0)</f>
        <v>0</v>
      </c>
      <c r="C2251" s="125">
        <f>+IFERROR(VLOOKUP(L2251,'TB mapping'!A:C,3,0),0)</f>
        <v>0</v>
      </c>
      <c r="D2251" s="125" t="str">
        <f t="shared" si="233"/>
        <v>LIC190</v>
      </c>
      <c r="E2251" s="125" t="str">
        <f t="shared" si="234"/>
        <v>LIC190</v>
      </c>
      <c r="F2251" s="158" t="str">
        <f>+VLOOKUP(H2251,'code mapping'!A:C,3,0)</f>
        <v>LIC19</v>
      </c>
      <c r="G2251" s="127" t="s">
        <v>453</v>
      </c>
      <c r="H2251" s="127" t="s">
        <v>763</v>
      </c>
      <c r="I2251" s="127" t="s">
        <v>227</v>
      </c>
      <c r="J2251" s="128">
        <v>220000</v>
      </c>
      <c r="K2251" s="127" t="s">
        <v>510</v>
      </c>
      <c r="L2251" s="151">
        <v>190000</v>
      </c>
      <c r="M2251" s="128">
        <v>0</v>
      </c>
      <c r="N2251" s="127" t="s">
        <v>511</v>
      </c>
      <c r="O2251" s="127" t="s">
        <v>457</v>
      </c>
      <c r="P2251" s="128">
        <v>-0.41</v>
      </c>
      <c r="Q2251" s="128">
        <v>0</v>
      </c>
      <c r="R2251" s="128">
        <v>0</v>
      </c>
      <c r="S2251" s="128">
        <v>0</v>
      </c>
      <c r="T2251" s="128">
        <v>-0.41</v>
      </c>
      <c r="U2251" s="128">
        <v>0</v>
      </c>
      <c r="V2251" s="128">
        <v>-0.41</v>
      </c>
      <c r="W2251" s="128">
        <v>0</v>
      </c>
      <c r="X2251" s="128">
        <v>0</v>
      </c>
      <c r="Y2251" s="128">
        <v>0</v>
      </c>
      <c r="Z2251" s="128">
        <v>-0.41</v>
      </c>
      <c r="AA2251" s="128">
        <v>0</v>
      </c>
      <c r="AB2251" s="126">
        <f t="shared" si="235"/>
        <v>4.0999999999999997E-8</v>
      </c>
      <c r="AC2251" s="122" t="s">
        <v>1838</v>
      </c>
      <c r="AD2251" s="123">
        <f t="shared" si="231"/>
        <v>1983.9723217250009</v>
      </c>
    </row>
    <row r="2252" spans="1:30" ht="12.75" hidden="1" customHeight="1">
      <c r="A2252" s="125" t="str">
        <f t="shared" si="232"/>
        <v>LIC19Prov For Withholding Brokerage</v>
      </c>
      <c r="B2252" s="125">
        <f>+IFERROR(VLOOKUP(L2252,'TB mapping'!A:D,4,0),0)</f>
        <v>0</v>
      </c>
      <c r="C2252" s="125">
        <f>+IFERROR(VLOOKUP(L2252,'TB mapping'!A:C,3,0),0)</f>
        <v>0</v>
      </c>
      <c r="D2252" s="125" t="str">
        <f t="shared" si="233"/>
        <v>LIC190</v>
      </c>
      <c r="E2252" s="125" t="str">
        <f t="shared" si="234"/>
        <v>LIC190</v>
      </c>
      <c r="F2252" s="158" t="str">
        <f>+VLOOKUP(H2252,'code mapping'!A:C,3,0)</f>
        <v>LIC19</v>
      </c>
      <c r="G2252" s="127" t="s">
        <v>453</v>
      </c>
      <c r="H2252" s="127" t="s">
        <v>763</v>
      </c>
      <c r="I2252" s="127" t="s">
        <v>227</v>
      </c>
      <c r="J2252" s="128">
        <v>220000</v>
      </c>
      <c r="K2252" s="127" t="s">
        <v>510</v>
      </c>
      <c r="L2252" s="151">
        <v>210162</v>
      </c>
      <c r="M2252" s="128">
        <v>0</v>
      </c>
      <c r="N2252" s="127" t="s">
        <v>512</v>
      </c>
      <c r="O2252" s="127" t="s">
        <v>457</v>
      </c>
      <c r="P2252" s="128">
        <v>0</v>
      </c>
      <c r="Q2252" s="128">
        <v>543123.11</v>
      </c>
      <c r="R2252" s="128">
        <v>0</v>
      </c>
      <c r="S2252" s="128">
        <v>0</v>
      </c>
      <c r="T2252" s="128">
        <v>0</v>
      </c>
      <c r="U2252" s="128">
        <v>543123.11</v>
      </c>
      <c r="V2252" s="128">
        <v>0</v>
      </c>
      <c r="W2252" s="128">
        <v>543123.11</v>
      </c>
      <c r="X2252" s="128">
        <v>0</v>
      </c>
      <c r="Y2252" s="128">
        <v>0</v>
      </c>
      <c r="Z2252" s="128">
        <v>0</v>
      </c>
      <c r="AA2252" s="128">
        <v>543123.11</v>
      </c>
      <c r="AB2252" s="126">
        <f t="shared" si="235"/>
        <v>-5.4312311000000002E-2</v>
      </c>
      <c r="AC2252" s="122" t="s">
        <v>1838</v>
      </c>
      <c r="AD2252" s="123">
        <f t="shared" si="231"/>
        <v>1983.9723217250009</v>
      </c>
    </row>
    <row r="2253" spans="1:30" ht="12.75" hidden="1" customHeight="1">
      <c r="A2253" s="125" t="str">
        <f t="shared" si="232"/>
        <v>LIC19Prov  Withholding Brok 2016-17</v>
      </c>
      <c r="B2253" s="125">
        <f>+IFERROR(VLOOKUP(L2253,'TB mapping'!A:D,4,0),0)</f>
        <v>0</v>
      </c>
      <c r="C2253" s="125">
        <f>+IFERROR(VLOOKUP(L2253,'TB mapping'!A:C,3,0),0)</f>
        <v>0</v>
      </c>
      <c r="D2253" s="125" t="str">
        <f t="shared" si="233"/>
        <v>LIC190</v>
      </c>
      <c r="E2253" s="125" t="str">
        <f t="shared" si="234"/>
        <v>LIC190</v>
      </c>
      <c r="F2253" s="158" t="str">
        <f>+VLOOKUP(H2253,'code mapping'!A:C,3,0)</f>
        <v>LIC19</v>
      </c>
      <c r="G2253" s="127" t="s">
        <v>453</v>
      </c>
      <c r="H2253" s="127" t="s">
        <v>763</v>
      </c>
      <c r="I2253" s="127" t="s">
        <v>227</v>
      </c>
      <c r="J2253" s="128">
        <v>220000</v>
      </c>
      <c r="K2253" s="127" t="s">
        <v>510</v>
      </c>
      <c r="L2253" s="151">
        <v>210163</v>
      </c>
      <c r="M2253" s="128">
        <v>0</v>
      </c>
      <c r="N2253" s="127" t="s">
        <v>513</v>
      </c>
      <c r="O2253" s="127" t="s">
        <v>457</v>
      </c>
      <c r="P2253" s="128">
        <v>0</v>
      </c>
      <c r="Q2253" s="128">
        <v>787282.99</v>
      </c>
      <c r="R2253" s="128">
        <v>0</v>
      </c>
      <c r="S2253" s="128">
        <v>0</v>
      </c>
      <c r="T2253" s="128">
        <v>0</v>
      </c>
      <c r="U2253" s="128">
        <v>787282.99</v>
      </c>
      <c r="V2253" s="128">
        <v>0</v>
      </c>
      <c r="W2253" s="128">
        <v>787282.99</v>
      </c>
      <c r="X2253" s="128">
        <v>0</v>
      </c>
      <c r="Y2253" s="128">
        <v>0</v>
      </c>
      <c r="Z2253" s="128">
        <v>0</v>
      </c>
      <c r="AA2253" s="128">
        <v>787282.99</v>
      </c>
      <c r="AB2253" s="126">
        <f t="shared" si="235"/>
        <v>-7.8728299000000002E-2</v>
      </c>
      <c r="AC2253" s="122" t="s">
        <v>1838</v>
      </c>
      <c r="AD2253" s="123">
        <f t="shared" si="231"/>
        <v>1983.9723217250009</v>
      </c>
    </row>
    <row r="2254" spans="1:30" ht="12.75" hidden="1" customHeight="1">
      <c r="A2254" s="125" t="str">
        <f t="shared" si="232"/>
        <v>LIC19Unit Capital</v>
      </c>
      <c r="B2254" s="125">
        <f>+IFERROR(VLOOKUP(L2254,'TB mapping'!A:D,4,0),0)</f>
        <v>0</v>
      </c>
      <c r="C2254" s="125">
        <f>+IFERROR(VLOOKUP(L2254,'TB mapping'!A:C,3,0),0)</f>
        <v>0</v>
      </c>
      <c r="D2254" s="125" t="str">
        <f t="shared" si="233"/>
        <v>LIC190</v>
      </c>
      <c r="E2254" s="125" t="str">
        <f t="shared" si="234"/>
        <v>LIC190</v>
      </c>
      <c r="F2254" s="158" t="str">
        <f>+VLOOKUP(H2254,'code mapping'!A:C,3,0)</f>
        <v>LIC19</v>
      </c>
      <c r="G2254" s="127" t="s">
        <v>453</v>
      </c>
      <c r="H2254" s="127" t="s">
        <v>763</v>
      </c>
      <c r="I2254" s="127" t="s">
        <v>227</v>
      </c>
      <c r="J2254" s="128">
        <v>301000</v>
      </c>
      <c r="K2254" s="127" t="s">
        <v>514</v>
      </c>
      <c r="L2254" s="151">
        <v>310000</v>
      </c>
      <c r="M2254" s="128">
        <v>0</v>
      </c>
      <c r="N2254" s="127" t="s">
        <v>515</v>
      </c>
      <c r="O2254" s="127" t="s">
        <v>457</v>
      </c>
      <c r="P2254" s="128">
        <v>0</v>
      </c>
      <c r="Q2254" s="128">
        <v>1009746238.11</v>
      </c>
      <c r="R2254" s="128">
        <v>0</v>
      </c>
      <c r="S2254" s="128">
        <v>0</v>
      </c>
      <c r="T2254" s="128">
        <v>0</v>
      </c>
      <c r="U2254" s="128">
        <v>1009746238.11</v>
      </c>
      <c r="V2254" s="128">
        <v>0</v>
      </c>
      <c r="W2254" s="128">
        <v>1009746238.11</v>
      </c>
      <c r="X2254" s="128">
        <v>0</v>
      </c>
      <c r="Y2254" s="128">
        <v>0</v>
      </c>
      <c r="Z2254" s="128">
        <v>0</v>
      </c>
      <c r="AA2254" s="128">
        <v>1009746238.11</v>
      </c>
      <c r="AB2254" s="126">
        <f t="shared" si="235"/>
        <v>-100.974623811</v>
      </c>
      <c r="AC2254" s="122" t="s">
        <v>1838</v>
      </c>
      <c r="AD2254" s="123">
        <f t="shared" si="231"/>
        <v>1983.9723217250009</v>
      </c>
    </row>
    <row r="2255" spans="1:30" ht="12.75" hidden="1" customHeight="1">
      <c r="A2255" s="125" t="str">
        <f t="shared" si="232"/>
        <v>LIC19Unit Premium Reserve- RG</v>
      </c>
      <c r="B2255" s="125">
        <f>+IFERROR(VLOOKUP(L2255,'TB mapping'!A:D,4,0),0)</f>
        <v>0</v>
      </c>
      <c r="C2255" s="125">
        <f>+IFERROR(VLOOKUP(L2255,'TB mapping'!A:C,3,0),0)</f>
        <v>0</v>
      </c>
      <c r="D2255" s="125" t="str">
        <f t="shared" si="233"/>
        <v>LIC190</v>
      </c>
      <c r="E2255" s="125" t="str">
        <f t="shared" si="234"/>
        <v>LIC190</v>
      </c>
      <c r="F2255" s="158" t="str">
        <f>+VLOOKUP(H2255,'code mapping'!A:C,3,0)</f>
        <v>LIC19</v>
      </c>
      <c r="G2255" s="127" t="s">
        <v>453</v>
      </c>
      <c r="H2255" s="127" t="s">
        <v>763</v>
      </c>
      <c r="I2255" s="127" t="s">
        <v>227</v>
      </c>
      <c r="J2255" s="128">
        <v>303000</v>
      </c>
      <c r="K2255" s="127" t="s">
        <v>516</v>
      </c>
      <c r="L2255" s="151">
        <v>303201</v>
      </c>
      <c r="M2255" s="128">
        <v>0</v>
      </c>
      <c r="N2255" s="127" t="s">
        <v>517</v>
      </c>
      <c r="O2255" s="127" t="s">
        <v>457</v>
      </c>
      <c r="P2255" s="128">
        <v>0</v>
      </c>
      <c r="Q2255" s="128">
        <v>145887205.16999999</v>
      </c>
      <c r="R2255" s="128">
        <v>0</v>
      </c>
      <c r="S2255" s="128">
        <v>0</v>
      </c>
      <c r="T2255" s="128">
        <v>0</v>
      </c>
      <c r="U2255" s="128">
        <v>145887205.16999999</v>
      </c>
      <c r="V2255" s="128">
        <v>0</v>
      </c>
      <c r="W2255" s="128">
        <v>145887205.16999999</v>
      </c>
      <c r="X2255" s="128">
        <v>0</v>
      </c>
      <c r="Y2255" s="128">
        <v>0</v>
      </c>
      <c r="Z2255" s="128">
        <v>0</v>
      </c>
      <c r="AA2255" s="128">
        <v>145887205.16999999</v>
      </c>
      <c r="AB2255" s="126">
        <f t="shared" si="235"/>
        <v>-14.588720516999999</v>
      </c>
      <c r="AC2255" s="122" t="s">
        <v>1838</v>
      </c>
      <c r="AD2255" s="123">
        <f t="shared" si="231"/>
        <v>1983.9723217250009</v>
      </c>
    </row>
    <row r="2256" spans="1:30" ht="12.75" hidden="1" customHeight="1">
      <c r="A2256" s="125" t="str">
        <f t="shared" si="232"/>
        <v>LIC19Unit Premium Reserve- RD</v>
      </c>
      <c r="B2256" s="125">
        <f>+IFERROR(VLOOKUP(L2256,'TB mapping'!A:D,4,0),0)</f>
        <v>0</v>
      </c>
      <c r="C2256" s="125">
        <f>+IFERROR(VLOOKUP(L2256,'TB mapping'!A:C,3,0),0)</f>
        <v>0</v>
      </c>
      <c r="D2256" s="125" t="str">
        <f t="shared" si="233"/>
        <v>LIC190</v>
      </c>
      <c r="E2256" s="125" t="str">
        <f t="shared" si="234"/>
        <v>LIC190</v>
      </c>
      <c r="F2256" s="158" t="str">
        <f>+VLOOKUP(H2256,'code mapping'!A:C,3,0)</f>
        <v>LIC19</v>
      </c>
      <c r="G2256" s="127" t="s">
        <v>453</v>
      </c>
      <c r="H2256" s="127" t="s">
        <v>763</v>
      </c>
      <c r="I2256" s="127" t="s">
        <v>227</v>
      </c>
      <c r="J2256" s="128">
        <v>303000</v>
      </c>
      <c r="K2256" s="127" t="s">
        <v>516</v>
      </c>
      <c r="L2256" s="151">
        <v>303202</v>
      </c>
      <c r="M2256" s="128">
        <v>0</v>
      </c>
      <c r="N2256" s="127" t="s">
        <v>518</v>
      </c>
      <c r="O2256" s="127" t="s">
        <v>457</v>
      </c>
      <c r="P2256" s="128">
        <v>0</v>
      </c>
      <c r="Q2256" s="128">
        <v>20333066.989999998</v>
      </c>
      <c r="R2256" s="128">
        <v>0</v>
      </c>
      <c r="S2256" s="128">
        <v>0</v>
      </c>
      <c r="T2256" s="128">
        <v>0</v>
      </c>
      <c r="U2256" s="128">
        <v>20333066.989999998</v>
      </c>
      <c r="V2256" s="128">
        <v>0</v>
      </c>
      <c r="W2256" s="128">
        <v>20333066.989999998</v>
      </c>
      <c r="X2256" s="128">
        <v>0</v>
      </c>
      <c r="Y2256" s="128">
        <v>0</v>
      </c>
      <c r="Z2256" s="128">
        <v>0</v>
      </c>
      <c r="AA2256" s="128">
        <v>20333066.989999998</v>
      </c>
      <c r="AB2256" s="126">
        <f t="shared" si="235"/>
        <v>-2.0333066989999997</v>
      </c>
      <c r="AC2256" s="122" t="s">
        <v>1838</v>
      </c>
      <c r="AD2256" s="123">
        <f t="shared" si="231"/>
        <v>1983.9723217250009</v>
      </c>
    </row>
    <row r="2257" spans="1:30" ht="12.75" hidden="1" customHeight="1">
      <c r="A2257" s="125" t="str">
        <f t="shared" si="232"/>
        <v>LIC19Unit Premium Reserve-GDP</v>
      </c>
      <c r="B2257" s="125">
        <f>+IFERROR(VLOOKUP(L2257,'TB mapping'!A:D,4,0),0)</f>
        <v>0</v>
      </c>
      <c r="C2257" s="125">
        <f>+IFERROR(VLOOKUP(L2257,'TB mapping'!A:C,3,0),0)</f>
        <v>0</v>
      </c>
      <c r="D2257" s="125" t="str">
        <f t="shared" si="233"/>
        <v>LIC190</v>
      </c>
      <c r="E2257" s="125" t="str">
        <f t="shared" si="234"/>
        <v>LIC190</v>
      </c>
      <c r="F2257" s="158" t="str">
        <f>+VLOOKUP(H2257,'code mapping'!A:C,3,0)</f>
        <v>LIC19</v>
      </c>
      <c r="G2257" s="127" t="s">
        <v>453</v>
      </c>
      <c r="H2257" s="127" t="s">
        <v>763</v>
      </c>
      <c r="I2257" s="127" t="s">
        <v>227</v>
      </c>
      <c r="J2257" s="128">
        <v>303000</v>
      </c>
      <c r="K2257" s="127" t="s">
        <v>516</v>
      </c>
      <c r="L2257" s="151">
        <v>303245</v>
      </c>
      <c r="M2257" s="128">
        <v>0</v>
      </c>
      <c r="N2257" s="127" t="s">
        <v>519</v>
      </c>
      <c r="O2257" s="127" t="s">
        <v>457</v>
      </c>
      <c r="P2257" s="128">
        <v>0</v>
      </c>
      <c r="Q2257" s="128">
        <v>3896092.93</v>
      </c>
      <c r="R2257" s="128">
        <v>0</v>
      </c>
      <c r="S2257" s="128">
        <v>0</v>
      </c>
      <c r="T2257" s="128">
        <v>0</v>
      </c>
      <c r="U2257" s="128">
        <v>3896092.93</v>
      </c>
      <c r="V2257" s="128">
        <v>0</v>
      </c>
      <c r="W2257" s="128">
        <v>3896092.93</v>
      </c>
      <c r="X2257" s="128">
        <v>0</v>
      </c>
      <c r="Y2257" s="128">
        <v>0</v>
      </c>
      <c r="Z2257" s="128">
        <v>0</v>
      </c>
      <c r="AA2257" s="128">
        <v>3896092.93</v>
      </c>
      <c r="AB2257" s="126">
        <f t="shared" si="235"/>
        <v>-0.38960929300000002</v>
      </c>
      <c r="AC2257" s="122" t="s">
        <v>1838</v>
      </c>
      <c r="AD2257" s="123">
        <f t="shared" si="231"/>
        <v>1983.9723217250009</v>
      </c>
    </row>
    <row r="2258" spans="1:30" ht="12.75" hidden="1" customHeight="1">
      <c r="A2258" s="125" t="str">
        <f t="shared" si="232"/>
        <v>LIC19Unit Premium Reserve-DDP</v>
      </c>
      <c r="B2258" s="125">
        <f>+IFERROR(VLOOKUP(L2258,'TB mapping'!A:D,4,0),0)</f>
        <v>0</v>
      </c>
      <c r="C2258" s="125">
        <f>+IFERROR(VLOOKUP(L2258,'TB mapping'!A:C,3,0),0)</f>
        <v>0</v>
      </c>
      <c r="D2258" s="125" t="str">
        <f t="shared" si="233"/>
        <v>LIC190</v>
      </c>
      <c r="E2258" s="125" t="str">
        <f t="shared" si="234"/>
        <v>LIC190</v>
      </c>
      <c r="F2258" s="158" t="str">
        <f>+VLOOKUP(H2258,'code mapping'!A:C,3,0)</f>
        <v>LIC19</v>
      </c>
      <c r="G2258" s="127" t="s">
        <v>453</v>
      </c>
      <c r="H2258" s="127" t="s">
        <v>763</v>
      </c>
      <c r="I2258" s="127" t="s">
        <v>227</v>
      </c>
      <c r="J2258" s="128">
        <v>303000</v>
      </c>
      <c r="K2258" s="127" t="s">
        <v>516</v>
      </c>
      <c r="L2258" s="151">
        <v>303246</v>
      </c>
      <c r="M2258" s="128">
        <v>0</v>
      </c>
      <c r="N2258" s="127" t="s">
        <v>520</v>
      </c>
      <c r="O2258" s="127" t="s">
        <v>457</v>
      </c>
      <c r="P2258" s="128">
        <v>0</v>
      </c>
      <c r="Q2258" s="128">
        <v>1970078.88</v>
      </c>
      <c r="R2258" s="128">
        <v>0</v>
      </c>
      <c r="S2258" s="128">
        <v>0</v>
      </c>
      <c r="T2258" s="128">
        <v>0</v>
      </c>
      <c r="U2258" s="128">
        <v>1970078.88</v>
      </c>
      <c r="V2258" s="128">
        <v>0</v>
      </c>
      <c r="W2258" s="128">
        <v>1970078.88</v>
      </c>
      <c r="X2258" s="128">
        <v>0</v>
      </c>
      <c r="Y2258" s="128">
        <v>0</v>
      </c>
      <c r="Z2258" s="128">
        <v>0</v>
      </c>
      <c r="AA2258" s="128">
        <v>1970078.88</v>
      </c>
      <c r="AB2258" s="126">
        <f t="shared" si="235"/>
        <v>-0.19700788799999999</v>
      </c>
      <c r="AC2258" s="122" t="s">
        <v>1838</v>
      </c>
      <c r="AD2258" s="123">
        <f t="shared" si="231"/>
        <v>1983.9723217250009</v>
      </c>
    </row>
    <row r="2259" spans="1:30" ht="12.75" hidden="1" customHeight="1">
      <c r="A2259" s="125" t="str">
        <f t="shared" si="232"/>
        <v>LIC19Net Earnings</v>
      </c>
      <c r="B2259" s="125">
        <f>+IFERROR(VLOOKUP(L2259,'TB mapping'!A:D,4,0),0)</f>
        <v>0</v>
      </c>
      <c r="C2259" s="125">
        <f>+IFERROR(VLOOKUP(L2259,'TB mapping'!A:C,3,0),0)</f>
        <v>0</v>
      </c>
      <c r="D2259" s="125" t="str">
        <f t="shared" si="233"/>
        <v>LIC190</v>
      </c>
      <c r="E2259" s="125" t="str">
        <f t="shared" si="234"/>
        <v>LIC190</v>
      </c>
      <c r="F2259" s="158" t="str">
        <f>+VLOOKUP(H2259,'code mapping'!A:C,3,0)</f>
        <v>LIC19</v>
      </c>
      <c r="G2259" s="127" t="s">
        <v>453</v>
      </c>
      <c r="H2259" s="127" t="s">
        <v>763</v>
      </c>
      <c r="I2259" s="127" t="s">
        <v>227</v>
      </c>
      <c r="J2259" s="128">
        <v>303000</v>
      </c>
      <c r="K2259" s="127" t="s">
        <v>516</v>
      </c>
      <c r="L2259" s="151">
        <v>390000</v>
      </c>
      <c r="M2259" s="128">
        <v>0</v>
      </c>
      <c r="N2259" s="127" t="s">
        <v>521</v>
      </c>
      <c r="O2259" s="127" t="s">
        <v>457</v>
      </c>
      <c r="P2259" s="128">
        <v>0</v>
      </c>
      <c r="Q2259" s="128">
        <v>619289777.36000001</v>
      </c>
      <c r="R2259" s="128">
        <v>0</v>
      </c>
      <c r="S2259" s="128">
        <v>0</v>
      </c>
      <c r="T2259" s="128">
        <v>0</v>
      </c>
      <c r="U2259" s="128">
        <v>619289777.36000001</v>
      </c>
      <c r="V2259" s="128">
        <v>0</v>
      </c>
      <c r="W2259" s="128">
        <v>619289777.36000001</v>
      </c>
      <c r="X2259" s="128">
        <v>0</v>
      </c>
      <c r="Y2259" s="128">
        <v>0</v>
      </c>
      <c r="Z2259" s="128">
        <v>0</v>
      </c>
      <c r="AA2259" s="128">
        <v>619289777.36000001</v>
      </c>
      <c r="AB2259" s="126">
        <f t="shared" si="235"/>
        <v>-61.928977736</v>
      </c>
      <c r="AC2259" s="122" t="s">
        <v>1838</v>
      </c>
      <c r="AD2259" s="123">
        <f t="shared" si="231"/>
        <v>1983.9723217250009</v>
      </c>
    </row>
    <row r="2260" spans="1:30" ht="12.75" hidden="1" customHeight="1">
      <c r="A2260" s="125" t="str">
        <f t="shared" si="232"/>
        <v>LIC19R/L G/P - Equities</v>
      </c>
      <c r="B2260" s="125">
        <f>+IFERROR(VLOOKUP(L2260,'TB mapping'!A:D,4,0),0)</f>
        <v>0</v>
      </c>
      <c r="C2260" s="125">
        <f>+IFERROR(VLOOKUP(L2260,'TB mapping'!A:C,3,0),0)</f>
        <v>5.3</v>
      </c>
      <c r="D2260" s="125" t="str">
        <f t="shared" si="233"/>
        <v>LIC190</v>
      </c>
      <c r="E2260" s="125" t="str">
        <f t="shared" si="234"/>
        <v>LIC195.3</v>
      </c>
      <c r="F2260" s="158" t="str">
        <f>+VLOOKUP(H2260,'code mapping'!A:C,3,0)</f>
        <v>LIC19</v>
      </c>
      <c r="G2260" s="127" t="s">
        <v>453</v>
      </c>
      <c r="H2260" s="127" t="s">
        <v>763</v>
      </c>
      <c r="I2260" s="127" t="s">
        <v>227</v>
      </c>
      <c r="J2260" s="128">
        <v>410000</v>
      </c>
      <c r="K2260" s="127" t="s">
        <v>522</v>
      </c>
      <c r="L2260" s="151">
        <v>411100</v>
      </c>
      <c r="M2260" s="128">
        <v>0</v>
      </c>
      <c r="N2260" s="127" t="s">
        <v>596</v>
      </c>
      <c r="O2260" s="127" t="s">
        <v>457</v>
      </c>
      <c r="P2260" s="128">
        <v>0</v>
      </c>
      <c r="Q2260" s="128">
        <v>352163095.19999999</v>
      </c>
      <c r="R2260" s="128">
        <v>0</v>
      </c>
      <c r="S2260" s="128">
        <v>0</v>
      </c>
      <c r="T2260" s="128">
        <v>0</v>
      </c>
      <c r="U2260" s="128">
        <v>352163095.19999999</v>
      </c>
      <c r="V2260" s="128">
        <v>0</v>
      </c>
      <c r="W2260" s="128">
        <v>352163095.19999999</v>
      </c>
      <c r="X2260" s="128">
        <v>0</v>
      </c>
      <c r="Y2260" s="128">
        <v>0</v>
      </c>
      <c r="Z2260" s="128">
        <v>0</v>
      </c>
      <c r="AA2260" s="128">
        <v>352163095.19999999</v>
      </c>
      <c r="AB2260" s="126">
        <f t="shared" si="235"/>
        <v>-35.216309519999996</v>
      </c>
      <c r="AC2260" s="122" t="s">
        <v>1838</v>
      </c>
      <c r="AD2260" s="123">
        <f>SUMIF(E:E,E2260,AB:AB)</f>
        <v>-29.554892495999997</v>
      </c>
    </row>
    <row r="2261" spans="1:30" ht="12.75" hidden="1" customHeight="1">
      <c r="A2261" s="125" t="str">
        <f t="shared" si="232"/>
        <v>LIC19Profit on Sale-Mutual Fd Units</v>
      </c>
      <c r="B2261" s="125">
        <f>+IFERROR(VLOOKUP(L2261,'TB mapping'!A:D,4,0),0)</f>
        <v>0</v>
      </c>
      <c r="C2261" s="125">
        <f>+IFERROR(VLOOKUP(L2261,'TB mapping'!A:C,3,0),0)</f>
        <v>5.3</v>
      </c>
      <c r="D2261" s="125" t="str">
        <f t="shared" si="233"/>
        <v>LIC190</v>
      </c>
      <c r="E2261" s="125" t="str">
        <f t="shared" si="234"/>
        <v>LIC195.3</v>
      </c>
      <c r="F2261" s="158" t="str">
        <f>+VLOOKUP(H2261,'code mapping'!A:C,3,0)</f>
        <v>LIC19</v>
      </c>
      <c r="G2261" s="127" t="s">
        <v>453</v>
      </c>
      <c r="H2261" s="127" t="s">
        <v>763</v>
      </c>
      <c r="I2261" s="127" t="s">
        <v>227</v>
      </c>
      <c r="J2261" s="128">
        <v>410000</v>
      </c>
      <c r="K2261" s="127" t="s">
        <v>522</v>
      </c>
      <c r="L2261" s="151">
        <v>415102</v>
      </c>
      <c r="M2261" s="128">
        <v>0</v>
      </c>
      <c r="N2261" s="127" t="s">
        <v>526</v>
      </c>
      <c r="O2261" s="127" t="s">
        <v>457</v>
      </c>
      <c r="P2261" s="128">
        <v>0</v>
      </c>
      <c r="Q2261" s="128">
        <v>123913.54</v>
      </c>
      <c r="R2261" s="128">
        <v>0</v>
      </c>
      <c r="S2261" s="128">
        <v>0</v>
      </c>
      <c r="T2261" s="128">
        <v>0</v>
      </c>
      <c r="U2261" s="128">
        <v>123913.54</v>
      </c>
      <c r="V2261" s="128">
        <v>0</v>
      </c>
      <c r="W2261" s="128">
        <v>123913.54</v>
      </c>
      <c r="X2261" s="128">
        <v>0</v>
      </c>
      <c r="Y2261" s="128">
        <v>0</v>
      </c>
      <c r="Z2261" s="128">
        <v>0</v>
      </c>
      <c r="AA2261" s="128">
        <v>123913.54</v>
      </c>
      <c r="AB2261" s="126">
        <f t="shared" si="235"/>
        <v>-1.2391353999999999E-2</v>
      </c>
      <c r="AC2261" s="122" t="s">
        <v>1838</v>
      </c>
      <c r="AD2261" s="123">
        <f>SUMIF(E:E,E2261,AB:AB)</f>
        <v>-29.554892495999997</v>
      </c>
    </row>
    <row r="2262" spans="1:30" ht="12.75" hidden="1" customHeight="1">
      <c r="A2262" s="125" t="str">
        <f t="shared" si="232"/>
        <v>LIC19UR/L G/P - Equities</v>
      </c>
      <c r="B2262" s="125">
        <f>+IFERROR(VLOOKUP(L2262,'TB mapping'!A:D,4,0),0)</f>
        <v>0</v>
      </c>
      <c r="C2262" s="125" t="str">
        <f>+IFERROR(VLOOKUP(L2262,'TB mapping'!A:C,3,0),0)</f>
        <v>Ignore</v>
      </c>
      <c r="D2262" s="125" t="str">
        <f t="shared" si="233"/>
        <v>LIC190</v>
      </c>
      <c r="E2262" s="125" t="str">
        <f t="shared" si="234"/>
        <v>LIC19Ignore</v>
      </c>
      <c r="F2262" s="158" t="str">
        <f>+VLOOKUP(H2262,'code mapping'!A:C,3,0)</f>
        <v>LIC19</v>
      </c>
      <c r="G2262" s="127" t="s">
        <v>453</v>
      </c>
      <c r="H2262" s="127" t="s">
        <v>763</v>
      </c>
      <c r="I2262" s="127" t="s">
        <v>227</v>
      </c>
      <c r="J2262" s="128">
        <v>430000</v>
      </c>
      <c r="K2262" s="127" t="s">
        <v>528</v>
      </c>
      <c r="L2262" s="151">
        <v>431100</v>
      </c>
      <c r="M2262" s="128">
        <v>0</v>
      </c>
      <c r="N2262" s="127" t="s">
        <v>597</v>
      </c>
      <c r="O2262" s="127" t="s">
        <v>457</v>
      </c>
      <c r="P2262" s="128">
        <v>0</v>
      </c>
      <c r="Q2262" s="128">
        <v>339273805.01999998</v>
      </c>
      <c r="R2262" s="128">
        <v>0</v>
      </c>
      <c r="S2262" s="128">
        <v>0</v>
      </c>
      <c r="T2262" s="128">
        <v>0</v>
      </c>
      <c r="U2262" s="128">
        <v>339273805.01999998</v>
      </c>
      <c r="V2262" s="128">
        <v>0</v>
      </c>
      <c r="W2262" s="128">
        <v>339273805.01999998</v>
      </c>
      <c r="X2262" s="128">
        <v>0</v>
      </c>
      <c r="Y2262" s="128">
        <v>0</v>
      </c>
      <c r="Z2262" s="128">
        <v>0</v>
      </c>
      <c r="AA2262" s="128">
        <v>339273805.01999998</v>
      </c>
      <c r="AB2262" s="126">
        <f t="shared" si="235"/>
        <v>-33.927380501999998</v>
      </c>
      <c r="AC2262" s="122" t="s">
        <v>1838</v>
      </c>
      <c r="AD2262" s="123">
        <f>SUMIF(C:C,C2262,AB:AB)</f>
        <v>-291.7660984179999</v>
      </c>
    </row>
    <row r="2263" spans="1:30" ht="12.75" hidden="1" customHeight="1">
      <c r="A2263" s="125" t="str">
        <f t="shared" si="232"/>
        <v>LIC19Dividend Income - Equities</v>
      </c>
      <c r="B2263" s="125">
        <f>+IFERROR(VLOOKUP(L2263,'TB mapping'!A:D,4,0),0)</f>
        <v>0</v>
      </c>
      <c r="C2263" s="125">
        <f>+IFERROR(VLOOKUP(L2263,'TB mapping'!A:C,3,0),0)</f>
        <v>5.0999999999999996</v>
      </c>
      <c r="D2263" s="125" t="str">
        <f t="shared" si="233"/>
        <v>LIC190</v>
      </c>
      <c r="E2263" s="125" t="str">
        <f t="shared" si="234"/>
        <v>LIC195.1</v>
      </c>
      <c r="F2263" s="158" t="str">
        <f>+VLOOKUP(H2263,'code mapping'!A:C,3,0)</f>
        <v>LIC19</v>
      </c>
      <c r="G2263" s="127" t="s">
        <v>453</v>
      </c>
      <c r="H2263" s="127" t="s">
        <v>763</v>
      </c>
      <c r="I2263" s="127" t="s">
        <v>227</v>
      </c>
      <c r="J2263" s="128">
        <v>450000</v>
      </c>
      <c r="K2263" s="127" t="s">
        <v>532</v>
      </c>
      <c r="L2263" s="151">
        <v>451100</v>
      </c>
      <c r="M2263" s="128">
        <v>0</v>
      </c>
      <c r="N2263" s="127" t="s">
        <v>598</v>
      </c>
      <c r="O2263" s="127" t="s">
        <v>457</v>
      </c>
      <c r="P2263" s="128">
        <v>0</v>
      </c>
      <c r="Q2263" s="128">
        <v>18978234</v>
      </c>
      <c r="R2263" s="128">
        <v>0</v>
      </c>
      <c r="S2263" s="128">
        <v>0</v>
      </c>
      <c r="T2263" s="128">
        <v>0</v>
      </c>
      <c r="U2263" s="128">
        <v>18978234</v>
      </c>
      <c r="V2263" s="128">
        <v>0</v>
      </c>
      <c r="W2263" s="128">
        <v>18978234</v>
      </c>
      <c r="X2263" s="128">
        <v>0</v>
      </c>
      <c r="Y2263" s="128">
        <v>0</v>
      </c>
      <c r="Z2263" s="128">
        <v>0</v>
      </c>
      <c r="AA2263" s="128">
        <v>18978234</v>
      </c>
      <c r="AB2263" s="126">
        <f t="shared" si="235"/>
        <v>-1.8978234</v>
      </c>
      <c r="AC2263" s="122" t="s">
        <v>1838</v>
      </c>
      <c r="AD2263" s="123">
        <f t="shared" ref="AD2263:AD2300" si="236">SUMIF(E:E,E2263,AB:AB)</f>
        <v>-1.8978234</v>
      </c>
    </row>
    <row r="2264" spans="1:30" ht="12.75" hidden="1" customHeight="1">
      <c r="A2264" s="125" t="str">
        <f t="shared" si="232"/>
        <v>LIC19Interest Income - CCIL Margin</v>
      </c>
      <c r="B2264" s="125">
        <f>+IFERROR(VLOOKUP(L2264,'TB mapping'!A:D,4,0),0)</f>
        <v>0</v>
      </c>
      <c r="C2264" s="125">
        <f>+IFERROR(VLOOKUP(L2264,'TB mapping'!A:C,3,0),0)</f>
        <v>5.2</v>
      </c>
      <c r="D2264" s="125" t="str">
        <f t="shared" si="233"/>
        <v>LIC190</v>
      </c>
      <c r="E2264" s="125" t="str">
        <f t="shared" si="234"/>
        <v>LIC195.2</v>
      </c>
      <c r="F2264" s="158" t="str">
        <f>+VLOOKUP(H2264,'code mapping'!A:C,3,0)</f>
        <v>LIC19</v>
      </c>
      <c r="G2264" s="127" t="s">
        <v>453</v>
      </c>
      <c r="H2264" s="127" t="s">
        <v>763</v>
      </c>
      <c r="I2264" s="127" t="s">
        <v>227</v>
      </c>
      <c r="J2264" s="128">
        <v>450000</v>
      </c>
      <c r="K2264" s="127" t="s">
        <v>532</v>
      </c>
      <c r="L2264" s="151">
        <v>452111</v>
      </c>
      <c r="M2264" s="128">
        <v>0</v>
      </c>
      <c r="N2264" s="127" t="s">
        <v>533</v>
      </c>
      <c r="O2264" s="127" t="s">
        <v>457</v>
      </c>
      <c r="P2264" s="128">
        <v>0</v>
      </c>
      <c r="Q2264" s="128">
        <v>1347.3</v>
      </c>
      <c r="R2264" s="128">
        <v>0</v>
      </c>
      <c r="S2264" s="128">
        <v>0</v>
      </c>
      <c r="T2264" s="128">
        <v>0</v>
      </c>
      <c r="U2264" s="128">
        <v>1347.3</v>
      </c>
      <c r="V2264" s="128">
        <v>0</v>
      </c>
      <c r="W2264" s="128">
        <v>1347.3</v>
      </c>
      <c r="X2264" s="128">
        <v>0</v>
      </c>
      <c r="Y2264" s="128">
        <v>0</v>
      </c>
      <c r="Z2264" s="128">
        <v>0</v>
      </c>
      <c r="AA2264" s="128">
        <v>1347.3</v>
      </c>
      <c r="AB2264" s="126">
        <f t="shared" si="235"/>
        <v>-1.3473000000000001E-4</v>
      </c>
      <c r="AC2264" s="122" t="s">
        <v>1838</v>
      </c>
      <c r="AD2264" s="123">
        <f t="shared" si="236"/>
        <v>-0.79713143899999994</v>
      </c>
    </row>
    <row r="2265" spans="1:30" ht="12.75" hidden="1" customHeight="1">
      <c r="A2265" s="125" t="str">
        <f t="shared" si="232"/>
        <v>LIC19Amort. Income - CBLO</v>
      </c>
      <c r="B2265" s="125">
        <f>+IFERROR(VLOOKUP(L2265,'TB mapping'!A:D,4,0),0)</f>
        <v>0</v>
      </c>
      <c r="C2265" s="125">
        <f>+IFERROR(VLOOKUP(L2265,'TB mapping'!A:C,3,0),0)</f>
        <v>5.2</v>
      </c>
      <c r="D2265" s="125" t="str">
        <f t="shared" si="233"/>
        <v>LIC190</v>
      </c>
      <c r="E2265" s="125" t="str">
        <f t="shared" si="234"/>
        <v>LIC195.2</v>
      </c>
      <c r="F2265" s="158" t="str">
        <f>+VLOOKUP(H2265,'code mapping'!A:C,3,0)</f>
        <v>LIC19</v>
      </c>
      <c r="G2265" s="127" t="s">
        <v>453</v>
      </c>
      <c r="H2265" s="127" t="s">
        <v>763</v>
      </c>
      <c r="I2265" s="127" t="s">
        <v>227</v>
      </c>
      <c r="J2265" s="128">
        <v>450000</v>
      </c>
      <c r="K2265" s="127" t="s">
        <v>532</v>
      </c>
      <c r="L2265" s="151">
        <v>452228</v>
      </c>
      <c r="M2265" s="128">
        <v>0</v>
      </c>
      <c r="N2265" s="127" t="s">
        <v>537</v>
      </c>
      <c r="O2265" s="127" t="s">
        <v>457</v>
      </c>
      <c r="P2265" s="128">
        <v>0</v>
      </c>
      <c r="Q2265" s="128">
        <v>7870815.8899999997</v>
      </c>
      <c r="R2265" s="128">
        <v>0</v>
      </c>
      <c r="S2265" s="128">
        <v>0</v>
      </c>
      <c r="T2265" s="128">
        <v>0</v>
      </c>
      <c r="U2265" s="128">
        <v>7870815.8899999997</v>
      </c>
      <c r="V2265" s="128">
        <v>0</v>
      </c>
      <c r="W2265" s="128">
        <v>7870815.8899999997</v>
      </c>
      <c r="X2265" s="128">
        <v>0</v>
      </c>
      <c r="Y2265" s="128">
        <v>0</v>
      </c>
      <c r="Z2265" s="128">
        <v>0</v>
      </c>
      <c r="AA2265" s="128">
        <v>7870815.8899999997</v>
      </c>
      <c r="AB2265" s="126">
        <f t="shared" si="235"/>
        <v>-0.78708158899999991</v>
      </c>
      <c r="AC2265" s="122" t="s">
        <v>1838</v>
      </c>
      <c r="AD2265" s="123">
        <f t="shared" si="236"/>
        <v>-0.79713143899999994</v>
      </c>
    </row>
    <row r="2266" spans="1:30" ht="12.75" hidden="1" customHeight="1">
      <c r="A2266" s="125" t="str">
        <f t="shared" si="232"/>
        <v>LIC19Int Income - Repo Deposits</v>
      </c>
      <c r="B2266" s="125">
        <f>+IFERROR(VLOOKUP(L2266,'TB mapping'!A:D,4,0),0)</f>
        <v>0</v>
      </c>
      <c r="C2266" s="125">
        <f>+IFERROR(VLOOKUP(L2266,'TB mapping'!A:C,3,0),0)</f>
        <v>5.2</v>
      </c>
      <c r="D2266" s="125" t="str">
        <f t="shared" si="233"/>
        <v>LIC190</v>
      </c>
      <c r="E2266" s="125" t="str">
        <f t="shared" si="234"/>
        <v>LIC195.2</v>
      </c>
      <c r="F2266" s="158" t="str">
        <f>+VLOOKUP(H2266,'code mapping'!A:C,3,0)</f>
        <v>LIC19</v>
      </c>
      <c r="G2266" s="127" t="s">
        <v>453</v>
      </c>
      <c r="H2266" s="127" t="s">
        <v>763</v>
      </c>
      <c r="I2266" s="127" t="s">
        <v>227</v>
      </c>
      <c r="J2266" s="128">
        <v>450000</v>
      </c>
      <c r="K2266" s="127" t="s">
        <v>532</v>
      </c>
      <c r="L2266" s="151">
        <v>452230</v>
      </c>
      <c r="M2266" s="128">
        <v>0</v>
      </c>
      <c r="N2266" s="127" t="s">
        <v>538</v>
      </c>
      <c r="O2266" s="127" t="s">
        <v>457</v>
      </c>
      <c r="P2266" s="128">
        <v>0</v>
      </c>
      <c r="Q2266" s="128">
        <v>99151.2</v>
      </c>
      <c r="R2266" s="128">
        <v>0</v>
      </c>
      <c r="S2266" s="128">
        <v>0</v>
      </c>
      <c r="T2266" s="128">
        <v>0</v>
      </c>
      <c r="U2266" s="128">
        <v>99151.2</v>
      </c>
      <c r="V2266" s="128">
        <v>0</v>
      </c>
      <c r="W2266" s="128">
        <v>99151.2</v>
      </c>
      <c r="X2266" s="128">
        <v>0</v>
      </c>
      <c r="Y2266" s="128">
        <v>0</v>
      </c>
      <c r="Z2266" s="128">
        <v>0</v>
      </c>
      <c r="AA2266" s="128">
        <v>99151.2</v>
      </c>
      <c r="AB2266" s="126">
        <f t="shared" si="235"/>
        <v>-9.9151199999999995E-3</v>
      </c>
      <c r="AC2266" s="122" t="s">
        <v>1838</v>
      </c>
      <c r="AD2266" s="123">
        <f t="shared" si="236"/>
        <v>-0.79713143899999994</v>
      </c>
    </row>
    <row r="2267" spans="1:30" ht="12.75" hidden="1" customHeight="1">
      <c r="A2267" s="125" t="str">
        <f t="shared" si="232"/>
        <v>LIC19Load Income</v>
      </c>
      <c r="B2267" s="125">
        <f>+IFERROR(VLOOKUP(L2267,'TB mapping'!A:D,4,0),0)</f>
        <v>0</v>
      </c>
      <c r="C2267" s="125">
        <f>+IFERROR(VLOOKUP(L2267,'TB mapping'!A:C,3,0),0)</f>
        <v>5.5</v>
      </c>
      <c r="D2267" s="125" t="str">
        <f t="shared" si="233"/>
        <v>LIC190</v>
      </c>
      <c r="E2267" s="125" t="str">
        <f t="shared" si="234"/>
        <v>LIC195.5</v>
      </c>
      <c r="F2267" s="158" t="str">
        <f>+VLOOKUP(H2267,'code mapping'!A:C,3,0)</f>
        <v>LIC19</v>
      </c>
      <c r="G2267" s="127" t="s">
        <v>453</v>
      </c>
      <c r="H2267" s="127" t="s">
        <v>763</v>
      </c>
      <c r="I2267" s="127" t="s">
        <v>227</v>
      </c>
      <c r="J2267" s="128">
        <v>460000</v>
      </c>
      <c r="K2267" s="127" t="s">
        <v>539</v>
      </c>
      <c r="L2267" s="151">
        <v>455103</v>
      </c>
      <c r="M2267" s="128">
        <v>0</v>
      </c>
      <c r="N2267" s="127" t="s">
        <v>540</v>
      </c>
      <c r="O2267" s="127" t="s">
        <v>457</v>
      </c>
      <c r="P2267" s="128">
        <v>0</v>
      </c>
      <c r="Q2267" s="128">
        <v>1313675.1200000001</v>
      </c>
      <c r="R2267" s="128">
        <v>0</v>
      </c>
      <c r="S2267" s="128">
        <v>0</v>
      </c>
      <c r="T2267" s="128">
        <v>0</v>
      </c>
      <c r="U2267" s="128">
        <v>1313675.1200000001</v>
      </c>
      <c r="V2267" s="128">
        <v>0</v>
      </c>
      <c r="W2267" s="128">
        <v>1313675.1200000001</v>
      </c>
      <c r="X2267" s="128">
        <v>0</v>
      </c>
      <c r="Y2267" s="128">
        <v>0</v>
      </c>
      <c r="Z2267" s="128">
        <v>0</v>
      </c>
      <c r="AA2267" s="128">
        <v>1313675.1200000001</v>
      </c>
      <c r="AB2267" s="126">
        <f t="shared" si="235"/>
        <v>-0.13136751200000002</v>
      </c>
      <c r="AC2267" s="122" t="s">
        <v>1838</v>
      </c>
      <c r="AD2267" s="123">
        <f t="shared" si="236"/>
        <v>-0.13199758500000003</v>
      </c>
    </row>
    <row r="2268" spans="1:30" ht="12.75" hidden="1" customHeight="1">
      <c r="A2268" s="125" t="str">
        <f t="shared" si="232"/>
        <v>LIC19Other Income</v>
      </c>
      <c r="B2268" s="125">
        <f>+IFERROR(VLOOKUP(L2268,'TB mapping'!A:D,4,0),0)</f>
        <v>0</v>
      </c>
      <c r="C2268" s="125">
        <f>+IFERROR(VLOOKUP(L2268,'TB mapping'!A:C,3,0),0)</f>
        <v>5.5</v>
      </c>
      <c r="D2268" s="125" t="str">
        <f t="shared" si="233"/>
        <v>LIC190</v>
      </c>
      <c r="E2268" s="125" t="str">
        <f t="shared" si="234"/>
        <v>LIC195.5</v>
      </c>
      <c r="F2268" s="158" t="str">
        <f>+VLOOKUP(H2268,'code mapping'!A:C,3,0)</f>
        <v>LIC19</v>
      </c>
      <c r="G2268" s="127" t="s">
        <v>453</v>
      </c>
      <c r="H2268" s="127" t="s">
        <v>763</v>
      </c>
      <c r="I2268" s="127" t="s">
        <v>227</v>
      </c>
      <c r="J2268" s="128">
        <v>460000</v>
      </c>
      <c r="K2268" s="127" t="s">
        <v>539</v>
      </c>
      <c r="L2268" s="151">
        <v>460000</v>
      </c>
      <c r="M2268" s="128">
        <v>0</v>
      </c>
      <c r="N2268" s="127" t="s">
        <v>541</v>
      </c>
      <c r="O2268" s="127" t="s">
        <v>457</v>
      </c>
      <c r="P2268" s="128">
        <v>0</v>
      </c>
      <c r="Q2268" s="128">
        <v>6300.73</v>
      </c>
      <c r="R2268" s="128">
        <v>0</v>
      </c>
      <c r="S2268" s="128">
        <v>0</v>
      </c>
      <c r="T2268" s="128">
        <v>0</v>
      </c>
      <c r="U2268" s="128">
        <v>6300.73</v>
      </c>
      <c r="V2268" s="128">
        <v>0</v>
      </c>
      <c r="W2268" s="128">
        <v>6300.73</v>
      </c>
      <c r="X2268" s="128">
        <v>0</v>
      </c>
      <c r="Y2268" s="128">
        <v>0</v>
      </c>
      <c r="Z2268" s="128">
        <v>0</v>
      </c>
      <c r="AA2268" s="128">
        <v>6300.73</v>
      </c>
      <c r="AB2268" s="126">
        <f t="shared" si="235"/>
        <v>-6.3007299999999998E-4</v>
      </c>
      <c r="AC2268" s="122" t="s">
        <v>1838</v>
      </c>
      <c r="AD2268" s="123">
        <f t="shared" si="236"/>
        <v>-0.13199758500000003</v>
      </c>
    </row>
    <row r="2269" spans="1:30" ht="12.75" hidden="1" customHeight="1">
      <c r="A2269" s="125" t="str">
        <f t="shared" si="232"/>
        <v>LIC19Interplan Adjustment- RG</v>
      </c>
      <c r="B2269" s="125">
        <f>+IFERROR(VLOOKUP(L2269,'TB mapping'!A:D,4,0),0)</f>
        <v>0</v>
      </c>
      <c r="C2269" s="125">
        <f>+IFERROR(VLOOKUP(L2269,'TB mapping'!A:C,3,0),0)</f>
        <v>5.5</v>
      </c>
      <c r="D2269" s="125" t="str">
        <f t="shared" si="233"/>
        <v>LIC190</v>
      </c>
      <c r="E2269" s="125" t="str">
        <f t="shared" si="234"/>
        <v>LIC195.5</v>
      </c>
      <c r="F2269" s="158" t="str">
        <f>+VLOOKUP(H2269,'code mapping'!A:C,3,0)</f>
        <v>LIC19</v>
      </c>
      <c r="G2269" s="127" t="s">
        <v>453</v>
      </c>
      <c r="H2269" s="127" t="s">
        <v>763</v>
      </c>
      <c r="I2269" s="127" t="s">
        <v>227</v>
      </c>
      <c r="J2269" s="128">
        <v>460000</v>
      </c>
      <c r="K2269" s="127" t="s">
        <v>539</v>
      </c>
      <c r="L2269" s="151">
        <v>460101</v>
      </c>
      <c r="M2269" s="128">
        <v>0</v>
      </c>
      <c r="N2269" s="127" t="s">
        <v>542</v>
      </c>
      <c r="O2269" s="127" t="s">
        <v>457</v>
      </c>
      <c r="P2269" s="128">
        <v>0</v>
      </c>
      <c r="Q2269" s="128">
        <v>1020.72</v>
      </c>
      <c r="R2269" s="128">
        <v>0</v>
      </c>
      <c r="S2269" s="128">
        <v>0</v>
      </c>
      <c r="T2269" s="128">
        <v>0</v>
      </c>
      <c r="U2269" s="128">
        <v>1020.72</v>
      </c>
      <c r="V2269" s="128">
        <v>0</v>
      </c>
      <c r="W2269" s="128">
        <v>1020.72</v>
      </c>
      <c r="X2269" s="128">
        <v>0</v>
      </c>
      <c r="Y2269" s="128">
        <v>0</v>
      </c>
      <c r="Z2269" s="128">
        <v>0</v>
      </c>
      <c r="AA2269" s="128">
        <v>1020.72</v>
      </c>
      <c r="AB2269" s="126">
        <f t="shared" si="235"/>
        <v>-1.0207200000000001E-4</v>
      </c>
      <c r="AC2269" s="122" t="s">
        <v>1838</v>
      </c>
      <c r="AD2269" s="123">
        <f t="shared" si="236"/>
        <v>-0.13199758500000003</v>
      </c>
    </row>
    <row r="2270" spans="1:30" ht="12.75" hidden="1" customHeight="1">
      <c r="A2270" s="125" t="str">
        <f t="shared" si="232"/>
        <v>LIC19Interplan Adjustment- RD</v>
      </c>
      <c r="B2270" s="125">
        <f>+IFERROR(VLOOKUP(L2270,'TB mapping'!A:D,4,0),0)</f>
        <v>0</v>
      </c>
      <c r="C2270" s="125">
        <f>+IFERROR(VLOOKUP(L2270,'TB mapping'!A:C,3,0),0)</f>
        <v>5.5</v>
      </c>
      <c r="D2270" s="125" t="str">
        <f t="shared" si="233"/>
        <v>LIC190</v>
      </c>
      <c r="E2270" s="125" t="str">
        <f t="shared" si="234"/>
        <v>LIC195.5</v>
      </c>
      <c r="F2270" s="158" t="str">
        <f>+VLOOKUP(H2270,'code mapping'!A:C,3,0)</f>
        <v>LIC19</v>
      </c>
      <c r="G2270" s="127" t="s">
        <v>453</v>
      </c>
      <c r="H2270" s="127" t="s">
        <v>763</v>
      </c>
      <c r="I2270" s="127" t="s">
        <v>227</v>
      </c>
      <c r="J2270" s="128">
        <v>460000</v>
      </c>
      <c r="K2270" s="127" t="s">
        <v>539</v>
      </c>
      <c r="L2270" s="151">
        <v>460102</v>
      </c>
      <c r="M2270" s="128">
        <v>0</v>
      </c>
      <c r="N2270" s="127" t="s">
        <v>543</v>
      </c>
      <c r="O2270" s="127" t="s">
        <v>457</v>
      </c>
      <c r="P2270" s="128">
        <v>0</v>
      </c>
      <c r="Q2270" s="128">
        <v>23.76</v>
      </c>
      <c r="R2270" s="128">
        <v>0</v>
      </c>
      <c r="S2270" s="128">
        <v>0</v>
      </c>
      <c r="T2270" s="128">
        <v>0</v>
      </c>
      <c r="U2270" s="128">
        <v>23.76</v>
      </c>
      <c r="V2270" s="128">
        <v>0</v>
      </c>
      <c r="W2270" s="128">
        <v>23.76</v>
      </c>
      <c r="X2270" s="128">
        <v>0</v>
      </c>
      <c r="Y2270" s="128">
        <v>0</v>
      </c>
      <c r="Z2270" s="128">
        <v>0</v>
      </c>
      <c r="AA2270" s="128">
        <v>23.76</v>
      </c>
      <c r="AB2270" s="126">
        <f t="shared" si="235"/>
        <v>-2.3760000000000002E-6</v>
      </c>
      <c r="AC2270" s="122" t="s">
        <v>1838</v>
      </c>
      <c r="AD2270" s="123">
        <f t="shared" si="236"/>
        <v>-0.13199758500000003</v>
      </c>
    </row>
    <row r="2271" spans="1:30" ht="12.75" hidden="1" customHeight="1">
      <c r="A2271" s="125" t="str">
        <f t="shared" si="232"/>
        <v>LIC19Interplan Adjustment- GDP</v>
      </c>
      <c r="B2271" s="125">
        <f>+IFERROR(VLOOKUP(L2271,'TB mapping'!A:D,4,0),0)</f>
        <v>0</v>
      </c>
      <c r="C2271" s="125">
        <f>+IFERROR(VLOOKUP(L2271,'TB mapping'!A:C,3,0),0)</f>
        <v>5.5</v>
      </c>
      <c r="D2271" s="125" t="str">
        <f t="shared" si="233"/>
        <v>LIC190</v>
      </c>
      <c r="E2271" s="125" t="str">
        <f t="shared" si="234"/>
        <v>LIC195.5</v>
      </c>
      <c r="F2271" s="158" t="str">
        <f>+VLOOKUP(H2271,'code mapping'!A:C,3,0)</f>
        <v>LIC19</v>
      </c>
      <c r="G2271" s="127" t="s">
        <v>453</v>
      </c>
      <c r="H2271" s="127" t="s">
        <v>763</v>
      </c>
      <c r="I2271" s="127" t="s">
        <v>227</v>
      </c>
      <c r="J2271" s="128">
        <v>460000</v>
      </c>
      <c r="K2271" s="127" t="s">
        <v>539</v>
      </c>
      <c r="L2271" s="151">
        <v>460143</v>
      </c>
      <c r="M2271" s="128">
        <v>0</v>
      </c>
      <c r="N2271" s="127" t="s">
        <v>544</v>
      </c>
      <c r="O2271" s="127" t="s">
        <v>457</v>
      </c>
      <c r="P2271" s="128">
        <v>-1048.6100000000001</v>
      </c>
      <c r="Q2271" s="128">
        <v>0</v>
      </c>
      <c r="R2271" s="128">
        <v>0</v>
      </c>
      <c r="S2271" s="128">
        <v>0</v>
      </c>
      <c r="T2271" s="128">
        <v>-1048.6100000000001</v>
      </c>
      <c r="U2271" s="128">
        <v>0</v>
      </c>
      <c r="V2271" s="128">
        <v>-1048.6100000000001</v>
      </c>
      <c r="W2271" s="128">
        <v>0</v>
      </c>
      <c r="X2271" s="128">
        <v>0</v>
      </c>
      <c r="Y2271" s="128">
        <v>0</v>
      </c>
      <c r="Z2271" s="128">
        <v>-1048.6100000000001</v>
      </c>
      <c r="AA2271" s="128">
        <v>0</v>
      </c>
      <c r="AB2271" s="126">
        <f t="shared" si="235"/>
        <v>1.0486100000000001E-4</v>
      </c>
      <c r="AC2271" s="122" t="s">
        <v>1838</v>
      </c>
      <c r="AD2271" s="123">
        <f t="shared" si="236"/>
        <v>-0.13199758500000003</v>
      </c>
    </row>
    <row r="2272" spans="1:30" ht="12.75" hidden="1" customHeight="1">
      <c r="A2272" s="125" t="str">
        <f t="shared" si="232"/>
        <v>LIC19Interplan Adjustment- DDP</v>
      </c>
      <c r="B2272" s="125">
        <f>+IFERROR(VLOOKUP(L2272,'TB mapping'!A:D,4,0),0)</f>
        <v>0</v>
      </c>
      <c r="C2272" s="125">
        <f>+IFERROR(VLOOKUP(L2272,'TB mapping'!A:C,3,0),0)</f>
        <v>5.5</v>
      </c>
      <c r="D2272" s="125" t="str">
        <f t="shared" si="233"/>
        <v>LIC190</v>
      </c>
      <c r="E2272" s="125" t="str">
        <f t="shared" si="234"/>
        <v>LIC195.5</v>
      </c>
      <c r="F2272" s="158" t="str">
        <f>+VLOOKUP(H2272,'code mapping'!A:C,3,0)</f>
        <v>LIC19</v>
      </c>
      <c r="G2272" s="127" t="s">
        <v>453</v>
      </c>
      <c r="H2272" s="127" t="s">
        <v>763</v>
      </c>
      <c r="I2272" s="127" t="s">
        <v>227</v>
      </c>
      <c r="J2272" s="128">
        <v>460000</v>
      </c>
      <c r="K2272" s="127" t="s">
        <v>539</v>
      </c>
      <c r="L2272" s="151">
        <v>460144</v>
      </c>
      <c r="M2272" s="128">
        <v>0</v>
      </c>
      <c r="N2272" s="127" t="s">
        <v>545</v>
      </c>
      <c r="O2272" s="127" t="s">
        <v>457</v>
      </c>
      <c r="P2272" s="128">
        <v>0</v>
      </c>
      <c r="Q2272" s="128">
        <v>4.13</v>
      </c>
      <c r="R2272" s="128">
        <v>0</v>
      </c>
      <c r="S2272" s="128">
        <v>0</v>
      </c>
      <c r="T2272" s="128">
        <v>0</v>
      </c>
      <c r="U2272" s="128">
        <v>4.13</v>
      </c>
      <c r="V2272" s="128">
        <v>0</v>
      </c>
      <c r="W2272" s="128">
        <v>4.13</v>
      </c>
      <c r="X2272" s="128">
        <v>0</v>
      </c>
      <c r="Y2272" s="128">
        <v>0</v>
      </c>
      <c r="Z2272" s="128">
        <v>0</v>
      </c>
      <c r="AA2272" s="128">
        <v>4.13</v>
      </c>
      <c r="AB2272" s="126">
        <f t="shared" si="235"/>
        <v>-4.1300000000000001E-7</v>
      </c>
      <c r="AC2272" s="122" t="s">
        <v>1838</v>
      </c>
      <c r="AD2272" s="123">
        <f t="shared" si="236"/>
        <v>-0.13199758500000003</v>
      </c>
    </row>
    <row r="2273" spans="1:30" ht="12.75" hidden="1" customHeight="1">
      <c r="A2273" s="125" t="str">
        <f t="shared" si="232"/>
        <v>LIC19R/L L/P - Equities</v>
      </c>
      <c r="B2273" s="125">
        <f>+IFERROR(VLOOKUP(L2273,'TB mapping'!A:D,4,0),0)</f>
        <v>0</v>
      </c>
      <c r="C2273" s="125">
        <f>+IFERROR(VLOOKUP(L2273,'TB mapping'!A:C,3,0),0)</f>
        <v>5.3</v>
      </c>
      <c r="D2273" s="125" t="str">
        <f t="shared" si="233"/>
        <v>LIC190</v>
      </c>
      <c r="E2273" s="125" t="str">
        <f t="shared" si="234"/>
        <v>LIC195.3</v>
      </c>
      <c r="F2273" s="158" t="str">
        <f>+VLOOKUP(H2273,'code mapping'!A:C,3,0)</f>
        <v>LIC19</v>
      </c>
      <c r="G2273" s="127" t="s">
        <v>453</v>
      </c>
      <c r="H2273" s="127" t="s">
        <v>763</v>
      </c>
      <c r="I2273" s="127" t="s">
        <v>227</v>
      </c>
      <c r="J2273" s="128">
        <v>510000</v>
      </c>
      <c r="K2273" s="127" t="s">
        <v>546</v>
      </c>
      <c r="L2273" s="151">
        <v>511100</v>
      </c>
      <c r="M2273" s="128">
        <v>0</v>
      </c>
      <c r="N2273" s="127" t="s">
        <v>599</v>
      </c>
      <c r="O2273" s="127" t="s">
        <v>457</v>
      </c>
      <c r="P2273" s="128">
        <v>-56738083.780000001</v>
      </c>
      <c r="Q2273" s="128">
        <v>0</v>
      </c>
      <c r="R2273" s="128">
        <v>0</v>
      </c>
      <c r="S2273" s="128">
        <v>0</v>
      </c>
      <c r="T2273" s="128">
        <v>-56738083.780000001</v>
      </c>
      <c r="U2273" s="128">
        <v>0</v>
      </c>
      <c r="V2273" s="128">
        <v>-56738083.780000001</v>
      </c>
      <c r="W2273" s="128">
        <v>0</v>
      </c>
      <c r="X2273" s="128">
        <v>0</v>
      </c>
      <c r="Y2273" s="128">
        <v>0</v>
      </c>
      <c r="Z2273" s="128">
        <v>-56738083.780000001</v>
      </c>
      <c r="AA2273" s="128">
        <v>0</v>
      </c>
      <c r="AB2273" s="126">
        <f t="shared" si="235"/>
        <v>5.6738083780000004</v>
      </c>
      <c r="AC2273" s="122" t="s">
        <v>1838</v>
      </c>
      <c r="AD2273" s="123">
        <f t="shared" si="236"/>
        <v>-29.554892495999997</v>
      </c>
    </row>
    <row r="2274" spans="1:30" ht="12.75" hidden="1" customHeight="1">
      <c r="A2274" s="125" t="str">
        <f t="shared" si="232"/>
        <v>LIC19SEBI Fees</v>
      </c>
      <c r="B2274" s="125">
        <f>+IFERROR(VLOOKUP(L2274,'TB mapping'!A:D,4,0),0)</f>
        <v>0</v>
      </c>
      <c r="C2274" s="125">
        <f>+IFERROR(VLOOKUP(L2274,'TB mapping'!A:C,3,0),0)</f>
        <v>6.3</v>
      </c>
      <c r="D2274" s="125" t="str">
        <f t="shared" si="233"/>
        <v>LIC190</v>
      </c>
      <c r="E2274" s="125" t="str">
        <f t="shared" si="234"/>
        <v>LIC196.3</v>
      </c>
      <c r="F2274" s="158" t="str">
        <f>+VLOOKUP(H2274,'code mapping'!A:C,3,0)</f>
        <v>LIC19</v>
      </c>
      <c r="G2274" s="127" t="s">
        <v>453</v>
      </c>
      <c r="H2274" s="127" t="s">
        <v>763</v>
      </c>
      <c r="I2274" s="127" t="s">
        <v>227</v>
      </c>
      <c r="J2274" s="128">
        <v>550000</v>
      </c>
      <c r="K2274" s="127" t="s">
        <v>550</v>
      </c>
      <c r="L2274" s="151">
        <v>553007</v>
      </c>
      <c r="M2274" s="128">
        <v>0</v>
      </c>
      <c r="N2274" s="127" t="s">
        <v>551</v>
      </c>
      <c r="O2274" s="127" t="s">
        <v>457</v>
      </c>
      <c r="P2274" s="128">
        <v>-24974.85</v>
      </c>
      <c r="Q2274" s="128">
        <v>0</v>
      </c>
      <c r="R2274" s="128">
        <v>0</v>
      </c>
      <c r="S2274" s="128">
        <v>0</v>
      </c>
      <c r="T2274" s="128">
        <v>-24974.85</v>
      </c>
      <c r="U2274" s="128">
        <v>0</v>
      </c>
      <c r="V2274" s="128">
        <v>-24974.85</v>
      </c>
      <c r="W2274" s="128">
        <v>0</v>
      </c>
      <c r="X2274" s="128">
        <v>0</v>
      </c>
      <c r="Y2274" s="128">
        <v>0</v>
      </c>
      <c r="Z2274" s="128">
        <v>-24974.85</v>
      </c>
      <c r="AA2274" s="128">
        <v>0</v>
      </c>
      <c r="AB2274" s="126">
        <f t="shared" si="235"/>
        <v>2.4974849999999998E-3</v>
      </c>
      <c r="AC2274" s="122" t="s">
        <v>1838</v>
      </c>
      <c r="AD2274" s="123">
        <f t="shared" si="236"/>
        <v>6.2680610079999992</v>
      </c>
    </row>
    <row r="2275" spans="1:30" ht="12.75" hidden="1" customHeight="1">
      <c r="A2275" s="125" t="str">
        <f t="shared" si="232"/>
        <v>LIC19Audit Fee</v>
      </c>
      <c r="B2275" s="125">
        <f>+IFERROR(VLOOKUP(L2275,'TB mapping'!A:D,4,0),0)</f>
        <v>0</v>
      </c>
      <c r="C2275" s="125">
        <f>+IFERROR(VLOOKUP(L2275,'TB mapping'!A:C,3,0),0)</f>
        <v>6.3</v>
      </c>
      <c r="D2275" s="125" t="str">
        <f t="shared" si="233"/>
        <v>LIC190</v>
      </c>
      <c r="E2275" s="125" t="str">
        <f t="shared" si="234"/>
        <v>LIC196.3</v>
      </c>
      <c r="F2275" s="158" t="str">
        <f>+VLOOKUP(H2275,'code mapping'!A:C,3,0)</f>
        <v>LIC19</v>
      </c>
      <c r="G2275" s="127" t="s">
        <v>453</v>
      </c>
      <c r="H2275" s="127" t="s">
        <v>763</v>
      </c>
      <c r="I2275" s="127" t="s">
        <v>227</v>
      </c>
      <c r="J2275" s="128">
        <v>550000</v>
      </c>
      <c r="K2275" s="127" t="s">
        <v>550</v>
      </c>
      <c r="L2275" s="151">
        <v>553105</v>
      </c>
      <c r="M2275" s="128">
        <v>0</v>
      </c>
      <c r="N2275" s="127" t="s">
        <v>552</v>
      </c>
      <c r="O2275" s="127" t="s">
        <v>457</v>
      </c>
      <c r="P2275" s="128">
        <v>-52867.85</v>
      </c>
      <c r="Q2275" s="128">
        <v>0</v>
      </c>
      <c r="R2275" s="128">
        <v>0</v>
      </c>
      <c r="S2275" s="128">
        <v>0</v>
      </c>
      <c r="T2275" s="128">
        <v>-52867.85</v>
      </c>
      <c r="U2275" s="128">
        <v>0</v>
      </c>
      <c r="V2275" s="128">
        <v>-52867.85</v>
      </c>
      <c r="W2275" s="128">
        <v>0</v>
      </c>
      <c r="X2275" s="128">
        <v>0</v>
      </c>
      <c r="Y2275" s="128">
        <v>0</v>
      </c>
      <c r="Z2275" s="128">
        <v>-52867.85</v>
      </c>
      <c r="AA2275" s="128">
        <v>0</v>
      </c>
      <c r="AB2275" s="126">
        <f t="shared" si="235"/>
        <v>5.2867849999999996E-3</v>
      </c>
      <c r="AC2275" s="122" t="s">
        <v>1838</v>
      </c>
      <c r="AD2275" s="123">
        <f t="shared" si="236"/>
        <v>6.2680610079999992</v>
      </c>
    </row>
    <row r="2276" spans="1:30" ht="12.75" hidden="1" customHeight="1">
      <c r="A2276" s="125" t="str">
        <f t="shared" si="232"/>
        <v>LIC19Custody Fee</v>
      </c>
      <c r="B2276" s="125">
        <f>+IFERROR(VLOOKUP(L2276,'TB mapping'!A:D,4,0),0)</f>
        <v>0</v>
      </c>
      <c r="C2276" s="125">
        <f>+IFERROR(VLOOKUP(L2276,'TB mapping'!A:C,3,0),0)</f>
        <v>6.3</v>
      </c>
      <c r="D2276" s="125" t="str">
        <f t="shared" si="233"/>
        <v>LIC190</v>
      </c>
      <c r="E2276" s="125" t="str">
        <f t="shared" si="234"/>
        <v>LIC196.3</v>
      </c>
      <c r="F2276" s="158" t="str">
        <f>+VLOOKUP(H2276,'code mapping'!A:C,3,0)</f>
        <v>LIC19</v>
      </c>
      <c r="G2276" s="127" t="s">
        <v>453</v>
      </c>
      <c r="H2276" s="127" t="s">
        <v>763</v>
      </c>
      <c r="I2276" s="127" t="s">
        <v>227</v>
      </c>
      <c r="J2276" s="128">
        <v>550000</v>
      </c>
      <c r="K2276" s="127" t="s">
        <v>550</v>
      </c>
      <c r="L2276" s="151">
        <v>553107</v>
      </c>
      <c r="M2276" s="128">
        <v>0</v>
      </c>
      <c r="N2276" s="127" t="s">
        <v>553</v>
      </c>
      <c r="O2276" s="127" t="s">
        <v>457</v>
      </c>
      <c r="P2276" s="128">
        <v>-1075664.8999999999</v>
      </c>
      <c r="Q2276" s="128">
        <v>0</v>
      </c>
      <c r="R2276" s="128">
        <v>0</v>
      </c>
      <c r="S2276" s="128">
        <v>0</v>
      </c>
      <c r="T2276" s="128">
        <v>-1075664.8999999999</v>
      </c>
      <c r="U2276" s="128">
        <v>0</v>
      </c>
      <c r="V2276" s="128">
        <v>-1075664.8999999999</v>
      </c>
      <c r="W2276" s="128">
        <v>0</v>
      </c>
      <c r="X2276" s="128">
        <v>0</v>
      </c>
      <c r="Y2276" s="128">
        <v>0</v>
      </c>
      <c r="Z2276" s="128">
        <v>-1075664.8999999999</v>
      </c>
      <c r="AA2276" s="128">
        <v>0</v>
      </c>
      <c r="AB2276" s="126">
        <f t="shared" si="235"/>
        <v>0.10756648999999999</v>
      </c>
      <c r="AC2276" s="122" t="s">
        <v>1838</v>
      </c>
      <c r="AD2276" s="123">
        <f t="shared" si="236"/>
        <v>6.2680610079999992</v>
      </c>
    </row>
    <row r="2277" spans="1:30" ht="12.75" hidden="1" customHeight="1">
      <c r="A2277" s="125" t="str">
        <f t="shared" si="232"/>
        <v>LIC19Expense Allocation Account</v>
      </c>
      <c r="B2277" s="125">
        <f>+IFERROR(VLOOKUP(L2277,'TB mapping'!A:D,4,0),0)</f>
        <v>0</v>
      </c>
      <c r="C2277" s="125">
        <f>+IFERROR(VLOOKUP(L2277,'TB mapping'!A:C,3,0),0)</f>
        <v>6.3</v>
      </c>
      <c r="D2277" s="125" t="str">
        <f t="shared" si="233"/>
        <v>LIC190</v>
      </c>
      <c r="E2277" s="125" t="str">
        <f t="shared" si="234"/>
        <v>LIC196.3</v>
      </c>
      <c r="F2277" s="158" t="str">
        <f>+VLOOKUP(H2277,'code mapping'!A:C,3,0)</f>
        <v>LIC19</v>
      </c>
      <c r="G2277" s="127" t="s">
        <v>453</v>
      </c>
      <c r="H2277" s="127" t="s">
        <v>763</v>
      </c>
      <c r="I2277" s="127" t="s">
        <v>227</v>
      </c>
      <c r="J2277" s="128">
        <v>550000</v>
      </c>
      <c r="K2277" s="127" t="s">
        <v>550</v>
      </c>
      <c r="L2277" s="151">
        <v>553111</v>
      </c>
      <c r="M2277" s="128">
        <v>0</v>
      </c>
      <c r="N2277" s="127" t="s">
        <v>554</v>
      </c>
      <c r="O2277" s="127" t="s">
        <v>457</v>
      </c>
      <c r="P2277" s="128">
        <v>0</v>
      </c>
      <c r="Q2277" s="128">
        <v>2365074.13</v>
      </c>
      <c r="R2277" s="128">
        <v>0</v>
      </c>
      <c r="S2277" s="128">
        <v>0</v>
      </c>
      <c r="T2277" s="128">
        <v>0</v>
      </c>
      <c r="U2277" s="128">
        <v>2365074.13</v>
      </c>
      <c r="V2277" s="128">
        <v>0</v>
      </c>
      <c r="W2277" s="128">
        <v>2365074.13</v>
      </c>
      <c r="X2277" s="128">
        <v>0</v>
      </c>
      <c r="Y2277" s="128">
        <v>0</v>
      </c>
      <c r="Z2277" s="128">
        <v>0</v>
      </c>
      <c r="AA2277" s="128">
        <v>2365074.13</v>
      </c>
      <c r="AB2277" s="126">
        <f t="shared" si="235"/>
        <v>-0.236507413</v>
      </c>
      <c r="AC2277" s="122" t="s">
        <v>1838</v>
      </c>
      <c r="AD2277" s="123">
        <f t="shared" si="236"/>
        <v>6.2680610079999992</v>
      </c>
    </row>
    <row r="2278" spans="1:30" ht="12.75" hidden="1" customHeight="1">
      <c r="A2278" s="125" t="str">
        <f t="shared" si="232"/>
        <v>LIC19Trustee Fee</v>
      </c>
      <c r="B2278" s="125">
        <f>+IFERROR(VLOOKUP(L2278,'TB mapping'!A:D,4,0),0)</f>
        <v>6.2</v>
      </c>
      <c r="C2278" s="125">
        <f>+IFERROR(VLOOKUP(L2278,'TB mapping'!A:C,3,0),0)</f>
        <v>6.3</v>
      </c>
      <c r="D2278" s="125" t="str">
        <f t="shared" si="233"/>
        <v>LIC196.2</v>
      </c>
      <c r="E2278" s="125" t="str">
        <f t="shared" si="234"/>
        <v>LIC196.3</v>
      </c>
      <c r="F2278" s="158" t="str">
        <f>+VLOOKUP(H2278,'code mapping'!A:C,3,0)</f>
        <v>LIC19</v>
      </c>
      <c r="G2278" s="127" t="s">
        <v>453</v>
      </c>
      <c r="H2278" s="127" t="s">
        <v>763</v>
      </c>
      <c r="I2278" s="127" t="s">
        <v>227</v>
      </c>
      <c r="J2278" s="128">
        <v>550000</v>
      </c>
      <c r="K2278" s="127" t="s">
        <v>550</v>
      </c>
      <c r="L2278" s="151">
        <v>553131</v>
      </c>
      <c r="M2278" s="128">
        <v>0</v>
      </c>
      <c r="N2278" s="127" t="s">
        <v>555</v>
      </c>
      <c r="O2278" s="127" t="s">
        <v>457</v>
      </c>
      <c r="P2278" s="128">
        <v>-22498.400000000001</v>
      </c>
      <c r="Q2278" s="128">
        <v>0</v>
      </c>
      <c r="R2278" s="128">
        <v>0</v>
      </c>
      <c r="S2278" s="128">
        <v>0</v>
      </c>
      <c r="T2278" s="128">
        <v>-22498.400000000001</v>
      </c>
      <c r="U2278" s="128">
        <v>0</v>
      </c>
      <c r="V2278" s="128">
        <v>-22498.400000000001</v>
      </c>
      <c r="W2278" s="128">
        <v>0</v>
      </c>
      <c r="X2278" s="128">
        <v>0</v>
      </c>
      <c r="Y2278" s="128">
        <v>0</v>
      </c>
      <c r="Z2278" s="128">
        <v>-22498.400000000001</v>
      </c>
      <c r="AA2278" s="128">
        <v>0</v>
      </c>
      <c r="AB2278" s="126">
        <f t="shared" si="235"/>
        <v>2.2498400000000003E-3</v>
      </c>
      <c r="AC2278" s="122" t="s">
        <v>1838</v>
      </c>
      <c r="AD2278" s="123">
        <f t="shared" si="236"/>
        <v>6.2680610079999992</v>
      </c>
    </row>
    <row r="2279" spans="1:30" ht="12.75" hidden="1" customHeight="1">
      <c r="A2279" s="125" t="str">
        <f t="shared" si="232"/>
        <v>LIC19Bank Charges</v>
      </c>
      <c r="B2279" s="125">
        <f>+IFERROR(VLOOKUP(L2279,'TB mapping'!A:D,4,0),0)</f>
        <v>0</v>
      </c>
      <c r="C2279" s="125">
        <f>+IFERROR(VLOOKUP(L2279,'TB mapping'!A:C,3,0),0)</f>
        <v>6.3</v>
      </c>
      <c r="D2279" s="125" t="str">
        <f t="shared" si="233"/>
        <v>LIC190</v>
      </c>
      <c r="E2279" s="125" t="str">
        <f t="shared" si="234"/>
        <v>LIC196.3</v>
      </c>
      <c r="F2279" s="158" t="str">
        <f>+VLOOKUP(H2279,'code mapping'!A:C,3,0)</f>
        <v>LIC19</v>
      </c>
      <c r="G2279" s="127" t="s">
        <v>453</v>
      </c>
      <c r="H2279" s="127" t="s">
        <v>763</v>
      </c>
      <c r="I2279" s="127" t="s">
        <v>227</v>
      </c>
      <c r="J2279" s="128">
        <v>550000</v>
      </c>
      <c r="K2279" s="127" t="s">
        <v>550</v>
      </c>
      <c r="L2279" s="151">
        <v>553141</v>
      </c>
      <c r="M2279" s="128">
        <v>0</v>
      </c>
      <c r="N2279" s="127" t="s">
        <v>556</v>
      </c>
      <c r="O2279" s="127" t="s">
        <v>457</v>
      </c>
      <c r="P2279" s="128">
        <v>-337342.84</v>
      </c>
      <c r="Q2279" s="128">
        <v>0</v>
      </c>
      <c r="R2279" s="128">
        <v>0</v>
      </c>
      <c r="S2279" s="128">
        <v>0</v>
      </c>
      <c r="T2279" s="128">
        <v>-337342.84</v>
      </c>
      <c r="U2279" s="128">
        <v>0</v>
      </c>
      <c r="V2279" s="128">
        <v>-337342.84</v>
      </c>
      <c r="W2279" s="128">
        <v>0</v>
      </c>
      <c r="X2279" s="128">
        <v>0</v>
      </c>
      <c r="Y2279" s="128">
        <v>0</v>
      </c>
      <c r="Z2279" s="128">
        <v>-337342.84</v>
      </c>
      <c r="AA2279" s="128">
        <v>0</v>
      </c>
      <c r="AB2279" s="126">
        <f t="shared" si="235"/>
        <v>3.3734284000000003E-2</v>
      </c>
      <c r="AC2279" s="122" t="s">
        <v>1838</v>
      </c>
      <c r="AD2279" s="123">
        <f t="shared" si="236"/>
        <v>6.2680610079999992</v>
      </c>
    </row>
    <row r="2280" spans="1:30" ht="12.75" hidden="1" customHeight="1">
      <c r="A2280" s="125" t="str">
        <f t="shared" si="232"/>
        <v>LIC19Marketing Fees</v>
      </c>
      <c r="B2280" s="125">
        <f>+IFERROR(VLOOKUP(L2280,'TB mapping'!A:D,4,0),0)</f>
        <v>0</v>
      </c>
      <c r="C2280" s="125">
        <f>+IFERROR(VLOOKUP(L2280,'TB mapping'!A:C,3,0),0)</f>
        <v>6.3</v>
      </c>
      <c r="D2280" s="125" t="str">
        <f t="shared" si="233"/>
        <v>LIC190</v>
      </c>
      <c r="E2280" s="125" t="str">
        <f t="shared" si="234"/>
        <v>LIC196.3</v>
      </c>
      <c r="F2280" s="158" t="str">
        <f>+VLOOKUP(H2280,'code mapping'!A:C,3,0)</f>
        <v>LIC19</v>
      </c>
      <c r="G2280" s="127" t="s">
        <v>453</v>
      </c>
      <c r="H2280" s="127" t="s">
        <v>763</v>
      </c>
      <c r="I2280" s="127" t="s">
        <v>227</v>
      </c>
      <c r="J2280" s="128">
        <v>550000</v>
      </c>
      <c r="K2280" s="127" t="s">
        <v>550</v>
      </c>
      <c r="L2280" s="151">
        <v>553147</v>
      </c>
      <c r="M2280" s="128">
        <v>0</v>
      </c>
      <c r="N2280" s="127" t="s">
        <v>712</v>
      </c>
      <c r="O2280" s="127" t="s">
        <v>457</v>
      </c>
      <c r="P2280" s="128">
        <v>-26013.15</v>
      </c>
      <c r="Q2280" s="128">
        <v>0</v>
      </c>
      <c r="R2280" s="128">
        <v>0</v>
      </c>
      <c r="S2280" s="128">
        <v>0</v>
      </c>
      <c r="T2280" s="128">
        <v>-26013.15</v>
      </c>
      <c r="U2280" s="128">
        <v>0</v>
      </c>
      <c r="V2280" s="128">
        <v>-26013.15</v>
      </c>
      <c r="W2280" s="128">
        <v>0</v>
      </c>
      <c r="X2280" s="128">
        <v>0</v>
      </c>
      <c r="Y2280" s="128">
        <v>0</v>
      </c>
      <c r="Z2280" s="128">
        <v>-26013.15</v>
      </c>
      <c r="AA2280" s="128">
        <v>0</v>
      </c>
      <c r="AB2280" s="126">
        <f t="shared" si="235"/>
        <v>2.6013150000000003E-3</v>
      </c>
      <c r="AC2280" s="122" t="s">
        <v>1838</v>
      </c>
      <c r="AD2280" s="123">
        <f t="shared" si="236"/>
        <v>6.2680610079999992</v>
      </c>
    </row>
    <row r="2281" spans="1:30" ht="12.75" hidden="1" customHeight="1">
      <c r="A2281" s="125" t="str">
        <f t="shared" si="232"/>
        <v>LIC19Investor Education Fund Exps</v>
      </c>
      <c r="B2281" s="125">
        <f>+IFERROR(VLOOKUP(L2281,'TB mapping'!A:D,4,0),0)</f>
        <v>0</v>
      </c>
      <c r="C2281" s="125">
        <f>+IFERROR(VLOOKUP(L2281,'TB mapping'!A:C,3,0),0)</f>
        <v>6.3</v>
      </c>
      <c r="D2281" s="125" t="str">
        <f t="shared" si="233"/>
        <v>LIC190</v>
      </c>
      <c r="E2281" s="125" t="str">
        <f t="shared" si="234"/>
        <v>LIC196.3</v>
      </c>
      <c r="F2281" s="158" t="str">
        <f>+VLOOKUP(H2281,'code mapping'!A:C,3,0)</f>
        <v>LIC19</v>
      </c>
      <c r="G2281" s="127" t="s">
        <v>453</v>
      </c>
      <c r="H2281" s="127" t="s">
        <v>763</v>
      </c>
      <c r="I2281" s="127" t="s">
        <v>227</v>
      </c>
      <c r="J2281" s="128">
        <v>550000</v>
      </c>
      <c r="K2281" s="127" t="s">
        <v>550</v>
      </c>
      <c r="L2281" s="151">
        <v>553171</v>
      </c>
      <c r="M2281" s="128">
        <v>0</v>
      </c>
      <c r="N2281" s="127" t="s">
        <v>557</v>
      </c>
      <c r="O2281" s="127" t="s">
        <v>457</v>
      </c>
      <c r="P2281" s="128">
        <v>-233583.05</v>
      </c>
      <c r="Q2281" s="128">
        <v>0</v>
      </c>
      <c r="R2281" s="128">
        <v>0</v>
      </c>
      <c r="S2281" s="128">
        <v>0</v>
      </c>
      <c r="T2281" s="128">
        <v>-233583.05</v>
      </c>
      <c r="U2281" s="128">
        <v>0</v>
      </c>
      <c r="V2281" s="128">
        <v>-233583.05</v>
      </c>
      <c r="W2281" s="128">
        <v>0</v>
      </c>
      <c r="X2281" s="128">
        <v>0</v>
      </c>
      <c r="Y2281" s="128">
        <v>0</v>
      </c>
      <c r="Z2281" s="128">
        <v>-233583.05</v>
      </c>
      <c r="AA2281" s="128">
        <v>0</v>
      </c>
      <c r="AB2281" s="126">
        <f t="shared" si="235"/>
        <v>2.3358304999999999E-2</v>
      </c>
      <c r="AC2281" s="122" t="s">
        <v>1838</v>
      </c>
      <c r="AD2281" s="123">
        <f t="shared" si="236"/>
        <v>6.2680610079999992</v>
      </c>
    </row>
    <row r="2282" spans="1:30" ht="12.75" hidden="1" customHeight="1">
      <c r="A2282" s="125" t="str">
        <f t="shared" si="232"/>
        <v>LIC19Service Tax on Management Fees</v>
      </c>
      <c r="B2282" s="125">
        <f>+IFERROR(VLOOKUP(L2282,'TB mapping'!A:D,4,0),0)</f>
        <v>6.1</v>
      </c>
      <c r="C2282" s="125">
        <f>+IFERROR(VLOOKUP(L2282,'TB mapping'!A:C,3,0),0)</f>
        <v>6.3</v>
      </c>
      <c r="D2282" s="125" t="str">
        <f t="shared" si="233"/>
        <v>LIC196.1</v>
      </c>
      <c r="E2282" s="125" t="str">
        <f t="shared" si="234"/>
        <v>LIC196.3</v>
      </c>
      <c r="F2282" s="158" t="str">
        <f>+VLOOKUP(H2282,'code mapping'!A:C,3,0)</f>
        <v>LIC19</v>
      </c>
      <c r="G2282" s="127" t="s">
        <v>453</v>
      </c>
      <c r="H2282" s="127" t="s">
        <v>763</v>
      </c>
      <c r="I2282" s="127" t="s">
        <v>227</v>
      </c>
      <c r="J2282" s="128">
        <v>550000</v>
      </c>
      <c r="K2282" s="127" t="s">
        <v>550</v>
      </c>
      <c r="L2282" s="151">
        <v>553172</v>
      </c>
      <c r="M2282" s="128">
        <v>0</v>
      </c>
      <c r="N2282" s="127" t="s">
        <v>558</v>
      </c>
      <c r="O2282" s="127" t="s">
        <v>457</v>
      </c>
      <c r="P2282" s="128">
        <v>-1129553.29</v>
      </c>
      <c r="Q2282" s="128">
        <v>0</v>
      </c>
      <c r="R2282" s="128">
        <v>0</v>
      </c>
      <c r="S2282" s="128">
        <v>0</v>
      </c>
      <c r="T2282" s="128">
        <v>-1129553.29</v>
      </c>
      <c r="U2282" s="128">
        <v>0</v>
      </c>
      <c r="V2282" s="128">
        <v>-1129553.29</v>
      </c>
      <c r="W2282" s="128">
        <v>0</v>
      </c>
      <c r="X2282" s="128">
        <v>0</v>
      </c>
      <c r="Y2282" s="128">
        <v>0</v>
      </c>
      <c r="Z2282" s="128">
        <v>-1129553.29</v>
      </c>
      <c r="AA2282" s="128">
        <v>0</v>
      </c>
      <c r="AB2282" s="126">
        <f t="shared" si="235"/>
        <v>0.11295532900000001</v>
      </c>
      <c r="AC2282" s="122" t="s">
        <v>1838</v>
      </c>
      <c r="AD2282" s="123">
        <f t="shared" si="236"/>
        <v>6.2680610079999992</v>
      </c>
    </row>
    <row r="2283" spans="1:30" ht="12.75" hidden="1" customHeight="1">
      <c r="A2283" s="125" t="str">
        <f t="shared" si="232"/>
        <v>LIC19CCIL Expenses</v>
      </c>
      <c r="B2283" s="125">
        <f>+IFERROR(VLOOKUP(L2283,'TB mapping'!A:D,4,0),0)</f>
        <v>0</v>
      </c>
      <c r="C2283" s="125">
        <f>+IFERROR(VLOOKUP(L2283,'TB mapping'!A:C,3,0),0)</f>
        <v>6.3</v>
      </c>
      <c r="D2283" s="125" t="str">
        <f t="shared" si="233"/>
        <v>LIC190</v>
      </c>
      <c r="E2283" s="125" t="str">
        <f t="shared" si="234"/>
        <v>LIC196.3</v>
      </c>
      <c r="F2283" s="158" t="str">
        <f>+VLOOKUP(H2283,'code mapping'!A:C,3,0)</f>
        <v>LIC19</v>
      </c>
      <c r="G2283" s="127" t="s">
        <v>453</v>
      </c>
      <c r="H2283" s="127" t="s">
        <v>763</v>
      </c>
      <c r="I2283" s="127" t="s">
        <v>227</v>
      </c>
      <c r="J2283" s="128">
        <v>550000</v>
      </c>
      <c r="K2283" s="127" t="s">
        <v>550</v>
      </c>
      <c r="L2283" s="151">
        <v>553176</v>
      </c>
      <c r="M2283" s="128">
        <v>0</v>
      </c>
      <c r="N2283" s="127" t="s">
        <v>559</v>
      </c>
      <c r="O2283" s="127" t="s">
        <v>457</v>
      </c>
      <c r="P2283" s="128">
        <v>-39110.75</v>
      </c>
      <c r="Q2283" s="128">
        <v>0</v>
      </c>
      <c r="R2283" s="128">
        <v>0</v>
      </c>
      <c r="S2283" s="128">
        <v>0</v>
      </c>
      <c r="T2283" s="128">
        <v>-39110.75</v>
      </c>
      <c r="U2283" s="128">
        <v>0</v>
      </c>
      <c r="V2283" s="128">
        <v>-39110.75</v>
      </c>
      <c r="W2283" s="128">
        <v>0</v>
      </c>
      <c r="X2283" s="128">
        <v>0</v>
      </c>
      <c r="Y2283" s="128">
        <v>0</v>
      </c>
      <c r="Z2283" s="128">
        <v>-39110.75</v>
      </c>
      <c r="AA2283" s="128">
        <v>0</v>
      </c>
      <c r="AB2283" s="126">
        <f t="shared" si="235"/>
        <v>3.911075E-3</v>
      </c>
      <c r="AC2283" s="122" t="s">
        <v>1838</v>
      </c>
      <c r="AD2283" s="123">
        <f t="shared" si="236"/>
        <v>6.2680610079999992</v>
      </c>
    </row>
    <row r="2284" spans="1:30" ht="12.75" hidden="1" customHeight="1">
      <c r="A2284" s="125" t="str">
        <f t="shared" si="232"/>
        <v>LIC19Out of Pocket Expenses - R&amp;T</v>
      </c>
      <c r="B2284" s="125">
        <f>+IFERROR(VLOOKUP(L2284,'TB mapping'!A:D,4,0),0)</f>
        <v>0</v>
      </c>
      <c r="C2284" s="125">
        <f>+IFERROR(VLOOKUP(L2284,'TB mapping'!A:C,3,0),0)</f>
        <v>6.3</v>
      </c>
      <c r="D2284" s="125" t="str">
        <f t="shared" si="233"/>
        <v>LIC190</v>
      </c>
      <c r="E2284" s="125" t="str">
        <f t="shared" si="234"/>
        <v>LIC196.3</v>
      </c>
      <c r="F2284" s="158" t="str">
        <f>+VLOOKUP(H2284,'code mapping'!A:C,3,0)</f>
        <v>LIC19</v>
      </c>
      <c r="G2284" s="127" t="s">
        <v>453</v>
      </c>
      <c r="H2284" s="127" t="s">
        <v>763</v>
      </c>
      <c r="I2284" s="127" t="s">
        <v>227</v>
      </c>
      <c r="J2284" s="128">
        <v>550000</v>
      </c>
      <c r="K2284" s="127" t="s">
        <v>550</v>
      </c>
      <c r="L2284" s="151">
        <v>553180</v>
      </c>
      <c r="M2284" s="128">
        <v>0</v>
      </c>
      <c r="N2284" s="127" t="s">
        <v>560</v>
      </c>
      <c r="O2284" s="127" t="s">
        <v>457</v>
      </c>
      <c r="P2284" s="128">
        <v>-330838.33</v>
      </c>
      <c r="Q2284" s="128">
        <v>0</v>
      </c>
      <c r="R2284" s="128">
        <v>0</v>
      </c>
      <c r="S2284" s="128">
        <v>0</v>
      </c>
      <c r="T2284" s="128">
        <v>-330838.33</v>
      </c>
      <c r="U2284" s="128">
        <v>0</v>
      </c>
      <c r="V2284" s="128">
        <v>-330838.33</v>
      </c>
      <c r="W2284" s="128">
        <v>0</v>
      </c>
      <c r="X2284" s="128">
        <v>0</v>
      </c>
      <c r="Y2284" s="128">
        <v>0</v>
      </c>
      <c r="Z2284" s="128">
        <v>-330838.33</v>
      </c>
      <c r="AA2284" s="128">
        <v>0</v>
      </c>
      <c r="AB2284" s="126">
        <f t="shared" si="235"/>
        <v>3.3083833E-2</v>
      </c>
      <c r="AC2284" s="122" t="s">
        <v>1838</v>
      </c>
      <c r="AD2284" s="123">
        <f t="shared" si="236"/>
        <v>6.2680610079999992</v>
      </c>
    </row>
    <row r="2285" spans="1:30" ht="12.75" hidden="1" customHeight="1">
      <c r="A2285" s="125" t="str">
        <f t="shared" si="232"/>
        <v>LIC19Other Expenses</v>
      </c>
      <c r="B2285" s="125">
        <f>+IFERROR(VLOOKUP(L2285,'TB mapping'!A:D,4,0),0)</f>
        <v>0</v>
      </c>
      <c r="C2285" s="125">
        <f>+IFERROR(VLOOKUP(L2285,'TB mapping'!A:C,3,0),0)</f>
        <v>6.3</v>
      </c>
      <c r="D2285" s="125" t="str">
        <f t="shared" si="233"/>
        <v>LIC190</v>
      </c>
      <c r="E2285" s="125" t="str">
        <f t="shared" si="234"/>
        <v>LIC196.3</v>
      </c>
      <c r="F2285" s="158" t="str">
        <f>+VLOOKUP(H2285,'code mapping'!A:C,3,0)</f>
        <v>LIC19</v>
      </c>
      <c r="G2285" s="127" t="s">
        <v>453</v>
      </c>
      <c r="H2285" s="127" t="s">
        <v>763</v>
      </c>
      <c r="I2285" s="127" t="s">
        <v>227</v>
      </c>
      <c r="J2285" s="128">
        <v>550000</v>
      </c>
      <c r="K2285" s="127" t="s">
        <v>550</v>
      </c>
      <c r="L2285" s="151">
        <v>553190</v>
      </c>
      <c r="M2285" s="128">
        <v>0</v>
      </c>
      <c r="N2285" s="127" t="s">
        <v>561</v>
      </c>
      <c r="O2285" s="127" t="s">
        <v>457</v>
      </c>
      <c r="P2285" s="128">
        <v>0</v>
      </c>
      <c r="Q2285" s="128">
        <v>604142.54</v>
      </c>
      <c r="R2285" s="128">
        <v>0</v>
      </c>
      <c r="S2285" s="128">
        <v>0</v>
      </c>
      <c r="T2285" s="128">
        <v>0</v>
      </c>
      <c r="U2285" s="128">
        <v>604142.54</v>
      </c>
      <c r="V2285" s="128">
        <v>0</v>
      </c>
      <c r="W2285" s="128">
        <v>604142.54</v>
      </c>
      <c r="X2285" s="128">
        <v>0</v>
      </c>
      <c r="Y2285" s="128">
        <v>0</v>
      </c>
      <c r="Z2285" s="128">
        <v>0</v>
      </c>
      <c r="AA2285" s="128">
        <v>604142.54</v>
      </c>
      <c r="AB2285" s="126">
        <f t="shared" si="235"/>
        <v>-6.0414254000000001E-2</v>
      </c>
      <c r="AC2285" s="122" t="s">
        <v>1838</v>
      </c>
      <c r="AD2285" s="123">
        <f t="shared" si="236"/>
        <v>6.2680610079999992</v>
      </c>
    </row>
    <row r="2286" spans="1:30" ht="12.75" hidden="1" customHeight="1">
      <c r="A2286" s="125" t="str">
        <f t="shared" si="232"/>
        <v>LIC19Other Expenses-RG</v>
      </c>
      <c r="B2286" s="125">
        <f>+IFERROR(VLOOKUP(L2286,'TB mapping'!A:D,4,0),0)</f>
        <v>0</v>
      </c>
      <c r="C2286" s="125">
        <f>+IFERROR(VLOOKUP(L2286,'TB mapping'!A:C,3,0),0)</f>
        <v>6.3</v>
      </c>
      <c r="D2286" s="125" t="str">
        <f t="shared" si="233"/>
        <v>LIC190</v>
      </c>
      <c r="E2286" s="125" t="str">
        <f t="shared" si="234"/>
        <v>LIC196.3</v>
      </c>
      <c r="F2286" s="158" t="str">
        <f>+VLOOKUP(H2286,'code mapping'!A:C,3,0)</f>
        <v>LIC19</v>
      </c>
      <c r="G2286" s="127" t="s">
        <v>453</v>
      </c>
      <c r="H2286" s="127" t="s">
        <v>763</v>
      </c>
      <c r="I2286" s="127" t="s">
        <v>227</v>
      </c>
      <c r="J2286" s="128">
        <v>550000</v>
      </c>
      <c r="K2286" s="127" t="s">
        <v>550</v>
      </c>
      <c r="L2286" s="151">
        <v>553191</v>
      </c>
      <c r="M2286" s="128">
        <v>0</v>
      </c>
      <c r="N2286" s="127" t="s">
        <v>562</v>
      </c>
      <c r="O2286" s="127" t="s">
        <v>457</v>
      </c>
      <c r="P2286" s="128">
        <v>-2100587.1</v>
      </c>
      <c r="Q2286" s="128">
        <v>0</v>
      </c>
      <c r="R2286" s="128">
        <v>0</v>
      </c>
      <c r="S2286" s="128">
        <v>0</v>
      </c>
      <c r="T2286" s="128">
        <v>-2100587.1</v>
      </c>
      <c r="U2286" s="128">
        <v>0</v>
      </c>
      <c r="V2286" s="128">
        <v>-2100587.1</v>
      </c>
      <c r="W2286" s="128">
        <v>0</v>
      </c>
      <c r="X2286" s="128">
        <v>0</v>
      </c>
      <c r="Y2286" s="128">
        <v>0</v>
      </c>
      <c r="Z2286" s="128">
        <v>-2100587.1</v>
      </c>
      <c r="AA2286" s="128">
        <v>0</v>
      </c>
      <c r="AB2286" s="126">
        <f t="shared" si="235"/>
        <v>0.21005871000000001</v>
      </c>
      <c r="AC2286" s="122" t="s">
        <v>1838</v>
      </c>
      <c r="AD2286" s="123">
        <f t="shared" si="236"/>
        <v>6.2680610079999992</v>
      </c>
    </row>
    <row r="2287" spans="1:30" ht="12.75" hidden="1" customHeight="1">
      <c r="A2287" s="125" t="str">
        <f t="shared" si="232"/>
        <v>LIC19Other Expenses-RD</v>
      </c>
      <c r="B2287" s="125">
        <f>+IFERROR(VLOOKUP(L2287,'TB mapping'!A:D,4,0),0)</f>
        <v>0</v>
      </c>
      <c r="C2287" s="125">
        <f>+IFERROR(VLOOKUP(L2287,'TB mapping'!A:C,3,0),0)</f>
        <v>6.3</v>
      </c>
      <c r="D2287" s="125" t="str">
        <f t="shared" si="233"/>
        <v>LIC190</v>
      </c>
      <c r="E2287" s="125" t="str">
        <f t="shared" si="234"/>
        <v>LIC196.3</v>
      </c>
      <c r="F2287" s="158" t="str">
        <f>+VLOOKUP(H2287,'code mapping'!A:C,3,0)</f>
        <v>LIC19</v>
      </c>
      <c r="G2287" s="127" t="s">
        <v>453</v>
      </c>
      <c r="H2287" s="127" t="s">
        <v>763</v>
      </c>
      <c r="I2287" s="127" t="s">
        <v>227</v>
      </c>
      <c r="J2287" s="128">
        <v>550000</v>
      </c>
      <c r="K2287" s="127" t="s">
        <v>550</v>
      </c>
      <c r="L2287" s="151">
        <v>553192</v>
      </c>
      <c r="M2287" s="128">
        <v>0</v>
      </c>
      <c r="N2287" s="127" t="s">
        <v>563</v>
      </c>
      <c r="O2287" s="127" t="s">
        <v>457</v>
      </c>
      <c r="P2287" s="128">
        <v>-71591.710000000006</v>
      </c>
      <c r="Q2287" s="128">
        <v>0</v>
      </c>
      <c r="R2287" s="128">
        <v>0</v>
      </c>
      <c r="S2287" s="128">
        <v>0</v>
      </c>
      <c r="T2287" s="128">
        <v>-71591.710000000006</v>
      </c>
      <c r="U2287" s="128">
        <v>0</v>
      </c>
      <c r="V2287" s="128">
        <v>-71591.710000000006</v>
      </c>
      <c r="W2287" s="128">
        <v>0</v>
      </c>
      <c r="X2287" s="128">
        <v>0</v>
      </c>
      <c r="Y2287" s="128">
        <v>0</v>
      </c>
      <c r="Z2287" s="128">
        <v>-71591.710000000006</v>
      </c>
      <c r="AA2287" s="128">
        <v>0</v>
      </c>
      <c r="AB2287" s="126">
        <f t="shared" si="235"/>
        <v>7.1591710000000006E-3</v>
      </c>
      <c r="AC2287" s="122" t="s">
        <v>1838</v>
      </c>
      <c r="AD2287" s="123">
        <f t="shared" si="236"/>
        <v>6.2680610079999992</v>
      </c>
    </row>
    <row r="2288" spans="1:30" ht="12.75" hidden="1" customHeight="1">
      <c r="A2288" s="125" t="str">
        <f t="shared" si="232"/>
        <v>LIC19Other Exp - Brok - Indirect</v>
      </c>
      <c r="B2288" s="125">
        <f>+IFERROR(VLOOKUP(L2288,'TB mapping'!A:D,4,0),0)</f>
        <v>0</v>
      </c>
      <c r="C2288" s="125">
        <f>+IFERROR(VLOOKUP(L2288,'TB mapping'!A:C,3,0),0)</f>
        <v>6.3</v>
      </c>
      <c r="D2288" s="125" t="str">
        <f t="shared" si="233"/>
        <v>LIC190</v>
      </c>
      <c r="E2288" s="125" t="str">
        <f t="shared" si="234"/>
        <v>LIC196.3</v>
      </c>
      <c r="F2288" s="158" t="str">
        <f>+VLOOKUP(H2288,'code mapping'!A:C,3,0)</f>
        <v>LIC19</v>
      </c>
      <c r="G2288" s="127" t="s">
        <v>453</v>
      </c>
      <c r="H2288" s="127" t="s">
        <v>763</v>
      </c>
      <c r="I2288" s="127" t="s">
        <v>227</v>
      </c>
      <c r="J2288" s="128">
        <v>550000</v>
      </c>
      <c r="K2288" s="127" t="s">
        <v>550</v>
      </c>
      <c r="L2288" s="151">
        <v>553202</v>
      </c>
      <c r="M2288" s="128">
        <v>0</v>
      </c>
      <c r="N2288" s="127" t="s">
        <v>564</v>
      </c>
      <c r="O2288" s="127" t="s">
        <v>457</v>
      </c>
      <c r="P2288" s="128">
        <v>-7387182.8899999997</v>
      </c>
      <c r="Q2288" s="128">
        <v>0</v>
      </c>
      <c r="R2288" s="128">
        <v>0</v>
      </c>
      <c r="S2288" s="128">
        <v>0</v>
      </c>
      <c r="T2288" s="128">
        <v>-7387182.8899999997</v>
      </c>
      <c r="U2288" s="128">
        <v>0</v>
      </c>
      <c r="V2288" s="128">
        <v>-7387182.8899999997</v>
      </c>
      <c r="W2288" s="128">
        <v>0</v>
      </c>
      <c r="X2288" s="128">
        <v>0</v>
      </c>
      <c r="Y2288" s="128">
        <v>0</v>
      </c>
      <c r="Z2288" s="128">
        <v>-7387182.8899999997</v>
      </c>
      <c r="AA2288" s="128">
        <v>0</v>
      </c>
      <c r="AB2288" s="126">
        <f t="shared" si="235"/>
        <v>0.73871828899999992</v>
      </c>
      <c r="AC2288" s="122" t="s">
        <v>1838</v>
      </c>
      <c r="AD2288" s="123">
        <f t="shared" si="236"/>
        <v>6.2680610079999992</v>
      </c>
    </row>
    <row r="2289" spans="1:30" ht="12.75" hidden="1" customHeight="1">
      <c r="A2289" s="125" t="str">
        <f t="shared" si="232"/>
        <v>LIC19Brokerage/Dist Exps</v>
      </c>
      <c r="B2289" s="125">
        <f>+IFERROR(VLOOKUP(L2289,'TB mapping'!A:D,4,0),0)</f>
        <v>0</v>
      </c>
      <c r="C2289" s="125">
        <f>+IFERROR(VLOOKUP(L2289,'TB mapping'!A:C,3,0),0)</f>
        <v>6.3</v>
      </c>
      <c r="D2289" s="125" t="str">
        <f t="shared" si="233"/>
        <v>LIC190</v>
      </c>
      <c r="E2289" s="125" t="str">
        <f t="shared" si="234"/>
        <v>LIC196.3</v>
      </c>
      <c r="F2289" s="158" t="str">
        <f>+VLOOKUP(H2289,'code mapping'!A:C,3,0)</f>
        <v>LIC19</v>
      </c>
      <c r="G2289" s="127" t="s">
        <v>453</v>
      </c>
      <c r="H2289" s="127" t="s">
        <v>763</v>
      </c>
      <c r="I2289" s="127" t="s">
        <v>227</v>
      </c>
      <c r="J2289" s="128">
        <v>550000</v>
      </c>
      <c r="K2289" s="127" t="s">
        <v>550</v>
      </c>
      <c r="L2289" s="151">
        <v>553208</v>
      </c>
      <c r="M2289" s="128">
        <v>0</v>
      </c>
      <c r="N2289" s="127" t="s">
        <v>565</v>
      </c>
      <c r="O2289" s="127" t="s">
        <v>457</v>
      </c>
      <c r="P2289" s="128">
        <v>0</v>
      </c>
      <c r="Q2289" s="128">
        <v>3836360.64</v>
      </c>
      <c r="R2289" s="128">
        <v>0</v>
      </c>
      <c r="S2289" s="128">
        <v>0</v>
      </c>
      <c r="T2289" s="128">
        <v>0</v>
      </c>
      <c r="U2289" s="128">
        <v>3836360.64</v>
      </c>
      <c r="V2289" s="128">
        <v>0</v>
      </c>
      <c r="W2289" s="128">
        <v>3836360.64</v>
      </c>
      <c r="X2289" s="128">
        <v>0</v>
      </c>
      <c r="Y2289" s="128">
        <v>0</v>
      </c>
      <c r="Z2289" s="128">
        <v>0</v>
      </c>
      <c r="AA2289" s="128">
        <v>3836360.64</v>
      </c>
      <c r="AB2289" s="126">
        <f t="shared" si="235"/>
        <v>-0.383636064</v>
      </c>
      <c r="AC2289" s="122" t="s">
        <v>1838</v>
      </c>
      <c r="AD2289" s="123">
        <f t="shared" si="236"/>
        <v>6.2680610079999992</v>
      </c>
    </row>
    <row r="2290" spans="1:30" ht="12.75" hidden="1" customHeight="1">
      <c r="A2290" s="125" t="str">
        <f t="shared" si="232"/>
        <v>LIC19Internal Audit Fee</v>
      </c>
      <c r="B2290" s="125">
        <f>+IFERROR(VLOOKUP(L2290,'TB mapping'!A:D,4,0),0)</f>
        <v>0</v>
      </c>
      <c r="C2290" s="125">
        <f>+IFERROR(VLOOKUP(L2290,'TB mapping'!A:C,3,0),0)</f>
        <v>6.3</v>
      </c>
      <c r="D2290" s="125" t="str">
        <f t="shared" si="233"/>
        <v>LIC190</v>
      </c>
      <c r="E2290" s="125" t="str">
        <f t="shared" si="234"/>
        <v>LIC196.3</v>
      </c>
      <c r="F2290" s="158" t="str">
        <f>+VLOOKUP(H2290,'code mapping'!A:C,3,0)</f>
        <v>LIC19</v>
      </c>
      <c r="G2290" s="127" t="s">
        <v>453</v>
      </c>
      <c r="H2290" s="127" t="s">
        <v>763</v>
      </c>
      <c r="I2290" s="127" t="s">
        <v>227</v>
      </c>
      <c r="J2290" s="128">
        <v>550000</v>
      </c>
      <c r="K2290" s="127" t="s">
        <v>550</v>
      </c>
      <c r="L2290" s="151">
        <v>553213</v>
      </c>
      <c r="M2290" s="128">
        <v>0</v>
      </c>
      <c r="N2290" s="127" t="s">
        <v>566</v>
      </c>
      <c r="O2290" s="127" t="s">
        <v>457</v>
      </c>
      <c r="P2290" s="128">
        <v>-41799.93</v>
      </c>
      <c r="Q2290" s="128">
        <v>0</v>
      </c>
      <c r="R2290" s="128">
        <v>0</v>
      </c>
      <c r="S2290" s="128">
        <v>0</v>
      </c>
      <c r="T2290" s="128">
        <v>-41799.93</v>
      </c>
      <c r="U2290" s="128">
        <v>0</v>
      </c>
      <c r="V2290" s="128">
        <v>-41799.93</v>
      </c>
      <c r="W2290" s="128">
        <v>0</v>
      </c>
      <c r="X2290" s="128">
        <v>0</v>
      </c>
      <c r="Y2290" s="128">
        <v>0</v>
      </c>
      <c r="Z2290" s="128">
        <v>-41799.93</v>
      </c>
      <c r="AA2290" s="128">
        <v>0</v>
      </c>
      <c r="AB2290" s="126">
        <f t="shared" si="235"/>
        <v>4.1799929999999999E-3</v>
      </c>
      <c r="AC2290" s="122" t="s">
        <v>1838</v>
      </c>
      <c r="AD2290" s="123">
        <f t="shared" si="236"/>
        <v>6.2680610079999992</v>
      </c>
    </row>
    <row r="2291" spans="1:30" ht="12.75" hidden="1" customHeight="1">
      <c r="A2291" s="125" t="str">
        <f t="shared" si="232"/>
        <v>LIC19Other Expenses-GDP</v>
      </c>
      <c r="B2291" s="125">
        <f>+IFERROR(VLOOKUP(L2291,'TB mapping'!A:D,4,0),0)</f>
        <v>0</v>
      </c>
      <c r="C2291" s="125">
        <f>+IFERROR(VLOOKUP(L2291,'TB mapping'!A:C,3,0),0)</f>
        <v>6.3</v>
      </c>
      <c r="D2291" s="125" t="str">
        <f t="shared" si="233"/>
        <v>LIC190</v>
      </c>
      <c r="E2291" s="125" t="str">
        <f t="shared" si="234"/>
        <v>LIC196.3</v>
      </c>
      <c r="F2291" s="158" t="str">
        <f>+VLOOKUP(H2291,'code mapping'!A:C,3,0)</f>
        <v>LIC19</v>
      </c>
      <c r="G2291" s="127" t="s">
        <v>453</v>
      </c>
      <c r="H2291" s="127" t="s">
        <v>763</v>
      </c>
      <c r="I2291" s="127" t="s">
        <v>227</v>
      </c>
      <c r="J2291" s="128">
        <v>550000</v>
      </c>
      <c r="K2291" s="127" t="s">
        <v>550</v>
      </c>
      <c r="L2291" s="151">
        <v>553329</v>
      </c>
      <c r="M2291" s="128">
        <v>0</v>
      </c>
      <c r="N2291" s="127" t="s">
        <v>567</v>
      </c>
      <c r="O2291" s="127" t="s">
        <v>457</v>
      </c>
      <c r="P2291" s="128">
        <v>-1463232.34</v>
      </c>
      <c r="Q2291" s="128">
        <v>0</v>
      </c>
      <c r="R2291" s="128">
        <v>0</v>
      </c>
      <c r="S2291" s="128">
        <v>0</v>
      </c>
      <c r="T2291" s="128">
        <v>-1463232.34</v>
      </c>
      <c r="U2291" s="128">
        <v>0</v>
      </c>
      <c r="V2291" s="128">
        <v>-1463232.34</v>
      </c>
      <c r="W2291" s="128">
        <v>0</v>
      </c>
      <c r="X2291" s="128">
        <v>0</v>
      </c>
      <c r="Y2291" s="128">
        <v>0</v>
      </c>
      <c r="Z2291" s="128">
        <v>-1463232.34</v>
      </c>
      <c r="AA2291" s="128">
        <v>0</v>
      </c>
      <c r="AB2291" s="126">
        <f t="shared" si="235"/>
        <v>0.146323234</v>
      </c>
      <c r="AC2291" s="122" t="s">
        <v>1838</v>
      </c>
      <c r="AD2291" s="123">
        <f t="shared" si="236"/>
        <v>6.2680610079999992</v>
      </c>
    </row>
    <row r="2292" spans="1:30" ht="12.75" hidden="1" customHeight="1">
      <c r="A2292" s="125" t="str">
        <f t="shared" si="232"/>
        <v>LIC19Other Expenses-DDP</v>
      </c>
      <c r="B2292" s="125">
        <f>+IFERROR(VLOOKUP(L2292,'TB mapping'!A:D,4,0),0)</f>
        <v>0</v>
      </c>
      <c r="C2292" s="125">
        <f>+IFERROR(VLOOKUP(L2292,'TB mapping'!A:C,3,0),0)</f>
        <v>6.3</v>
      </c>
      <c r="D2292" s="125" t="str">
        <f t="shared" si="233"/>
        <v>LIC190</v>
      </c>
      <c r="E2292" s="125" t="str">
        <f t="shared" si="234"/>
        <v>LIC196.3</v>
      </c>
      <c r="F2292" s="158" t="str">
        <f>+VLOOKUP(H2292,'code mapping'!A:C,3,0)</f>
        <v>LIC19</v>
      </c>
      <c r="G2292" s="127" t="s">
        <v>453</v>
      </c>
      <c r="H2292" s="127" t="s">
        <v>763</v>
      </c>
      <c r="I2292" s="127" t="s">
        <v>227</v>
      </c>
      <c r="J2292" s="128">
        <v>550000</v>
      </c>
      <c r="K2292" s="127" t="s">
        <v>550</v>
      </c>
      <c r="L2292" s="151">
        <v>553330</v>
      </c>
      <c r="M2292" s="128">
        <v>0</v>
      </c>
      <c r="N2292" s="127" t="s">
        <v>568</v>
      </c>
      <c r="O2292" s="127" t="s">
        <v>457</v>
      </c>
      <c r="P2292" s="128">
        <v>-10163.84</v>
      </c>
      <c r="Q2292" s="128">
        <v>0</v>
      </c>
      <c r="R2292" s="128">
        <v>0</v>
      </c>
      <c r="S2292" s="128">
        <v>0</v>
      </c>
      <c r="T2292" s="128">
        <v>-10163.84</v>
      </c>
      <c r="U2292" s="128">
        <v>0</v>
      </c>
      <c r="V2292" s="128">
        <v>-10163.84</v>
      </c>
      <c r="W2292" s="128">
        <v>0</v>
      </c>
      <c r="X2292" s="128">
        <v>0</v>
      </c>
      <c r="Y2292" s="128">
        <v>0</v>
      </c>
      <c r="Z2292" s="128">
        <v>-10163.84</v>
      </c>
      <c r="AA2292" s="128">
        <v>0</v>
      </c>
      <c r="AB2292" s="126">
        <f t="shared" si="235"/>
        <v>1.016384E-3</v>
      </c>
      <c r="AC2292" s="122" t="s">
        <v>1838</v>
      </c>
      <c r="AD2292" s="123">
        <f t="shared" si="236"/>
        <v>6.2680610079999992</v>
      </c>
    </row>
    <row r="2293" spans="1:30" ht="12.75" hidden="1" customHeight="1">
      <c r="A2293" s="125" t="str">
        <f t="shared" si="232"/>
        <v>LIC19Exp-Additional TER</v>
      </c>
      <c r="B2293" s="125">
        <f>+IFERROR(VLOOKUP(L2293,'TB mapping'!A:D,4,0),0)</f>
        <v>0</v>
      </c>
      <c r="C2293" s="125">
        <f>+IFERROR(VLOOKUP(L2293,'TB mapping'!A:C,3,0),0)</f>
        <v>6.3</v>
      </c>
      <c r="D2293" s="125" t="str">
        <f t="shared" si="233"/>
        <v>LIC190</v>
      </c>
      <c r="E2293" s="125" t="str">
        <f t="shared" si="234"/>
        <v>LIC196.3</v>
      </c>
      <c r="F2293" s="158" t="str">
        <f>+VLOOKUP(H2293,'code mapping'!A:C,3,0)</f>
        <v>LIC19</v>
      </c>
      <c r="G2293" s="127" t="s">
        <v>453</v>
      </c>
      <c r="H2293" s="127" t="s">
        <v>763</v>
      </c>
      <c r="I2293" s="127" t="s">
        <v>227</v>
      </c>
      <c r="J2293" s="128">
        <v>550000</v>
      </c>
      <c r="K2293" s="127" t="s">
        <v>550</v>
      </c>
      <c r="L2293" s="151">
        <v>553900</v>
      </c>
      <c r="M2293" s="128">
        <v>0</v>
      </c>
      <c r="N2293" s="127" t="s">
        <v>638</v>
      </c>
      <c r="O2293" s="127" t="s">
        <v>457</v>
      </c>
      <c r="P2293" s="128">
        <v>-4415041.78</v>
      </c>
      <c r="Q2293" s="128">
        <v>0</v>
      </c>
      <c r="R2293" s="128">
        <v>0</v>
      </c>
      <c r="S2293" s="128">
        <v>0</v>
      </c>
      <c r="T2293" s="128">
        <v>-4415041.78</v>
      </c>
      <c r="U2293" s="128">
        <v>0</v>
      </c>
      <c r="V2293" s="128">
        <v>-4415041.78</v>
      </c>
      <c r="W2293" s="128">
        <v>0</v>
      </c>
      <c r="X2293" s="128">
        <v>0</v>
      </c>
      <c r="Y2293" s="128">
        <v>0</v>
      </c>
      <c r="Z2293" s="128">
        <v>-4415041.78</v>
      </c>
      <c r="AA2293" s="128">
        <v>0</v>
      </c>
      <c r="AB2293" s="126">
        <f t="shared" si="235"/>
        <v>0.44150417800000002</v>
      </c>
      <c r="AC2293" s="122" t="s">
        <v>1838</v>
      </c>
      <c r="AD2293" s="123">
        <f t="shared" si="236"/>
        <v>6.2680610079999992</v>
      </c>
    </row>
    <row r="2294" spans="1:30" ht="12.75" hidden="1" customHeight="1">
      <c r="A2294" s="125" t="str">
        <f t="shared" si="232"/>
        <v>LIC19Inv Educ Fund Expense - Amfi</v>
      </c>
      <c r="B2294" s="125">
        <f>+IFERROR(VLOOKUP(L2294,'TB mapping'!A:D,4,0),0)</f>
        <v>0</v>
      </c>
      <c r="C2294" s="125">
        <f>+IFERROR(VLOOKUP(L2294,'TB mapping'!A:C,3,0),0)</f>
        <v>6.3</v>
      </c>
      <c r="D2294" s="125" t="str">
        <f t="shared" si="233"/>
        <v>LIC190</v>
      </c>
      <c r="E2294" s="125" t="str">
        <f t="shared" si="234"/>
        <v>LIC196.3</v>
      </c>
      <c r="F2294" s="158" t="str">
        <f>+VLOOKUP(H2294,'code mapping'!A:C,3,0)</f>
        <v>LIC19</v>
      </c>
      <c r="G2294" s="127" t="s">
        <v>453</v>
      </c>
      <c r="H2294" s="127" t="s">
        <v>763</v>
      </c>
      <c r="I2294" s="127" t="s">
        <v>227</v>
      </c>
      <c r="J2294" s="128">
        <v>550000</v>
      </c>
      <c r="K2294" s="127" t="s">
        <v>550</v>
      </c>
      <c r="L2294" s="151">
        <v>554526</v>
      </c>
      <c r="M2294" s="128">
        <v>0</v>
      </c>
      <c r="N2294" s="127" t="s">
        <v>569</v>
      </c>
      <c r="O2294" s="127" t="s">
        <v>457</v>
      </c>
      <c r="P2294" s="128">
        <v>-233583.05</v>
      </c>
      <c r="Q2294" s="128">
        <v>0</v>
      </c>
      <c r="R2294" s="128">
        <v>0</v>
      </c>
      <c r="S2294" s="128">
        <v>0</v>
      </c>
      <c r="T2294" s="128">
        <v>-233583.05</v>
      </c>
      <c r="U2294" s="128">
        <v>0</v>
      </c>
      <c r="V2294" s="128">
        <v>-233583.05</v>
      </c>
      <c r="W2294" s="128">
        <v>0</v>
      </c>
      <c r="X2294" s="128">
        <v>0</v>
      </c>
      <c r="Y2294" s="128">
        <v>0</v>
      </c>
      <c r="Z2294" s="128">
        <v>-233583.05</v>
      </c>
      <c r="AA2294" s="128">
        <v>0</v>
      </c>
      <c r="AB2294" s="126">
        <f t="shared" si="235"/>
        <v>2.3358304999999999E-2</v>
      </c>
      <c r="AC2294" s="122" t="s">
        <v>1838</v>
      </c>
      <c r="AD2294" s="123">
        <f t="shared" si="236"/>
        <v>6.2680610079999992</v>
      </c>
    </row>
    <row r="2295" spans="1:30" ht="12.75" hidden="1" customHeight="1">
      <c r="A2295" s="125" t="str">
        <f t="shared" si="232"/>
        <v>LIC19Transaction Processing Charges</v>
      </c>
      <c r="B2295" s="125">
        <f>+IFERROR(VLOOKUP(L2295,'TB mapping'!A:D,4,0),0)</f>
        <v>0</v>
      </c>
      <c r="C2295" s="125">
        <f>+IFERROR(VLOOKUP(L2295,'TB mapping'!A:C,3,0),0)</f>
        <v>6.3</v>
      </c>
      <c r="D2295" s="125" t="str">
        <f t="shared" si="233"/>
        <v>LIC190</v>
      </c>
      <c r="E2295" s="125" t="str">
        <f t="shared" si="234"/>
        <v>LIC196.3</v>
      </c>
      <c r="F2295" s="158" t="str">
        <f>+VLOOKUP(H2295,'code mapping'!A:C,3,0)</f>
        <v>LIC19</v>
      </c>
      <c r="G2295" s="127" t="s">
        <v>453</v>
      </c>
      <c r="H2295" s="127" t="s">
        <v>763</v>
      </c>
      <c r="I2295" s="127" t="s">
        <v>227</v>
      </c>
      <c r="J2295" s="128">
        <v>550000</v>
      </c>
      <c r="K2295" s="127" t="s">
        <v>550</v>
      </c>
      <c r="L2295" s="151">
        <v>554527</v>
      </c>
      <c r="M2295" s="128">
        <v>0</v>
      </c>
      <c r="N2295" s="127" t="s">
        <v>570</v>
      </c>
      <c r="O2295" s="127" t="s">
        <v>457</v>
      </c>
      <c r="P2295" s="128">
        <v>-1168</v>
      </c>
      <c r="Q2295" s="128">
        <v>0</v>
      </c>
      <c r="R2295" s="128">
        <v>0</v>
      </c>
      <c r="S2295" s="128">
        <v>0</v>
      </c>
      <c r="T2295" s="128">
        <v>-1168</v>
      </c>
      <c r="U2295" s="128">
        <v>0</v>
      </c>
      <c r="V2295" s="128">
        <v>-1168</v>
      </c>
      <c r="W2295" s="128">
        <v>0</v>
      </c>
      <c r="X2295" s="128">
        <v>0</v>
      </c>
      <c r="Y2295" s="128">
        <v>0</v>
      </c>
      <c r="Z2295" s="128">
        <v>-1168</v>
      </c>
      <c r="AA2295" s="128">
        <v>0</v>
      </c>
      <c r="AB2295" s="126">
        <f t="shared" si="235"/>
        <v>1.1680000000000001E-4</v>
      </c>
      <c r="AC2295" s="122" t="s">
        <v>1838</v>
      </c>
      <c r="AD2295" s="123">
        <f t="shared" si="236"/>
        <v>6.2680610079999992</v>
      </c>
    </row>
    <row r="2296" spans="1:30" ht="12.75" hidden="1" customHeight="1">
      <c r="A2296" s="125" t="str">
        <f t="shared" si="232"/>
        <v>LIC19Client Servicing Expenes</v>
      </c>
      <c r="B2296" s="125">
        <f>+IFERROR(VLOOKUP(L2296,'TB mapping'!A:D,4,0),0)</f>
        <v>0</v>
      </c>
      <c r="C2296" s="125">
        <f>+IFERROR(VLOOKUP(L2296,'TB mapping'!A:C,3,0),0)</f>
        <v>6.3</v>
      </c>
      <c r="D2296" s="125" t="str">
        <f t="shared" si="233"/>
        <v>LIC190</v>
      </c>
      <c r="E2296" s="125" t="str">
        <f t="shared" si="234"/>
        <v>LIC196.3</v>
      </c>
      <c r="F2296" s="158" t="str">
        <f>+VLOOKUP(H2296,'code mapping'!A:C,3,0)</f>
        <v>LIC19</v>
      </c>
      <c r="G2296" s="127" t="s">
        <v>453</v>
      </c>
      <c r="H2296" s="127" t="s">
        <v>763</v>
      </c>
      <c r="I2296" s="127" t="s">
        <v>227</v>
      </c>
      <c r="J2296" s="128">
        <v>550000</v>
      </c>
      <c r="K2296" s="127" t="s">
        <v>550</v>
      </c>
      <c r="L2296" s="151">
        <v>555157</v>
      </c>
      <c r="M2296" s="128">
        <v>0</v>
      </c>
      <c r="N2296" s="127" t="s">
        <v>571</v>
      </c>
      <c r="O2296" s="127" t="s">
        <v>457</v>
      </c>
      <c r="P2296" s="128">
        <v>-9119094.3599999994</v>
      </c>
      <c r="Q2296" s="128">
        <v>0</v>
      </c>
      <c r="R2296" s="128">
        <v>0</v>
      </c>
      <c r="S2296" s="128">
        <v>0</v>
      </c>
      <c r="T2296" s="128">
        <v>-9119094.3599999994</v>
      </c>
      <c r="U2296" s="128">
        <v>0</v>
      </c>
      <c r="V2296" s="128">
        <v>-9119094.3599999994</v>
      </c>
      <c r="W2296" s="128">
        <v>0</v>
      </c>
      <c r="X2296" s="128">
        <v>0</v>
      </c>
      <c r="Y2296" s="128">
        <v>0</v>
      </c>
      <c r="Z2296" s="128">
        <v>-9119094.3599999994</v>
      </c>
      <c r="AA2296" s="128">
        <v>0</v>
      </c>
      <c r="AB2296" s="126">
        <f t="shared" si="235"/>
        <v>0.91190943599999996</v>
      </c>
      <c r="AC2296" s="122" t="s">
        <v>1838</v>
      </c>
      <c r="AD2296" s="123">
        <f t="shared" si="236"/>
        <v>6.2680610079999992</v>
      </c>
    </row>
    <row r="2297" spans="1:30" ht="12.75" hidden="1" customHeight="1">
      <c r="A2297" s="125" t="str">
        <f t="shared" ref="A2297:A2360" si="237">+F2297&amp;N2297</f>
        <v>LIC19Management Fee-Reclassfication</v>
      </c>
      <c r="B2297" s="125">
        <f>+IFERROR(VLOOKUP(L2297,'TB mapping'!A:D,4,0),0)</f>
        <v>6.1</v>
      </c>
      <c r="C2297" s="125">
        <f>+IFERROR(VLOOKUP(L2297,'TB mapping'!A:C,3,0),0)</f>
        <v>6.3</v>
      </c>
      <c r="D2297" s="125" t="str">
        <f t="shared" ref="D2297:D2360" si="238">+F2297&amp;B2297</f>
        <v>LIC196.1</v>
      </c>
      <c r="E2297" s="125" t="str">
        <f t="shared" ref="E2297:E2360" si="239">+F2297&amp;C2297</f>
        <v>LIC196.3</v>
      </c>
      <c r="F2297" s="158" t="str">
        <f>+VLOOKUP(H2297,'code mapping'!A:C,3,0)</f>
        <v>LIC19</v>
      </c>
      <c r="G2297" s="127" t="s">
        <v>453</v>
      </c>
      <c r="H2297" s="127" t="s">
        <v>763</v>
      </c>
      <c r="I2297" s="127" t="s">
        <v>227</v>
      </c>
      <c r="J2297" s="128">
        <v>550000</v>
      </c>
      <c r="K2297" s="127" t="s">
        <v>550</v>
      </c>
      <c r="L2297" s="151">
        <v>555274</v>
      </c>
      <c r="M2297" s="128">
        <v>0</v>
      </c>
      <c r="N2297" s="127" t="s">
        <v>583</v>
      </c>
      <c r="O2297" s="127" t="s">
        <v>457</v>
      </c>
      <c r="P2297" s="128">
        <v>-2966101.97</v>
      </c>
      <c r="Q2297" s="128">
        <v>0</v>
      </c>
      <c r="R2297" s="128">
        <v>0</v>
      </c>
      <c r="S2297" s="128">
        <v>0</v>
      </c>
      <c r="T2297" s="128">
        <v>-2966101.97</v>
      </c>
      <c r="U2297" s="128">
        <v>0</v>
      </c>
      <c r="V2297" s="128">
        <v>-2966101.97</v>
      </c>
      <c r="W2297" s="128">
        <v>0</v>
      </c>
      <c r="X2297" s="128">
        <v>0</v>
      </c>
      <c r="Y2297" s="128">
        <v>0</v>
      </c>
      <c r="Z2297" s="128">
        <v>-2966101.97</v>
      </c>
      <c r="AA2297" s="128">
        <v>0</v>
      </c>
      <c r="AB2297" s="126">
        <f t="shared" ref="AB2297:AB2360" si="240">SUM(-Z2297-AA2297)/10^7</f>
        <v>0.29661019700000002</v>
      </c>
      <c r="AC2297" s="122" t="s">
        <v>1838</v>
      </c>
      <c r="AD2297" s="123">
        <f t="shared" si="236"/>
        <v>6.2680610079999992</v>
      </c>
    </row>
    <row r="2298" spans="1:30" ht="12.75" hidden="1" customHeight="1">
      <c r="A2298" s="125" t="str">
        <f t="shared" si="237"/>
        <v>LIC19Brokerage_Indirect_Reclassify</v>
      </c>
      <c r="B2298" s="125">
        <f>+IFERROR(VLOOKUP(L2298,'TB mapping'!A:D,4,0),0)</f>
        <v>0</v>
      </c>
      <c r="C2298" s="125">
        <f>+IFERROR(VLOOKUP(L2298,'TB mapping'!A:C,3,0),0)</f>
        <v>6.3</v>
      </c>
      <c r="D2298" s="125" t="str">
        <f t="shared" si="238"/>
        <v>LIC190</v>
      </c>
      <c r="E2298" s="125" t="str">
        <f t="shared" si="239"/>
        <v>LIC196.3</v>
      </c>
      <c r="F2298" s="158" t="str">
        <f>+VLOOKUP(H2298,'code mapping'!A:C,3,0)</f>
        <v>LIC19</v>
      </c>
      <c r="G2298" s="127" t="s">
        <v>453</v>
      </c>
      <c r="H2298" s="127" t="s">
        <v>763</v>
      </c>
      <c r="I2298" s="127" t="s">
        <v>227</v>
      </c>
      <c r="J2298" s="128">
        <v>550000</v>
      </c>
      <c r="K2298" s="127" t="s">
        <v>550</v>
      </c>
      <c r="L2298" s="151">
        <v>555275</v>
      </c>
      <c r="M2298" s="128">
        <v>0</v>
      </c>
      <c r="N2298" s="127" t="s">
        <v>600</v>
      </c>
      <c r="O2298" s="127" t="s">
        <v>457</v>
      </c>
      <c r="P2298" s="128">
        <v>0</v>
      </c>
      <c r="Q2298" s="128">
        <v>500000</v>
      </c>
      <c r="R2298" s="128">
        <v>0</v>
      </c>
      <c r="S2298" s="128">
        <v>0</v>
      </c>
      <c r="T2298" s="128">
        <v>0</v>
      </c>
      <c r="U2298" s="128">
        <v>500000</v>
      </c>
      <c r="V2298" s="128">
        <v>0</v>
      </c>
      <c r="W2298" s="128">
        <v>500000</v>
      </c>
      <c r="X2298" s="128">
        <v>0</v>
      </c>
      <c r="Y2298" s="128">
        <v>0</v>
      </c>
      <c r="Z2298" s="128">
        <v>0</v>
      </c>
      <c r="AA2298" s="128">
        <v>500000</v>
      </c>
      <c r="AB2298" s="126">
        <f t="shared" si="240"/>
        <v>-0.05</v>
      </c>
      <c r="AC2298" s="122" t="s">
        <v>1838</v>
      </c>
      <c r="AD2298" s="123">
        <f t="shared" si="236"/>
        <v>6.2680610079999992</v>
      </c>
    </row>
    <row r="2299" spans="1:30" ht="12.75" hidden="1" customHeight="1">
      <c r="A2299" s="125" t="str">
        <f t="shared" si="237"/>
        <v>LIC19CGST on Reclassify of Exp</v>
      </c>
      <c r="B2299" s="125">
        <f>+IFERROR(VLOOKUP(L2299,'TB mapping'!A:D,4,0),0)</f>
        <v>0</v>
      </c>
      <c r="C2299" s="125">
        <f>+IFERROR(VLOOKUP(L2299,'TB mapping'!A:C,3,0),0)</f>
        <v>6.3</v>
      </c>
      <c r="D2299" s="125" t="str">
        <f t="shared" si="238"/>
        <v>LIC190</v>
      </c>
      <c r="E2299" s="125" t="str">
        <f t="shared" si="239"/>
        <v>LIC196.3</v>
      </c>
      <c r="F2299" s="158" t="str">
        <f>+VLOOKUP(H2299,'code mapping'!A:C,3,0)</f>
        <v>LIC19</v>
      </c>
      <c r="G2299" s="127" t="s">
        <v>453</v>
      </c>
      <c r="H2299" s="127" t="s">
        <v>763</v>
      </c>
      <c r="I2299" s="127" t="s">
        <v>227</v>
      </c>
      <c r="J2299" s="128">
        <v>550000</v>
      </c>
      <c r="K2299" s="127" t="s">
        <v>550</v>
      </c>
      <c r="L2299" s="151">
        <v>555276</v>
      </c>
      <c r="M2299" s="128">
        <v>0</v>
      </c>
      <c r="N2299" s="127" t="s">
        <v>572</v>
      </c>
      <c r="O2299" s="127" t="s">
        <v>457</v>
      </c>
      <c r="P2299" s="128">
        <v>-53389.83</v>
      </c>
      <c r="Q2299" s="128">
        <v>0</v>
      </c>
      <c r="R2299" s="128">
        <v>0</v>
      </c>
      <c r="S2299" s="128">
        <v>0</v>
      </c>
      <c r="T2299" s="128">
        <v>-53389.83</v>
      </c>
      <c r="U2299" s="128">
        <v>0</v>
      </c>
      <c r="V2299" s="128">
        <v>-53389.83</v>
      </c>
      <c r="W2299" s="128">
        <v>0</v>
      </c>
      <c r="X2299" s="128">
        <v>0</v>
      </c>
      <c r="Y2299" s="128">
        <v>0</v>
      </c>
      <c r="Z2299" s="128">
        <v>-53389.83</v>
      </c>
      <c r="AA2299" s="128">
        <v>0</v>
      </c>
      <c r="AB2299" s="126">
        <f t="shared" si="240"/>
        <v>5.3389830000000003E-3</v>
      </c>
      <c r="AC2299" s="122" t="s">
        <v>1838</v>
      </c>
      <c r="AD2299" s="123">
        <f t="shared" si="236"/>
        <v>6.2680610079999992</v>
      </c>
    </row>
    <row r="2300" spans="1:30" ht="12.75" hidden="1" customHeight="1">
      <c r="A2300" s="125" t="str">
        <f t="shared" si="237"/>
        <v>LIC19SGST on Reclassify of Exp</v>
      </c>
      <c r="B2300" s="125">
        <f>+IFERROR(VLOOKUP(L2300,'TB mapping'!A:D,4,0),0)</f>
        <v>0</v>
      </c>
      <c r="C2300" s="125">
        <f>+IFERROR(VLOOKUP(L2300,'TB mapping'!A:C,3,0),0)</f>
        <v>6.3</v>
      </c>
      <c r="D2300" s="125" t="str">
        <f t="shared" si="238"/>
        <v>LIC190</v>
      </c>
      <c r="E2300" s="125" t="str">
        <f t="shared" si="239"/>
        <v>LIC196.3</v>
      </c>
      <c r="F2300" s="158" t="str">
        <f>+VLOOKUP(H2300,'code mapping'!A:C,3,0)</f>
        <v>LIC19</v>
      </c>
      <c r="G2300" s="127" t="s">
        <v>453</v>
      </c>
      <c r="H2300" s="127" t="s">
        <v>763</v>
      </c>
      <c r="I2300" s="127" t="s">
        <v>227</v>
      </c>
      <c r="J2300" s="128">
        <v>550000</v>
      </c>
      <c r="K2300" s="127" t="s">
        <v>550</v>
      </c>
      <c r="L2300" s="151">
        <v>555277</v>
      </c>
      <c r="M2300" s="128">
        <v>0</v>
      </c>
      <c r="N2300" s="127" t="s">
        <v>573</v>
      </c>
      <c r="O2300" s="127" t="s">
        <v>457</v>
      </c>
      <c r="P2300" s="128">
        <v>-53389.83</v>
      </c>
      <c r="Q2300" s="128">
        <v>0</v>
      </c>
      <c r="R2300" s="128">
        <v>0</v>
      </c>
      <c r="S2300" s="128">
        <v>0</v>
      </c>
      <c r="T2300" s="128">
        <v>-53389.83</v>
      </c>
      <c r="U2300" s="128">
        <v>0</v>
      </c>
      <c r="V2300" s="128">
        <v>-53389.83</v>
      </c>
      <c r="W2300" s="128">
        <v>0</v>
      </c>
      <c r="X2300" s="128">
        <v>0</v>
      </c>
      <c r="Y2300" s="128">
        <v>0</v>
      </c>
      <c r="Z2300" s="128">
        <v>-53389.83</v>
      </c>
      <c r="AA2300" s="128">
        <v>0</v>
      </c>
      <c r="AB2300" s="126">
        <f t="shared" si="240"/>
        <v>5.3389830000000003E-3</v>
      </c>
      <c r="AC2300" s="122" t="s">
        <v>1838</v>
      </c>
      <c r="AD2300" s="123">
        <f t="shared" si="236"/>
        <v>6.2680610079999992</v>
      </c>
    </row>
    <row r="2301" spans="1:30" ht="12.75" hidden="1" customHeight="1">
      <c r="A2301" s="125" t="str">
        <f t="shared" si="237"/>
        <v>LIC19Other Expense-Reclassfication</v>
      </c>
      <c r="B2301" s="125">
        <f>+IFERROR(VLOOKUP(L2301,'TB mapping'!A:D,4,0),0)</f>
        <v>0</v>
      </c>
      <c r="C2301" s="125">
        <f>+IFERROR(VLOOKUP(L2301,'TB mapping'!A:C,3,0),0)</f>
        <v>0</v>
      </c>
      <c r="D2301" s="125" t="str">
        <f t="shared" si="238"/>
        <v>LIC190</v>
      </c>
      <c r="E2301" s="125" t="str">
        <f t="shared" si="239"/>
        <v>LIC190</v>
      </c>
      <c r="F2301" s="158" t="str">
        <f>+VLOOKUP(H2301,'code mapping'!A:C,3,0)</f>
        <v>LIC19</v>
      </c>
      <c r="G2301" s="127" t="s">
        <v>453</v>
      </c>
      <c r="H2301" s="127" t="s">
        <v>763</v>
      </c>
      <c r="I2301" s="127" t="s">
        <v>227</v>
      </c>
      <c r="J2301" s="128">
        <v>550000</v>
      </c>
      <c r="K2301" s="127" t="s">
        <v>550</v>
      </c>
      <c r="L2301" s="151">
        <v>555280</v>
      </c>
      <c r="M2301" s="128">
        <v>0</v>
      </c>
      <c r="N2301" s="127" t="s">
        <v>1590</v>
      </c>
      <c r="O2301" s="127" t="s">
        <v>457</v>
      </c>
      <c r="P2301" s="128">
        <v>0</v>
      </c>
      <c r="Q2301" s="128">
        <v>200000.01</v>
      </c>
      <c r="R2301" s="128">
        <v>0</v>
      </c>
      <c r="S2301" s="128">
        <v>0</v>
      </c>
      <c r="T2301" s="128">
        <v>0</v>
      </c>
      <c r="U2301" s="128">
        <v>200000.01</v>
      </c>
      <c r="V2301" s="128">
        <v>0</v>
      </c>
      <c r="W2301" s="128">
        <v>200000.01</v>
      </c>
      <c r="X2301" s="128">
        <v>0</v>
      </c>
      <c r="Y2301" s="128">
        <v>0</v>
      </c>
      <c r="Z2301" s="128">
        <v>0</v>
      </c>
      <c r="AA2301" s="128">
        <v>200000.01</v>
      </c>
      <c r="AB2301" s="126">
        <f t="shared" si="240"/>
        <v>-2.0000001E-2</v>
      </c>
      <c r="AC2301" s="122" t="s">
        <v>1838</v>
      </c>
      <c r="AD2301" s="123">
        <f>SUMIF(C:C,C2301,AB:AB)</f>
        <v>1983.9723217250009</v>
      </c>
    </row>
    <row r="2302" spans="1:30" ht="12.75" hidden="1" customHeight="1">
      <c r="A2302" s="125" t="str">
        <f t="shared" si="237"/>
        <v>LIC19CGST on Mfees</v>
      </c>
      <c r="B2302" s="125">
        <f>+IFERROR(VLOOKUP(L2302,'TB mapping'!A:D,4,0),0)</f>
        <v>6.1</v>
      </c>
      <c r="C2302" s="125">
        <f>+IFERROR(VLOOKUP(L2302,'TB mapping'!A:C,3,0),0)</f>
        <v>6.3</v>
      </c>
      <c r="D2302" s="125" t="str">
        <f t="shared" si="238"/>
        <v>LIC196.1</v>
      </c>
      <c r="E2302" s="125" t="str">
        <f t="shared" si="239"/>
        <v>LIC196.3</v>
      </c>
      <c r="F2302" s="158" t="str">
        <f>+VLOOKUP(H2302,'code mapping'!A:C,3,0)</f>
        <v>LIC19</v>
      </c>
      <c r="G2302" s="127" t="s">
        <v>453</v>
      </c>
      <c r="H2302" s="127" t="s">
        <v>763</v>
      </c>
      <c r="I2302" s="127" t="s">
        <v>227</v>
      </c>
      <c r="J2302" s="128">
        <v>550000</v>
      </c>
      <c r="K2302" s="127" t="s">
        <v>550</v>
      </c>
      <c r="L2302" s="151">
        <v>555597</v>
      </c>
      <c r="M2302" s="128">
        <v>0</v>
      </c>
      <c r="N2302" s="127" t="s">
        <v>574</v>
      </c>
      <c r="O2302" s="127" t="s">
        <v>457</v>
      </c>
      <c r="P2302" s="128">
        <v>-2486831.67</v>
      </c>
      <c r="Q2302" s="128">
        <v>0</v>
      </c>
      <c r="R2302" s="128">
        <v>0</v>
      </c>
      <c r="S2302" s="128">
        <v>0</v>
      </c>
      <c r="T2302" s="128">
        <v>-2486831.67</v>
      </c>
      <c r="U2302" s="128">
        <v>0</v>
      </c>
      <c r="V2302" s="128">
        <v>-2486831.67</v>
      </c>
      <c r="W2302" s="128">
        <v>0</v>
      </c>
      <c r="X2302" s="128">
        <v>0</v>
      </c>
      <c r="Y2302" s="128">
        <v>0</v>
      </c>
      <c r="Z2302" s="128">
        <v>-2486831.67</v>
      </c>
      <c r="AA2302" s="128">
        <v>0</v>
      </c>
      <c r="AB2302" s="126">
        <f t="shared" si="240"/>
        <v>0.24868316699999998</v>
      </c>
      <c r="AC2302" s="122" t="s">
        <v>1838</v>
      </c>
      <c r="AD2302" s="123">
        <f t="shared" ref="AD2302:AD2314" si="241">SUMIF(E:E,E2302,AB:AB)</f>
        <v>6.2680610079999992</v>
      </c>
    </row>
    <row r="2303" spans="1:30" ht="12.75" hidden="1" customHeight="1">
      <c r="A2303" s="125" t="str">
        <f t="shared" si="237"/>
        <v>LIC19SGST on Mfees</v>
      </c>
      <c r="B2303" s="125">
        <f>+IFERROR(VLOOKUP(L2303,'TB mapping'!A:D,4,0),0)</f>
        <v>6.1</v>
      </c>
      <c r="C2303" s="125">
        <f>+IFERROR(VLOOKUP(L2303,'TB mapping'!A:C,3,0),0)</f>
        <v>6.3</v>
      </c>
      <c r="D2303" s="125" t="str">
        <f t="shared" si="238"/>
        <v>LIC196.1</v>
      </c>
      <c r="E2303" s="125" t="str">
        <f t="shared" si="239"/>
        <v>LIC196.3</v>
      </c>
      <c r="F2303" s="158" t="str">
        <f>+VLOOKUP(H2303,'code mapping'!A:C,3,0)</f>
        <v>LIC19</v>
      </c>
      <c r="G2303" s="127" t="s">
        <v>453</v>
      </c>
      <c r="H2303" s="127" t="s">
        <v>763</v>
      </c>
      <c r="I2303" s="127" t="s">
        <v>227</v>
      </c>
      <c r="J2303" s="128">
        <v>550000</v>
      </c>
      <c r="K2303" s="127" t="s">
        <v>550</v>
      </c>
      <c r="L2303" s="151">
        <v>555598</v>
      </c>
      <c r="M2303" s="128">
        <v>0</v>
      </c>
      <c r="N2303" s="127" t="s">
        <v>575</v>
      </c>
      <c r="O2303" s="127" t="s">
        <v>457</v>
      </c>
      <c r="P2303" s="128">
        <v>-2486833.4900000002</v>
      </c>
      <c r="Q2303" s="128">
        <v>0</v>
      </c>
      <c r="R2303" s="128">
        <v>0</v>
      </c>
      <c r="S2303" s="128">
        <v>0</v>
      </c>
      <c r="T2303" s="128">
        <v>-2486833.4900000002</v>
      </c>
      <c r="U2303" s="128">
        <v>0</v>
      </c>
      <c r="V2303" s="128">
        <v>-2486833.4900000002</v>
      </c>
      <c r="W2303" s="128">
        <v>0</v>
      </c>
      <c r="X2303" s="128">
        <v>0</v>
      </c>
      <c r="Y2303" s="128">
        <v>0</v>
      </c>
      <c r="Z2303" s="128">
        <v>-2486833.4900000002</v>
      </c>
      <c r="AA2303" s="128">
        <v>0</v>
      </c>
      <c r="AB2303" s="126">
        <f t="shared" si="240"/>
        <v>0.24868334900000003</v>
      </c>
      <c r="AC2303" s="122" t="s">
        <v>1838</v>
      </c>
      <c r="AD2303" s="123">
        <f t="shared" si="241"/>
        <v>6.2680610079999992</v>
      </c>
    </row>
    <row r="2304" spans="1:30" ht="12.75" hidden="1" customHeight="1">
      <c r="A2304" s="125" t="str">
        <f t="shared" si="237"/>
        <v>LIC19CGST on Mfees -GDP</v>
      </c>
      <c r="B2304" s="125">
        <f>+IFERROR(VLOOKUP(L2304,'TB mapping'!A:D,4,0),0)</f>
        <v>6.1</v>
      </c>
      <c r="C2304" s="125">
        <f>+IFERROR(VLOOKUP(L2304,'TB mapping'!A:C,3,0),0)</f>
        <v>6.3</v>
      </c>
      <c r="D2304" s="125" t="str">
        <f t="shared" si="238"/>
        <v>LIC196.1</v>
      </c>
      <c r="E2304" s="125" t="str">
        <f t="shared" si="239"/>
        <v>LIC196.3</v>
      </c>
      <c r="F2304" s="158" t="str">
        <f>+VLOOKUP(H2304,'code mapping'!A:C,3,0)</f>
        <v>LIC19</v>
      </c>
      <c r="G2304" s="127" t="s">
        <v>453</v>
      </c>
      <c r="H2304" s="127" t="s">
        <v>763</v>
      </c>
      <c r="I2304" s="127" t="s">
        <v>227</v>
      </c>
      <c r="J2304" s="128">
        <v>550000</v>
      </c>
      <c r="K2304" s="127" t="s">
        <v>550</v>
      </c>
      <c r="L2304" s="151">
        <v>555599</v>
      </c>
      <c r="M2304" s="128">
        <v>0</v>
      </c>
      <c r="N2304" s="127" t="s">
        <v>576</v>
      </c>
      <c r="O2304" s="127" t="s">
        <v>457</v>
      </c>
      <c r="P2304" s="128">
        <v>0</v>
      </c>
      <c r="Q2304" s="128">
        <v>3632.88</v>
      </c>
      <c r="R2304" s="128">
        <v>0</v>
      </c>
      <c r="S2304" s="128">
        <v>0</v>
      </c>
      <c r="T2304" s="128">
        <v>0</v>
      </c>
      <c r="U2304" s="128">
        <v>3632.88</v>
      </c>
      <c r="V2304" s="128">
        <v>0</v>
      </c>
      <c r="W2304" s="128">
        <v>3632.88</v>
      </c>
      <c r="X2304" s="128">
        <v>0</v>
      </c>
      <c r="Y2304" s="128">
        <v>0</v>
      </c>
      <c r="Z2304" s="128">
        <v>0</v>
      </c>
      <c r="AA2304" s="128">
        <v>3632.88</v>
      </c>
      <c r="AB2304" s="126">
        <f t="shared" si="240"/>
        <v>-3.6328800000000002E-4</v>
      </c>
      <c r="AC2304" s="122" t="s">
        <v>1838</v>
      </c>
      <c r="AD2304" s="123">
        <f t="shared" si="241"/>
        <v>6.2680610079999992</v>
      </c>
    </row>
    <row r="2305" spans="1:30" ht="12.75" hidden="1" customHeight="1">
      <c r="A2305" s="125" t="str">
        <f t="shared" si="237"/>
        <v>LIC19SGST on Mfees -GDP</v>
      </c>
      <c r="B2305" s="125">
        <f>+IFERROR(VLOOKUP(L2305,'TB mapping'!A:D,4,0),0)</f>
        <v>6.1</v>
      </c>
      <c r="C2305" s="125">
        <f>+IFERROR(VLOOKUP(L2305,'TB mapping'!A:C,3,0),0)</f>
        <v>6.3</v>
      </c>
      <c r="D2305" s="125" t="str">
        <f t="shared" si="238"/>
        <v>LIC196.1</v>
      </c>
      <c r="E2305" s="125" t="str">
        <f t="shared" si="239"/>
        <v>LIC196.3</v>
      </c>
      <c r="F2305" s="158" t="str">
        <f>+VLOOKUP(H2305,'code mapping'!A:C,3,0)</f>
        <v>LIC19</v>
      </c>
      <c r="G2305" s="127" t="s">
        <v>453</v>
      </c>
      <c r="H2305" s="127" t="s">
        <v>763</v>
      </c>
      <c r="I2305" s="127" t="s">
        <v>227</v>
      </c>
      <c r="J2305" s="128">
        <v>550000</v>
      </c>
      <c r="K2305" s="127" t="s">
        <v>550</v>
      </c>
      <c r="L2305" s="151">
        <v>555600</v>
      </c>
      <c r="M2305" s="128">
        <v>0</v>
      </c>
      <c r="N2305" s="127" t="s">
        <v>577</v>
      </c>
      <c r="O2305" s="127" t="s">
        <v>457</v>
      </c>
      <c r="P2305" s="128">
        <v>0</v>
      </c>
      <c r="Q2305" s="128">
        <v>3634.7</v>
      </c>
      <c r="R2305" s="128">
        <v>0</v>
      </c>
      <c r="S2305" s="128">
        <v>0</v>
      </c>
      <c r="T2305" s="128">
        <v>0</v>
      </c>
      <c r="U2305" s="128">
        <v>3634.7</v>
      </c>
      <c r="V2305" s="128">
        <v>0</v>
      </c>
      <c r="W2305" s="128">
        <v>3634.7</v>
      </c>
      <c r="X2305" s="128">
        <v>0</v>
      </c>
      <c r="Y2305" s="128">
        <v>0</v>
      </c>
      <c r="Z2305" s="128">
        <v>0</v>
      </c>
      <c r="AA2305" s="128">
        <v>3634.7</v>
      </c>
      <c r="AB2305" s="126">
        <f t="shared" si="240"/>
        <v>-3.6346999999999996E-4</v>
      </c>
      <c r="AC2305" s="122" t="s">
        <v>1838</v>
      </c>
      <c r="AD2305" s="123">
        <f t="shared" si="241"/>
        <v>6.2680610079999992</v>
      </c>
    </row>
    <row r="2306" spans="1:30" ht="12.75" hidden="1" customHeight="1">
      <c r="A2306" s="125" t="str">
        <f t="shared" si="237"/>
        <v>LIC19CGST on Mfees -Regular</v>
      </c>
      <c r="B2306" s="125">
        <f>+IFERROR(VLOOKUP(L2306,'TB mapping'!A:D,4,0),0)</f>
        <v>6.1</v>
      </c>
      <c r="C2306" s="125">
        <f>+IFERROR(VLOOKUP(L2306,'TB mapping'!A:C,3,0),0)</f>
        <v>6.3</v>
      </c>
      <c r="D2306" s="125" t="str">
        <f t="shared" si="238"/>
        <v>LIC196.1</v>
      </c>
      <c r="E2306" s="125" t="str">
        <f t="shared" si="239"/>
        <v>LIC196.3</v>
      </c>
      <c r="F2306" s="158" t="str">
        <f>+VLOOKUP(H2306,'code mapping'!A:C,3,0)</f>
        <v>LIC19</v>
      </c>
      <c r="G2306" s="127" t="s">
        <v>453</v>
      </c>
      <c r="H2306" s="127" t="s">
        <v>763</v>
      </c>
      <c r="I2306" s="127" t="s">
        <v>227</v>
      </c>
      <c r="J2306" s="128">
        <v>550000</v>
      </c>
      <c r="K2306" s="127" t="s">
        <v>550</v>
      </c>
      <c r="L2306" s="151">
        <v>555605</v>
      </c>
      <c r="M2306" s="128">
        <v>0</v>
      </c>
      <c r="N2306" s="127" t="s">
        <v>743</v>
      </c>
      <c r="O2306" s="127" t="s">
        <v>457</v>
      </c>
      <c r="P2306" s="128">
        <v>-76271.19</v>
      </c>
      <c r="Q2306" s="128">
        <v>0</v>
      </c>
      <c r="R2306" s="128">
        <v>0</v>
      </c>
      <c r="S2306" s="128">
        <v>0</v>
      </c>
      <c r="T2306" s="128">
        <v>-76271.19</v>
      </c>
      <c r="U2306" s="128">
        <v>0</v>
      </c>
      <c r="V2306" s="128">
        <v>-76271.19</v>
      </c>
      <c r="W2306" s="128">
        <v>0</v>
      </c>
      <c r="X2306" s="128">
        <v>0</v>
      </c>
      <c r="Y2306" s="128">
        <v>0</v>
      </c>
      <c r="Z2306" s="128">
        <v>-76271.19</v>
      </c>
      <c r="AA2306" s="128">
        <v>0</v>
      </c>
      <c r="AB2306" s="126">
        <f t="shared" si="240"/>
        <v>7.6271189999999999E-3</v>
      </c>
      <c r="AC2306" s="122" t="s">
        <v>1838</v>
      </c>
      <c r="AD2306" s="123">
        <f t="shared" si="241"/>
        <v>6.2680610079999992</v>
      </c>
    </row>
    <row r="2307" spans="1:30" ht="12.75" hidden="1" customHeight="1">
      <c r="A2307" s="125" t="str">
        <f t="shared" si="237"/>
        <v>LIC19SGST on Mfees -Regular</v>
      </c>
      <c r="B2307" s="125">
        <f>+IFERROR(VLOOKUP(L2307,'TB mapping'!A:D,4,0),0)</f>
        <v>6.1</v>
      </c>
      <c r="C2307" s="125">
        <f>+IFERROR(VLOOKUP(L2307,'TB mapping'!A:C,3,0),0)</f>
        <v>6.3</v>
      </c>
      <c r="D2307" s="125" t="str">
        <f t="shared" si="238"/>
        <v>LIC196.1</v>
      </c>
      <c r="E2307" s="125" t="str">
        <f t="shared" si="239"/>
        <v>LIC196.3</v>
      </c>
      <c r="F2307" s="158" t="str">
        <f>+VLOOKUP(H2307,'code mapping'!A:C,3,0)</f>
        <v>LIC19</v>
      </c>
      <c r="G2307" s="127" t="s">
        <v>453</v>
      </c>
      <c r="H2307" s="127" t="s">
        <v>763</v>
      </c>
      <c r="I2307" s="127" t="s">
        <v>227</v>
      </c>
      <c r="J2307" s="128">
        <v>550000</v>
      </c>
      <c r="K2307" s="127" t="s">
        <v>550</v>
      </c>
      <c r="L2307" s="151">
        <v>555606</v>
      </c>
      <c r="M2307" s="128">
        <v>0</v>
      </c>
      <c r="N2307" s="127" t="s">
        <v>744</v>
      </c>
      <c r="O2307" s="127" t="s">
        <v>457</v>
      </c>
      <c r="P2307" s="128">
        <v>-76271.19</v>
      </c>
      <c r="Q2307" s="128">
        <v>0</v>
      </c>
      <c r="R2307" s="128">
        <v>0</v>
      </c>
      <c r="S2307" s="128">
        <v>0</v>
      </c>
      <c r="T2307" s="128">
        <v>-76271.19</v>
      </c>
      <c r="U2307" s="128">
        <v>0</v>
      </c>
      <c r="V2307" s="128">
        <v>-76271.19</v>
      </c>
      <c r="W2307" s="128">
        <v>0</v>
      </c>
      <c r="X2307" s="128">
        <v>0</v>
      </c>
      <c r="Y2307" s="128">
        <v>0</v>
      </c>
      <c r="Z2307" s="128">
        <v>-76271.19</v>
      </c>
      <c r="AA2307" s="128">
        <v>0</v>
      </c>
      <c r="AB2307" s="126">
        <f t="shared" si="240"/>
        <v>7.6271189999999999E-3</v>
      </c>
      <c r="AC2307" s="122" t="s">
        <v>1838</v>
      </c>
      <c r="AD2307" s="123">
        <f t="shared" si="241"/>
        <v>6.2680610079999992</v>
      </c>
    </row>
    <row r="2308" spans="1:30" ht="12.75" hidden="1" customHeight="1">
      <c r="A2308" s="125" t="str">
        <f t="shared" si="237"/>
        <v>LIC19Operating Expenses</v>
      </c>
      <c r="B2308" s="125">
        <f>+IFERROR(VLOOKUP(L2308,'TB mapping'!A:D,4,0),0)</f>
        <v>0</v>
      </c>
      <c r="C2308" s="125">
        <f>+IFERROR(VLOOKUP(L2308,'TB mapping'!A:C,3,0),0)</f>
        <v>6.3</v>
      </c>
      <c r="D2308" s="125" t="str">
        <f t="shared" si="238"/>
        <v>LIC190</v>
      </c>
      <c r="E2308" s="125" t="str">
        <f t="shared" si="239"/>
        <v>LIC196.3</v>
      </c>
      <c r="F2308" s="158" t="str">
        <f>+VLOOKUP(H2308,'code mapping'!A:C,3,0)</f>
        <v>LIC19</v>
      </c>
      <c r="G2308" s="127" t="s">
        <v>453</v>
      </c>
      <c r="H2308" s="127" t="s">
        <v>763</v>
      </c>
      <c r="I2308" s="127" t="s">
        <v>227</v>
      </c>
      <c r="J2308" s="128">
        <v>550000</v>
      </c>
      <c r="K2308" s="127" t="s">
        <v>550</v>
      </c>
      <c r="L2308" s="151">
        <v>556421</v>
      </c>
      <c r="M2308" s="128">
        <v>0</v>
      </c>
      <c r="N2308" s="127" t="s">
        <v>578</v>
      </c>
      <c r="O2308" s="127" t="s">
        <v>457</v>
      </c>
      <c r="P2308" s="128">
        <v>-82788.160000000003</v>
      </c>
      <c r="Q2308" s="128">
        <v>0</v>
      </c>
      <c r="R2308" s="128">
        <v>0</v>
      </c>
      <c r="S2308" s="128">
        <v>0</v>
      </c>
      <c r="T2308" s="128">
        <v>-82788.160000000003</v>
      </c>
      <c r="U2308" s="128">
        <v>0</v>
      </c>
      <c r="V2308" s="128">
        <v>-82788.160000000003</v>
      </c>
      <c r="W2308" s="128">
        <v>0</v>
      </c>
      <c r="X2308" s="128">
        <v>0</v>
      </c>
      <c r="Y2308" s="128">
        <v>0</v>
      </c>
      <c r="Z2308" s="128">
        <v>-82788.160000000003</v>
      </c>
      <c r="AA2308" s="128">
        <v>0</v>
      </c>
      <c r="AB2308" s="126">
        <f t="shared" si="240"/>
        <v>8.2788159999999996E-3</v>
      </c>
      <c r="AC2308" s="122" t="s">
        <v>1838</v>
      </c>
      <c r="AD2308" s="123">
        <f t="shared" si="241"/>
        <v>6.2680610079999992</v>
      </c>
    </row>
    <row r="2309" spans="1:30" ht="12.75" hidden="1" customHeight="1">
      <c r="A2309" s="125" t="str">
        <f t="shared" si="237"/>
        <v>LIC19Management Fee</v>
      </c>
      <c r="B2309" s="125">
        <f>+IFERROR(VLOOKUP(L2309,'TB mapping'!A:D,4,0),0)</f>
        <v>6.1</v>
      </c>
      <c r="C2309" s="125">
        <f>+IFERROR(VLOOKUP(L2309,'TB mapping'!A:C,3,0),0)</f>
        <v>6.3</v>
      </c>
      <c r="D2309" s="125" t="str">
        <f t="shared" si="238"/>
        <v>LIC196.1</v>
      </c>
      <c r="E2309" s="125" t="str">
        <f t="shared" si="239"/>
        <v>LIC196.3</v>
      </c>
      <c r="F2309" s="158" t="str">
        <f>+VLOOKUP(H2309,'code mapping'!A:C,3,0)</f>
        <v>LIC19</v>
      </c>
      <c r="G2309" s="127" t="s">
        <v>453</v>
      </c>
      <c r="H2309" s="127" t="s">
        <v>763</v>
      </c>
      <c r="I2309" s="127" t="s">
        <v>227</v>
      </c>
      <c r="J2309" s="128">
        <v>555100</v>
      </c>
      <c r="K2309" s="127" t="s">
        <v>579</v>
      </c>
      <c r="L2309" s="151">
        <v>555100</v>
      </c>
      <c r="M2309" s="128">
        <v>0</v>
      </c>
      <c r="N2309" s="127" t="s">
        <v>580</v>
      </c>
      <c r="O2309" s="127" t="s">
        <v>457</v>
      </c>
      <c r="P2309" s="128">
        <v>-12931743.25</v>
      </c>
      <c r="Q2309" s="128">
        <v>0</v>
      </c>
      <c r="R2309" s="128">
        <v>0</v>
      </c>
      <c r="S2309" s="128">
        <v>0</v>
      </c>
      <c r="T2309" s="128">
        <v>-12931743.25</v>
      </c>
      <c r="U2309" s="128">
        <v>0</v>
      </c>
      <c r="V2309" s="128">
        <v>-12931743.25</v>
      </c>
      <c r="W2309" s="128">
        <v>0</v>
      </c>
      <c r="X2309" s="128">
        <v>0</v>
      </c>
      <c r="Y2309" s="128">
        <v>0</v>
      </c>
      <c r="Z2309" s="128">
        <v>-12931743.25</v>
      </c>
      <c r="AA2309" s="128">
        <v>0</v>
      </c>
      <c r="AB2309" s="126">
        <f t="shared" si="240"/>
        <v>1.2931743250000001</v>
      </c>
      <c r="AC2309" s="122" t="s">
        <v>1838</v>
      </c>
      <c r="AD2309" s="123">
        <f t="shared" si="241"/>
        <v>6.2680610079999992</v>
      </c>
    </row>
    <row r="2310" spans="1:30" ht="12.75" hidden="1" customHeight="1">
      <c r="A2310" s="125" t="str">
        <f t="shared" si="237"/>
        <v>LIC19Management Fees-RG</v>
      </c>
      <c r="B2310" s="125">
        <f>+IFERROR(VLOOKUP(L2310,'TB mapping'!A:D,4,0),0)</f>
        <v>6.1</v>
      </c>
      <c r="C2310" s="125">
        <f>+IFERROR(VLOOKUP(L2310,'TB mapping'!A:C,3,0),0)</f>
        <v>6.3</v>
      </c>
      <c r="D2310" s="125" t="str">
        <f t="shared" si="238"/>
        <v>LIC196.1</v>
      </c>
      <c r="E2310" s="125" t="str">
        <f t="shared" si="239"/>
        <v>LIC196.3</v>
      </c>
      <c r="F2310" s="158" t="str">
        <f>+VLOOKUP(H2310,'code mapping'!A:C,3,0)</f>
        <v>LIC19</v>
      </c>
      <c r="G2310" s="127" t="s">
        <v>453</v>
      </c>
      <c r="H2310" s="127" t="s">
        <v>763</v>
      </c>
      <c r="I2310" s="127" t="s">
        <v>227</v>
      </c>
      <c r="J2310" s="128">
        <v>555100</v>
      </c>
      <c r="K2310" s="127" t="s">
        <v>579</v>
      </c>
      <c r="L2310" s="151">
        <v>555191</v>
      </c>
      <c r="M2310" s="128">
        <v>0</v>
      </c>
      <c r="N2310" s="127" t="s">
        <v>581</v>
      </c>
      <c r="O2310" s="127" t="s">
        <v>457</v>
      </c>
      <c r="P2310" s="128">
        <v>-12358154.439999999</v>
      </c>
      <c r="Q2310" s="128">
        <v>0</v>
      </c>
      <c r="R2310" s="128">
        <v>0</v>
      </c>
      <c r="S2310" s="128">
        <v>0</v>
      </c>
      <c r="T2310" s="128">
        <v>-12358154.439999999</v>
      </c>
      <c r="U2310" s="128">
        <v>0</v>
      </c>
      <c r="V2310" s="128">
        <v>-12358154.439999999</v>
      </c>
      <c r="W2310" s="128">
        <v>0</v>
      </c>
      <c r="X2310" s="128">
        <v>0</v>
      </c>
      <c r="Y2310" s="128">
        <v>0</v>
      </c>
      <c r="Z2310" s="128">
        <v>-12358154.439999999</v>
      </c>
      <c r="AA2310" s="128">
        <v>0</v>
      </c>
      <c r="AB2310" s="126">
        <f t="shared" si="240"/>
        <v>1.235815444</v>
      </c>
      <c r="AC2310" s="122" t="s">
        <v>1838</v>
      </c>
      <c r="AD2310" s="123">
        <f t="shared" si="241"/>
        <v>6.2680610079999992</v>
      </c>
    </row>
    <row r="2311" spans="1:30" ht="12.75" hidden="1" customHeight="1">
      <c r="A2311" s="125" t="str">
        <f t="shared" si="237"/>
        <v>LIC19Management Fees-RD</v>
      </c>
      <c r="B2311" s="125">
        <f>+IFERROR(VLOOKUP(L2311,'TB mapping'!A:D,4,0),0)</f>
        <v>6.1</v>
      </c>
      <c r="C2311" s="125">
        <f>+IFERROR(VLOOKUP(L2311,'TB mapping'!A:C,3,0),0)</f>
        <v>6.3</v>
      </c>
      <c r="D2311" s="125" t="str">
        <f t="shared" si="238"/>
        <v>LIC196.1</v>
      </c>
      <c r="E2311" s="125" t="str">
        <f t="shared" si="239"/>
        <v>LIC196.3</v>
      </c>
      <c r="F2311" s="158" t="str">
        <f>+VLOOKUP(H2311,'code mapping'!A:C,3,0)</f>
        <v>LIC19</v>
      </c>
      <c r="G2311" s="127" t="s">
        <v>453</v>
      </c>
      <c r="H2311" s="127" t="s">
        <v>763</v>
      </c>
      <c r="I2311" s="127" t="s">
        <v>227</v>
      </c>
      <c r="J2311" s="128">
        <v>555100</v>
      </c>
      <c r="K2311" s="127" t="s">
        <v>579</v>
      </c>
      <c r="L2311" s="151">
        <v>555192</v>
      </c>
      <c r="M2311" s="128">
        <v>0</v>
      </c>
      <c r="N2311" s="127" t="s">
        <v>582</v>
      </c>
      <c r="O2311" s="127" t="s">
        <v>457</v>
      </c>
      <c r="P2311" s="128">
        <v>-417446.95</v>
      </c>
      <c r="Q2311" s="128">
        <v>0</v>
      </c>
      <c r="R2311" s="128">
        <v>0</v>
      </c>
      <c r="S2311" s="128">
        <v>0</v>
      </c>
      <c r="T2311" s="128">
        <v>-417446.95</v>
      </c>
      <c r="U2311" s="128">
        <v>0</v>
      </c>
      <c r="V2311" s="128">
        <v>-417446.95</v>
      </c>
      <c r="W2311" s="128">
        <v>0</v>
      </c>
      <c r="X2311" s="128">
        <v>0</v>
      </c>
      <c r="Y2311" s="128">
        <v>0</v>
      </c>
      <c r="Z2311" s="128">
        <v>-417446.95</v>
      </c>
      <c r="AA2311" s="128">
        <v>0</v>
      </c>
      <c r="AB2311" s="126">
        <f t="shared" si="240"/>
        <v>4.1744694999999998E-2</v>
      </c>
      <c r="AC2311" s="122" t="s">
        <v>1838</v>
      </c>
      <c r="AD2311" s="123">
        <f t="shared" si="241"/>
        <v>6.2680610079999992</v>
      </c>
    </row>
    <row r="2312" spans="1:30" ht="12.75" hidden="1" customHeight="1">
      <c r="A2312" s="125" t="str">
        <f t="shared" si="237"/>
        <v>LIC19Management Fees-GDP</v>
      </c>
      <c r="B2312" s="125">
        <f>+IFERROR(VLOOKUP(L2312,'TB mapping'!A:D,4,0),0)</f>
        <v>6.1</v>
      </c>
      <c r="C2312" s="125">
        <f>+IFERROR(VLOOKUP(L2312,'TB mapping'!A:C,3,0),0)</f>
        <v>6.3</v>
      </c>
      <c r="D2312" s="125" t="str">
        <f t="shared" si="238"/>
        <v>LIC196.1</v>
      </c>
      <c r="E2312" s="125" t="str">
        <f t="shared" si="239"/>
        <v>LIC196.3</v>
      </c>
      <c r="F2312" s="158" t="str">
        <f>+VLOOKUP(H2312,'code mapping'!A:C,3,0)</f>
        <v>LIC19</v>
      </c>
      <c r="G2312" s="127" t="s">
        <v>453</v>
      </c>
      <c r="H2312" s="127" t="s">
        <v>763</v>
      </c>
      <c r="I2312" s="127" t="s">
        <v>227</v>
      </c>
      <c r="J2312" s="128">
        <v>555100</v>
      </c>
      <c r="K2312" s="127" t="s">
        <v>579</v>
      </c>
      <c r="L2312" s="151">
        <v>555329</v>
      </c>
      <c r="M2312" s="128">
        <v>0</v>
      </c>
      <c r="N2312" s="127" t="s">
        <v>584</v>
      </c>
      <c r="O2312" s="127" t="s">
        <v>457</v>
      </c>
      <c r="P2312" s="128">
        <v>-6976455.46</v>
      </c>
      <c r="Q2312" s="128">
        <v>0</v>
      </c>
      <c r="R2312" s="128">
        <v>0</v>
      </c>
      <c r="S2312" s="128">
        <v>0</v>
      </c>
      <c r="T2312" s="128">
        <v>-6976455.46</v>
      </c>
      <c r="U2312" s="128">
        <v>0</v>
      </c>
      <c r="V2312" s="128">
        <v>-6976455.46</v>
      </c>
      <c r="W2312" s="128">
        <v>0</v>
      </c>
      <c r="X2312" s="128">
        <v>0</v>
      </c>
      <c r="Y2312" s="128">
        <v>0</v>
      </c>
      <c r="Z2312" s="128">
        <v>-6976455.46</v>
      </c>
      <c r="AA2312" s="128">
        <v>0</v>
      </c>
      <c r="AB2312" s="126">
        <f t="shared" si="240"/>
        <v>0.69764554599999995</v>
      </c>
      <c r="AC2312" s="122" t="s">
        <v>1838</v>
      </c>
      <c r="AD2312" s="123">
        <f t="shared" si="241"/>
        <v>6.2680610079999992</v>
      </c>
    </row>
    <row r="2313" spans="1:30" ht="12.75" hidden="1" customHeight="1">
      <c r="A2313" s="125" t="str">
        <f t="shared" si="237"/>
        <v>LIC19Management Fees-DDP</v>
      </c>
      <c r="B2313" s="125">
        <f>+IFERROR(VLOOKUP(L2313,'TB mapping'!A:D,4,0),0)</f>
        <v>6.1</v>
      </c>
      <c r="C2313" s="125">
        <f>+IFERROR(VLOOKUP(L2313,'TB mapping'!A:C,3,0),0)</f>
        <v>6.3</v>
      </c>
      <c r="D2313" s="125" t="str">
        <f t="shared" si="238"/>
        <v>LIC196.1</v>
      </c>
      <c r="E2313" s="125" t="str">
        <f t="shared" si="239"/>
        <v>LIC196.3</v>
      </c>
      <c r="F2313" s="158" t="str">
        <f>+VLOOKUP(H2313,'code mapping'!A:C,3,0)</f>
        <v>LIC19</v>
      </c>
      <c r="G2313" s="127" t="s">
        <v>453</v>
      </c>
      <c r="H2313" s="127" t="s">
        <v>763</v>
      </c>
      <c r="I2313" s="127" t="s">
        <v>227</v>
      </c>
      <c r="J2313" s="128">
        <v>555100</v>
      </c>
      <c r="K2313" s="127" t="s">
        <v>579</v>
      </c>
      <c r="L2313" s="151">
        <v>555330</v>
      </c>
      <c r="M2313" s="128">
        <v>0</v>
      </c>
      <c r="N2313" s="127" t="s">
        <v>585</v>
      </c>
      <c r="O2313" s="127" t="s">
        <v>457</v>
      </c>
      <c r="P2313" s="128">
        <v>-64427.51</v>
      </c>
      <c r="Q2313" s="128">
        <v>0</v>
      </c>
      <c r="R2313" s="128">
        <v>0</v>
      </c>
      <c r="S2313" s="128">
        <v>0</v>
      </c>
      <c r="T2313" s="128">
        <v>-64427.51</v>
      </c>
      <c r="U2313" s="128">
        <v>0</v>
      </c>
      <c r="V2313" s="128">
        <v>-64427.51</v>
      </c>
      <c r="W2313" s="128">
        <v>0</v>
      </c>
      <c r="X2313" s="128">
        <v>0</v>
      </c>
      <c r="Y2313" s="128">
        <v>0</v>
      </c>
      <c r="Z2313" s="128">
        <v>-64427.51</v>
      </c>
      <c r="AA2313" s="128">
        <v>0</v>
      </c>
      <c r="AB2313" s="126">
        <f t="shared" si="240"/>
        <v>6.442751E-3</v>
      </c>
      <c r="AC2313" s="122" t="s">
        <v>1838</v>
      </c>
      <c r="AD2313" s="123">
        <f t="shared" si="241"/>
        <v>6.2680610079999992</v>
      </c>
    </row>
    <row r="2314" spans="1:30" ht="12.75" hidden="1" customHeight="1">
      <c r="A2314" s="125" t="str">
        <f t="shared" si="237"/>
        <v>LIC19Management Fees-Regular</v>
      </c>
      <c r="B2314" s="125">
        <f>+IFERROR(VLOOKUP(L2314,'TB mapping'!A:D,4,0),0)</f>
        <v>6.1</v>
      </c>
      <c r="C2314" s="125">
        <f>+IFERROR(VLOOKUP(L2314,'TB mapping'!A:C,3,0),0)</f>
        <v>6.3</v>
      </c>
      <c r="D2314" s="125" t="str">
        <f t="shared" si="238"/>
        <v>LIC196.1</v>
      </c>
      <c r="E2314" s="125" t="str">
        <f t="shared" si="239"/>
        <v>LIC196.3</v>
      </c>
      <c r="F2314" s="158" t="str">
        <f>+VLOOKUP(H2314,'code mapping'!A:C,3,0)</f>
        <v>LIC19</v>
      </c>
      <c r="G2314" s="127" t="s">
        <v>453</v>
      </c>
      <c r="H2314" s="127" t="s">
        <v>763</v>
      </c>
      <c r="I2314" s="127" t="s">
        <v>227</v>
      </c>
      <c r="J2314" s="128">
        <v>555100</v>
      </c>
      <c r="K2314" s="127" t="s">
        <v>579</v>
      </c>
      <c r="L2314" s="151">
        <v>555521</v>
      </c>
      <c r="M2314" s="128">
        <v>0</v>
      </c>
      <c r="N2314" s="127" t="s">
        <v>745</v>
      </c>
      <c r="O2314" s="127" t="s">
        <v>457</v>
      </c>
      <c r="P2314" s="128">
        <v>-847457.62</v>
      </c>
      <c r="Q2314" s="128">
        <v>0</v>
      </c>
      <c r="R2314" s="128">
        <v>0</v>
      </c>
      <c r="S2314" s="128">
        <v>0</v>
      </c>
      <c r="T2314" s="128">
        <v>-847457.62</v>
      </c>
      <c r="U2314" s="128">
        <v>0</v>
      </c>
      <c r="V2314" s="128">
        <v>-847457.62</v>
      </c>
      <c r="W2314" s="128">
        <v>0</v>
      </c>
      <c r="X2314" s="128">
        <v>0</v>
      </c>
      <c r="Y2314" s="128">
        <v>0</v>
      </c>
      <c r="Z2314" s="128">
        <v>-847457.62</v>
      </c>
      <c r="AA2314" s="128">
        <v>0</v>
      </c>
      <c r="AB2314" s="126">
        <f t="shared" si="240"/>
        <v>8.4745762000000002E-2</v>
      </c>
      <c r="AC2314" s="122" t="s">
        <v>1838</v>
      </c>
      <c r="AD2314" s="123">
        <f t="shared" si="241"/>
        <v>6.2680610079999992</v>
      </c>
    </row>
    <row r="2315" spans="1:30" ht="12.75" hidden="1" customHeight="1">
      <c r="A2315" s="125" t="str">
        <f t="shared" si="237"/>
        <v>LIC19Dividend Distribution - RD</v>
      </c>
      <c r="B2315" s="125">
        <f>+IFERROR(VLOOKUP(L2315,'TB mapping'!A:D,4,0),0)</f>
        <v>0</v>
      </c>
      <c r="C2315" s="125" t="str">
        <f>+IFERROR(VLOOKUP(L2315,'TB mapping'!A:C,3,0),0)</f>
        <v>ignore</v>
      </c>
      <c r="D2315" s="125" t="str">
        <f t="shared" si="238"/>
        <v>LIC190</v>
      </c>
      <c r="E2315" s="125" t="str">
        <f t="shared" si="239"/>
        <v>LIC19ignore</v>
      </c>
      <c r="F2315" s="158" t="str">
        <f>+VLOOKUP(H2315,'code mapping'!A:C,3,0)</f>
        <v>LIC19</v>
      </c>
      <c r="G2315" s="127" t="s">
        <v>453</v>
      </c>
      <c r="H2315" s="127" t="s">
        <v>763</v>
      </c>
      <c r="I2315" s="127" t="s">
        <v>227</v>
      </c>
      <c r="J2315" s="128">
        <v>555300</v>
      </c>
      <c r="K2315" s="127" t="s">
        <v>586</v>
      </c>
      <c r="L2315" s="151">
        <v>553143</v>
      </c>
      <c r="M2315" s="128">
        <v>0</v>
      </c>
      <c r="N2315" s="127" t="s">
        <v>587</v>
      </c>
      <c r="O2315" s="127" t="s">
        <v>457</v>
      </c>
      <c r="P2315" s="128">
        <v>-4739096.1399999997</v>
      </c>
      <c r="Q2315" s="128">
        <v>0</v>
      </c>
      <c r="R2315" s="128">
        <v>0</v>
      </c>
      <c r="S2315" s="128">
        <v>0</v>
      </c>
      <c r="T2315" s="128">
        <v>-4739096.1399999997</v>
      </c>
      <c r="U2315" s="128">
        <v>0</v>
      </c>
      <c r="V2315" s="128">
        <v>-4739096.1399999997</v>
      </c>
      <c r="W2315" s="128">
        <v>0</v>
      </c>
      <c r="X2315" s="128">
        <v>0</v>
      </c>
      <c r="Y2315" s="128">
        <v>0</v>
      </c>
      <c r="Z2315" s="128">
        <v>-4739096.1399999997</v>
      </c>
      <c r="AA2315" s="128">
        <v>0</v>
      </c>
      <c r="AB2315" s="126">
        <f t="shared" si="240"/>
        <v>0.47390961399999998</v>
      </c>
      <c r="AC2315" s="122" t="s">
        <v>1838</v>
      </c>
      <c r="AD2315" s="123">
        <f t="shared" ref="AD2315:AD2358" si="242">SUMIF(C:C,C2315,AB:AB)</f>
        <v>-291.7660984179999</v>
      </c>
    </row>
    <row r="2316" spans="1:30" ht="12.75" hidden="1" customHeight="1">
      <c r="A2316" s="125" t="str">
        <f t="shared" si="237"/>
        <v>LIC19Dividend Distribution-DDP</v>
      </c>
      <c r="B2316" s="125">
        <f>+IFERROR(VLOOKUP(L2316,'TB mapping'!A:D,4,0),0)</f>
        <v>0</v>
      </c>
      <c r="C2316" s="125" t="str">
        <f>+IFERROR(VLOOKUP(L2316,'TB mapping'!A:C,3,0),0)</f>
        <v>ignore</v>
      </c>
      <c r="D2316" s="125" t="str">
        <f t="shared" si="238"/>
        <v>LIC190</v>
      </c>
      <c r="E2316" s="125" t="str">
        <f t="shared" si="239"/>
        <v>LIC19ignore</v>
      </c>
      <c r="F2316" s="158" t="str">
        <f>+VLOOKUP(H2316,'code mapping'!A:C,3,0)</f>
        <v>LIC19</v>
      </c>
      <c r="G2316" s="127" t="s">
        <v>453</v>
      </c>
      <c r="H2316" s="127" t="s">
        <v>763</v>
      </c>
      <c r="I2316" s="127" t="s">
        <v>227</v>
      </c>
      <c r="J2316" s="128">
        <v>555300</v>
      </c>
      <c r="K2316" s="127" t="s">
        <v>586</v>
      </c>
      <c r="L2316" s="151">
        <v>554346</v>
      </c>
      <c r="M2316" s="128">
        <v>0</v>
      </c>
      <c r="N2316" s="127" t="s">
        <v>605</v>
      </c>
      <c r="O2316" s="127" t="s">
        <v>457</v>
      </c>
      <c r="P2316" s="128">
        <v>-453524.99</v>
      </c>
      <c r="Q2316" s="128">
        <v>0</v>
      </c>
      <c r="R2316" s="128">
        <v>0</v>
      </c>
      <c r="S2316" s="128">
        <v>0</v>
      </c>
      <c r="T2316" s="128">
        <v>-453524.99</v>
      </c>
      <c r="U2316" s="128">
        <v>0</v>
      </c>
      <c r="V2316" s="128">
        <v>-453524.99</v>
      </c>
      <c r="W2316" s="128">
        <v>0</v>
      </c>
      <c r="X2316" s="128">
        <v>0</v>
      </c>
      <c r="Y2316" s="128">
        <v>0</v>
      </c>
      <c r="Z2316" s="128">
        <v>-453524.99</v>
      </c>
      <c r="AA2316" s="128">
        <v>0</v>
      </c>
      <c r="AB2316" s="126">
        <f t="shared" si="240"/>
        <v>4.5352498999999998E-2</v>
      </c>
      <c r="AC2316" s="122" t="s">
        <v>1838</v>
      </c>
      <c r="AD2316" s="123">
        <f t="shared" si="242"/>
        <v>-291.7660984179999</v>
      </c>
    </row>
    <row r="2317" spans="1:30" ht="12.75" hidden="1" customHeight="1">
      <c r="A2317" s="125" t="str">
        <f t="shared" si="237"/>
        <v>LIC86Investment - Equities</v>
      </c>
      <c r="B2317" s="125">
        <f>+IFERROR(VLOOKUP(L2317,'TB mapping'!A:D,4,0),0)</f>
        <v>0</v>
      </c>
      <c r="C2317" s="125">
        <f>+IFERROR(VLOOKUP(L2317,'TB mapping'!A:C,3,0),0)</f>
        <v>0</v>
      </c>
      <c r="D2317" s="125" t="str">
        <f t="shared" si="238"/>
        <v>LIC860</v>
      </c>
      <c r="E2317" s="125" t="str">
        <f t="shared" si="239"/>
        <v>LIC860</v>
      </c>
      <c r="F2317" s="158" t="str">
        <f>+VLOOKUP(H2317,'code mapping'!A:C,3,0)</f>
        <v>LIC86</v>
      </c>
      <c r="G2317" s="127" t="s">
        <v>453</v>
      </c>
      <c r="H2317" s="127" t="s">
        <v>764</v>
      </c>
      <c r="I2317" s="127" t="s">
        <v>765</v>
      </c>
      <c r="J2317" s="128">
        <v>101000</v>
      </c>
      <c r="K2317" s="127" t="s">
        <v>591</v>
      </c>
      <c r="L2317" s="151">
        <v>101100</v>
      </c>
      <c r="M2317" s="128">
        <v>0</v>
      </c>
      <c r="N2317" s="127" t="s">
        <v>592</v>
      </c>
      <c r="O2317" s="127" t="s">
        <v>457</v>
      </c>
      <c r="P2317" s="128">
        <v>-386751417.36000001</v>
      </c>
      <c r="Q2317" s="128">
        <v>0</v>
      </c>
      <c r="R2317" s="128">
        <v>0</v>
      </c>
      <c r="S2317" s="128">
        <v>0</v>
      </c>
      <c r="T2317" s="128">
        <v>-386751417.36000001</v>
      </c>
      <c r="U2317" s="128">
        <v>0</v>
      </c>
      <c r="V2317" s="128">
        <v>-386751417.36000001</v>
      </c>
      <c r="W2317" s="128">
        <v>0</v>
      </c>
      <c r="X2317" s="128">
        <v>0</v>
      </c>
      <c r="Y2317" s="128">
        <v>0</v>
      </c>
      <c r="Z2317" s="128">
        <v>-386751417.36000001</v>
      </c>
      <c r="AA2317" s="128">
        <v>0</v>
      </c>
      <c r="AB2317" s="126">
        <f t="shared" si="240"/>
        <v>38.675141736</v>
      </c>
      <c r="AC2317" s="122" t="s">
        <v>1838</v>
      </c>
      <c r="AD2317" s="123">
        <f t="shared" si="242"/>
        <v>1983.9723217250009</v>
      </c>
    </row>
    <row r="2318" spans="1:30" ht="12.75" hidden="1" customHeight="1">
      <c r="A2318" s="125" t="str">
        <f t="shared" si="237"/>
        <v>LIC86Investment Mutual Fund</v>
      </c>
      <c r="B2318" s="125">
        <f>+IFERROR(VLOOKUP(L2318,'TB mapping'!A:D,4,0),0)</f>
        <v>0</v>
      </c>
      <c r="C2318" s="125">
        <f>+IFERROR(VLOOKUP(L2318,'TB mapping'!A:C,3,0),0)</f>
        <v>0</v>
      </c>
      <c r="D2318" s="125" t="str">
        <f t="shared" si="238"/>
        <v>LIC860</v>
      </c>
      <c r="E2318" s="125" t="str">
        <f t="shared" si="239"/>
        <v>LIC860</v>
      </c>
      <c r="F2318" s="158" t="str">
        <f>+VLOOKUP(H2318,'code mapping'!A:C,3,0)</f>
        <v>LIC86</v>
      </c>
      <c r="G2318" s="127" t="s">
        <v>453</v>
      </c>
      <c r="H2318" s="127" t="s">
        <v>764</v>
      </c>
      <c r="I2318" s="127" t="s">
        <v>765</v>
      </c>
      <c r="J2318" s="128">
        <v>105000</v>
      </c>
      <c r="K2318" s="127" t="s">
        <v>460</v>
      </c>
      <c r="L2318" s="151">
        <v>105100</v>
      </c>
      <c r="M2318" s="128">
        <v>0</v>
      </c>
      <c r="N2318" s="127" t="s">
        <v>461</v>
      </c>
      <c r="O2318" s="127" t="s">
        <v>457</v>
      </c>
      <c r="P2318" s="128">
        <v>-0.01</v>
      </c>
      <c r="Q2318" s="128">
        <v>0</v>
      </c>
      <c r="R2318" s="128">
        <v>0</v>
      </c>
      <c r="S2318" s="128">
        <v>0</v>
      </c>
      <c r="T2318" s="128">
        <v>-0.01</v>
      </c>
      <c r="U2318" s="128">
        <v>0</v>
      </c>
      <c r="V2318" s="128">
        <v>-0.01</v>
      </c>
      <c r="W2318" s="128">
        <v>0</v>
      </c>
      <c r="X2318" s="128">
        <v>0</v>
      </c>
      <c r="Y2318" s="128">
        <v>0</v>
      </c>
      <c r="Z2318" s="128">
        <v>-0.01</v>
      </c>
      <c r="AA2318" s="128">
        <v>0</v>
      </c>
      <c r="AB2318" s="126">
        <f t="shared" si="240"/>
        <v>1.0000000000000001E-9</v>
      </c>
      <c r="AC2318" s="122" t="s">
        <v>1838</v>
      </c>
      <c r="AD2318" s="123">
        <f t="shared" si="242"/>
        <v>1983.9723217250009</v>
      </c>
    </row>
    <row r="2319" spans="1:30" ht="12.75" hidden="1" customHeight="1">
      <c r="A2319" s="125" t="str">
        <f t="shared" si="237"/>
        <v>LIC86Investment - CBLO</v>
      </c>
      <c r="B2319" s="125">
        <f>+IFERROR(VLOOKUP(L2319,'TB mapping'!A:D,4,0),0)</f>
        <v>0</v>
      </c>
      <c r="C2319" s="125">
        <f>+IFERROR(VLOOKUP(L2319,'TB mapping'!A:C,3,0),0)</f>
        <v>0</v>
      </c>
      <c r="D2319" s="125" t="str">
        <f t="shared" si="238"/>
        <v>LIC860</v>
      </c>
      <c r="E2319" s="125" t="str">
        <f t="shared" si="239"/>
        <v>LIC860</v>
      </c>
      <c r="F2319" s="158" t="str">
        <f>+VLOOKUP(H2319,'code mapping'!A:C,3,0)</f>
        <v>LIC86</v>
      </c>
      <c r="G2319" s="127" t="s">
        <v>453</v>
      </c>
      <c r="H2319" s="127" t="s">
        <v>764</v>
      </c>
      <c r="I2319" s="127" t="s">
        <v>765</v>
      </c>
      <c r="J2319" s="128">
        <v>110000</v>
      </c>
      <c r="K2319" s="127" t="s">
        <v>462</v>
      </c>
      <c r="L2319" s="151">
        <v>110100</v>
      </c>
      <c r="M2319" s="128">
        <v>0</v>
      </c>
      <c r="N2319" s="127" t="s">
        <v>463</v>
      </c>
      <c r="O2319" s="127" t="s">
        <v>457</v>
      </c>
      <c r="P2319" s="128">
        <v>-50182127.460000001</v>
      </c>
      <c r="Q2319" s="128">
        <v>0</v>
      </c>
      <c r="R2319" s="128">
        <v>0</v>
      </c>
      <c r="S2319" s="128">
        <v>0</v>
      </c>
      <c r="T2319" s="128">
        <v>-50182127.460000001</v>
      </c>
      <c r="U2319" s="128">
        <v>0</v>
      </c>
      <c r="V2319" s="128">
        <v>-50182127.460000001</v>
      </c>
      <c r="W2319" s="128">
        <v>0</v>
      </c>
      <c r="X2319" s="128">
        <v>0</v>
      </c>
      <c r="Y2319" s="128">
        <v>0</v>
      </c>
      <c r="Z2319" s="128">
        <v>-50182127.460000001</v>
      </c>
      <c r="AA2319" s="128">
        <v>0</v>
      </c>
      <c r="AB2319" s="126">
        <f t="shared" si="240"/>
        <v>5.0182127459999997</v>
      </c>
      <c r="AC2319" s="122" t="s">
        <v>1838</v>
      </c>
      <c r="AD2319" s="123">
        <f t="shared" si="242"/>
        <v>1983.9723217250009</v>
      </c>
    </row>
    <row r="2320" spans="1:30" ht="12.75" hidden="1" customHeight="1">
      <c r="A2320" s="125" t="str">
        <f t="shared" si="237"/>
        <v>LIC86Margin Deposit For CCIL</v>
      </c>
      <c r="B2320" s="125">
        <f>+IFERROR(VLOOKUP(L2320,'TB mapping'!A:D,4,0),0)</f>
        <v>0</v>
      </c>
      <c r="C2320" s="125">
        <f>+IFERROR(VLOOKUP(L2320,'TB mapping'!A:C,3,0),0)</f>
        <v>0</v>
      </c>
      <c r="D2320" s="125" t="str">
        <f t="shared" si="238"/>
        <v>LIC860</v>
      </c>
      <c r="E2320" s="125" t="str">
        <f t="shared" si="239"/>
        <v>LIC860</v>
      </c>
      <c r="F2320" s="158" t="str">
        <f>+VLOOKUP(H2320,'code mapping'!A:C,3,0)</f>
        <v>LIC86</v>
      </c>
      <c r="G2320" s="127" t="s">
        <v>453</v>
      </c>
      <c r="H2320" s="127" t="s">
        <v>764</v>
      </c>
      <c r="I2320" s="127" t="s">
        <v>765</v>
      </c>
      <c r="J2320" s="128">
        <v>110000</v>
      </c>
      <c r="K2320" s="127" t="s">
        <v>462</v>
      </c>
      <c r="L2320" s="151">
        <v>110116</v>
      </c>
      <c r="M2320" s="128">
        <v>0</v>
      </c>
      <c r="N2320" s="127" t="s">
        <v>465</v>
      </c>
      <c r="O2320" s="127" t="s">
        <v>457</v>
      </c>
      <c r="P2320" s="128">
        <v>-15062.42</v>
      </c>
      <c r="Q2320" s="128">
        <v>0</v>
      </c>
      <c r="R2320" s="128">
        <v>0</v>
      </c>
      <c r="S2320" s="128">
        <v>0</v>
      </c>
      <c r="T2320" s="128">
        <v>-15062.42</v>
      </c>
      <c r="U2320" s="128">
        <v>0</v>
      </c>
      <c r="V2320" s="128">
        <v>-15062.42</v>
      </c>
      <c r="W2320" s="128">
        <v>0</v>
      </c>
      <c r="X2320" s="128">
        <v>0</v>
      </c>
      <c r="Y2320" s="128">
        <v>0</v>
      </c>
      <c r="Z2320" s="128">
        <v>-15062.42</v>
      </c>
      <c r="AA2320" s="128">
        <v>0</v>
      </c>
      <c r="AB2320" s="126">
        <f t="shared" si="240"/>
        <v>1.5062420000000001E-3</v>
      </c>
      <c r="AC2320" s="122" t="s">
        <v>1838</v>
      </c>
      <c r="AD2320" s="123">
        <f t="shared" si="242"/>
        <v>1983.9723217250009</v>
      </c>
    </row>
    <row r="2321" spans="1:30" ht="12.75" hidden="1" customHeight="1">
      <c r="A2321" s="125" t="str">
        <f t="shared" si="237"/>
        <v>LIC86Dividend Receivable</v>
      </c>
      <c r="B2321" s="125">
        <f>+IFERROR(VLOOKUP(L2321,'TB mapping'!A:D,4,0),0)</f>
        <v>0</v>
      </c>
      <c r="C2321" s="125">
        <f>+IFERROR(VLOOKUP(L2321,'TB mapping'!A:C,3,0),0)</f>
        <v>0</v>
      </c>
      <c r="D2321" s="125" t="str">
        <f t="shared" si="238"/>
        <v>LIC860</v>
      </c>
      <c r="E2321" s="125" t="str">
        <f t="shared" si="239"/>
        <v>LIC860</v>
      </c>
      <c r="F2321" s="158" t="str">
        <f>+VLOOKUP(H2321,'code mapping'!A:C,3,0)</f>
        <v>LIC86</v>
      </c>
      <c r="G2321" s="127" t="s">
        <v>453</v>
      </c>
      <c r="H2321" s="127" t="s">
        <v>764</v>
      </c>
      <c r="I2321" s="127" t="s">
        <v>765</v>
      </c>
      <c r="J2321" s="128">
        <v>132000</v>
      </c>
      <c r="K2321" s="127" t="s">
        <v>466</v>
      </c>
      <c r="L2321" s="151">
        <v>132100</v>
      </c>
      <c r="M2321" s="128">
        <v>0</v>
      </c>
      <c r="N2321" s="127" t="s">
        <v>593</v>
      </c>
      <c r="O2321" s="127" t="s">
        <v>457</v>
      </c>
      <c r="P2321" s="128">
        <v>-43248</v>
      </c>
      <c r="Q2321" s="128">
        <v>0</v>
      </c>
      <c r="R2321" s="128">
        <v>0</v>
      </c>
      <c r="S2321" s="128">
        <v>0</v>
      </c>
      <c r="T2321" s="128">
        <v>-43248</v>
      </c>
      <c r="U2321" s="128">
        <v>0</v>
      </c>
      <c r="V2321" s="128">
        <v>-43248</v>
      </c>
      <c r="W2321" s="128">
        <v>0</v>
      </c>
      <c r="X2321" s="128">
        <v>0</v>
      </c>
      <c r="Y2321" s="128">
        <v>0</v>
      </c>
      <c r="Z2321" s="128">
        <v>-43248</v>
      </c>
      <c r="AA2321" s="128">
        <v>0</v>
      </c>
      <c r="AB2321" s="126">
        <f t="shared" si="240"/>
        <v>4.3248000000000002E-3</v>
      </c>
      <c r="AC2321" s="122" t="s">
        <v>1838</v>
      </c>
      <c r="AD2321" s="123">
        <f t="shared" si="242"/>
        <v>1983.9723217250009</v>
      </c>
    </row>
    <row r="2322" spans="1:30" ht="12.75" hidden="1" customHeight="1">
      <c r="A2322" s="125" t="str">
        <f t="shared" si="237"/>
        <v>LIC86Sub. Rec. Control Account</v>
      </c>
      <c r="B2322" s="125">
        <f>+IFERROR(VLOOKUP(L2322,'TB mapping'!A:D,4,0),0)</f>
        <v>0</v>
      </c>
      <c r="C2322" s="125">
        <f>+IFERROR(VLOOKUP(L2322,'TB mapping'!A:C,3,0),0)</f>
        <v>0</v>
      </c>
      <c r="D2322" s="125" t="str">
        <f t="shared" si="238"/>
        <v>LIC860</v>
      </c>
      <c r="E2322" s="125" t="str">
        <f t="shared" si="239"/>
        <v>LIC860</v>
      </c>
      <c r="F2322" s="158" t="str">
        <f>+VLOOKUP(H2322,'code mapping'!A:C,3,0)</f>
        <v>LIC86</v>
      </c>
      <c r="G2322" s="127" t="s">
        <v>453</v>
      </c>
      <c r="H2322" s="127" t="s">
        <v>764</v>
      </c>
      <c r="I2322" s="127" t="s">
        <v>765</v>
      </c>
      <c r="J2322" s="128">
        <v>132000</v>
      </c>
      <c r="K2322" s="127" t="s">
        <v>466</v>
      </c>
      <c r="L2322" s="151">
        <v>132121</v>
      </c>
      <c r="M2322" s="128">
        <v>0</v>
      </c>
      <c r="N2322" s="127" t="s">
        <v>467</v>
      </c>
      <c r="O2322" s="127" t="s">
        <v>457</v>
      </c>
      <c r="P2322" s="128">
        <v>-791531.82</v>
      </c>
      <c r="Q2322" s="128">
        <v>0</v>
      </c>
      <c r="R2322" s="128">
        <v>0</v>
      </c>
      <c r="S2322" s="128">
        <v>0</v>
      </c>
      <c r="T2322" s="128">
        <v>-791531.82</v>
      </c>
      <c r="U2322" s="128">
        <v>0</v>
      </c>
      <c r="V2322" s="128">
        <v>-791531.82</v>
      </c>
      <c r="W2322" s="128">
        <v>0</v>
      </c>
      <c r="X2322" s="128">
        <v>0</v>
      </c>
      <c r="Y2322" s="128">
        <v>0</v>
      </c>
      <c r="Z2322" s="128">
        <v>-791531.82</v>
      </c>
      <c r="AA2322" s="128">
        <v>0</v>
      </c>
      <c r="AB2322" s="126">
        <f t="shared" si="240"/>
        <v>7.9153181999999989E-2</v>
      </c>
      <c r="AC2322" s="122" t="s">
        <v>1838</v>
      </c>
      <c r="AD2322" s="123">
        <f t="shared" si="242"/>
        <v>1983.9723217250009</v>
      </c>
    </row>
    <row r="2323" spans="1:30" ht="12.75" hidden="1" customHeight="1">
      <c r="A2323" s="125" t="str">
        <f t="shared" si="237"/>
        <v>LIC86Switch in Receivable Ct</v>
      </c>
      <c r="B2323" s="125">
        <f>+IFERROR(VLOOKUP(L2323,'TB mapping'!A:D,4,0),0)</f>
        <v>0</v>
      </c>
      <c r="C2323" s="125">
        <f>+IFERROR(VLOOKUP(L2323,'TB mapping'!A:C,3,0),0)</f>
        <v>0</v>
      </c>
      <c r="D2323" s="125" t="str">
        <f t="shared" si="238"/>
        <v>LIC860</v>
      </c>
      <c r="E2323" s="125" t="str">
        <f t="shared" si="239"/>
        <v>LIC860</v>
      </c>
      <c r="F2323" s="158" t="str">
        <f>+VLOOKUP(H2323,'code mapping'!A:C,3,0)</f>
        <v>LIC86</v>
      </c>
      <c r="G2323" s="127" t="s">
        <v>453</v>
      </c>
      <c r="H2323" s="127" t="s">
        <v>764</v>
      </c>
      <c r="I2323" s="127" t="s">
        <v>765</v>
      </c>
      <c r="J2323" s="128">
        <v>132000</v>
      </c>
      <c r="K2323" s="127" t="s">
        <v>466</v>
      </c>
      <c r="L2323" s="151">
        <v>132124</v>
      </c>
      <c r="M2323" s="128">
        <v>0</v>
      </c>
      <c r="N2323" s="127" t="s">
        <v>468</v>
      </c>
      <c r="O2323" s="127" t="s">
        <v>457</v>
      </c>
      <c r="P2323" s="128">
        <v>-407515.82</v>
      </c>
      <c r="Q2323" s="128">
        <v>0</v>
      </c>
      <c r="R2323" s="128">
        <v>0</v>
      </c>
      <c r="S2323" s="128">
        <v>0</v>
      </c>
      <c r="T2323" s="128">
        <v>-407515.82</v>
      </c>
      <c r="U2323" s="128">
        <v>0</v>
      </c>
      <c r="V2323" s="128">
        <v>-407515.82</v>
      </c>
      <c r="W2323" s="128">
        <v>0</v>
      </c>
      <c r="X2323" s="128">
        <v>0</v>
      </c>
      <c r="Y2323" s="128">
        <v>0</v>
      </c>
      <c r="Z2323" s="128">
        <v>-407515.82</v>
      </c>
      <c r="AA2323" s="128">
        <v>0</v>
      </c>
      <c r="AB2323" s="126">
        <f t="shared" si="240"/>
        <v>4.0751582000000001E-2</v>
      </c>
      <c r="AC2323" s="122" t="s">
        <v>1838</v>
      </c>
      <c r="AD2323" s="123">
        <f t="shared" si="242"/>
        <v>1983.9723217250009</v>
      </c>
    </row>
    <row r="2324" spans="1:30" ht="12.75" hidden="1" customHeight="1">
      <c r="A2324" s="125" t="str">
        <f t="shared" si="237"/>
        <v>LIC86Receivable from AMC</v>
      </c>
      <c r="B2324" s="125">
        <f>+IFERROR(VLOOKUP(L2324,'TB mapping'!A:D,4,0),0)</f>
        <v>0</v>
      </c>
      <c r="C2324" s="125">
        <f>+IFERROR(VLOOKUP(L2324,'TB mapping'!A:C,3,0),0)</f>
        <v>0</v>
      </c>
      <c r="D2324" s="125" t="str">
        <f t="shared" si="238"/>
        <v>LIC860</v>
      </c>
      <c r="E2324" s="125" t="str">
        <f t="shared" si="239"/>
        <v>LIC860</v>
      </c>
      <c r="F2324" s="158" t="str">
        <f>+VLOOKUP(H2324,'code mapping'!A:C,3,0)</f>
        <v>LIC86</v>
      </c>
      <c r="G2324" s="127" t="s">
        <v>453</v>
      </c>
      <c r="H2324" s="127" t="s">
        <v>764</v>
      </c>
      <c r="I2324" s="127" t="s">
        <v>765</v>
      </c>
      <c r="J2324" s="128">
        <v>132000</v>
      </c>
      <c r="K2324" s="127" t="s">
        <v>466</v>
      </c>
      <c r="L2324" s="151">
        <v>152400</v>
      </c>
      <c r="M2324" s="128">
        <v>0</v>
      </c>
      <c r="N2324" s="127" t="s">
        <v>471</v>
      </c>
      <c r="O2324" s="127" t="s">
        <v>457</v>
      </c>
      <c r="P2324" s="128">
        <v>-1.1400000000000001</v>
      </c>
      <c r="Q2324" s="128">
        <v>0</v>
      </c>
      <c r="R2324" s="128">
        <v>0</v>
      </c>
      <c r="S2324" s="128">
        <v>0</v>
      </c>
      <c r="T2324" s="128">
        <v>-1.1400000000000001</v>
      </c>
      <c r="U2324" s="128">
        <v>0</v>
      </c>
      <c r="V2324" s="128">
        <v>-1.1400000000000001</v>
      </c>
      <c r="W2324" s="128">
        <v>0</v>
      </c>
      <c r="X2324" s="128">
        <v>0</v>
      </c>
      <c r="Y2324" s="128">
        <v>0</v>
      </c>
      <c r="Z2324" s="128">
        <v>-1.1400000000000001</v>
      </c>
      <c r="AA2324" s="128">
        <v>0</v>
      </c>
      <c r="AB2324" s="126">
        <f t="shared" si="240"/>
        <v>1.1400000000000001E-7</v>
      </c>
      <c r="AC2324" s="122" t="s">
        <v>1838</v>
      </c>
      <c r="AD2324" s="123">
        <f t="shared" si="242"/>
        <v>1983.9723217250009</v>
      </c>
    </row>
    <row r="2325" spans="1:30" ht="12.75" hidden="1" customHeight="1">
      <c r="A2325" s="125" t="str">
        <f t="shared" si="237"/>
        <v>LIC86CCIL Settlement A/C</v>
      </c>
      <c r="B2325" s="125">
        <f>+IFERROR(VLOOKUP(L2325,'TB mapping'!A:D,4,0),0)</f>
        <v>0</v>
      </c>
      <c r="C2325" s="125">
        <f>+IFERROR(VLOOKUP(L2325,'TB mapping'!A:C,3,0),0)</f>
        <v>0</v>
      </c>
      <c r="D2325" s="125" t="str">
        <f t="shared" si="238"/>
        <v>LIC860</v>
      </c>
      <c r="E2325" s="125" t="str">
        <f t="shared" si="239"/>
        <v>LIC860</v>
      </c>
      <c r="F2325" s="158" t="str">
        <f>+VLOOKUP(H2325,'code mapping'!A:C,3,0)</f>
        <v>LIC86</v>
      </c>
      <c r="G2325" s="127" t="s">
        <v>453</v>
      </c>
      <c r="H2325" s="127" t="s">
        <v>764</v>
      </c>
      <c r="I2325" s="127" t="s">
        <v>765</v>
      </c>
      <c r="J2325" s="128">
        <v>140000</v>
      </c>
      <c r="K2325" s="127" t="s">
        <v>472</v>
      </c>
      <c r="L2325" s="151">
        <v>132237</v>
      </c>
      <c r="M2325" s="128">
        <v>0</v>
      </c>
      <c r="N2325" s="127" t="s">
        <v>473</v>
      </c>
      <c r="O2325" s="127" t="s">
        <v>457</v>
      </c>
      <c r="P2325" s="128">
        <v>-0.01</v>
      </c>
      <c r="Q2325" s="128">
        <v>0</v>
      </c>
      <c r="R2325" s="128">
        <v>0</v>
      </c>
      <c r="S2325" s="128">
        <v>0</v>
      </c>
      <c r="T2325" s="128">
        <v>-0.01</v>
      </c>
      <c r="U2325" s="128">
        <v>0</v>
      </c>
      <c r="V2325" s="128">
        <v>-0.01</v>
      </c>
      <c r="W2325" s="128">
        <v>0</v>
      </c>
      <c r="X2325" s="128">
        <v>0</v>
      </c>
      <c r="Y2325" s="128">
        <v>0</v>
      </c>
      <c r="Z2325" s="128">
        <v>-0.01</v>
      </c>
      <c r="AA2325" s="128">
        <v>0</v>
      </c>
      <c r="AB2325" s="126">
        <f t="shared" si="240"/>
        <v>1.0000000000000001E-9</v>
      </c>
      <c r="AC2325" s="122" t="s">
        <v>1838</v>
      </c>
      <c r="AD2325" s="123">
        <f t="shared" si="242"/>
        <v>1983.9723217250009</v>
      </c>
    </row>
    <row r="2326" spans="1:30" ht="12.75" hidden="1" customHeight="1">
      <c r="A2326" s="125" t="str">
        <f t="shared" si="237"/>
        <v>LIC86HDFC Current Account</v>
      </c>
      <c r="B2326" s="125">
        <f>+IFERROR(VLOOKUP(L2326,'TB mapping'!A:D,4,0),0)</f>
        <v>0</v>
      </c>
      <c r="C2326" s="125">
        <f>+IFERROR(VLOOKUP(L2326,'TB mapping'!A:C,3,0),0)</f>
        <v>0</v>
      </c>
      <c r="D2326" s="125" t="str">
        <f t="shared" si="238"/>
        <v>LIC860</v>
      </c>
      <c r="E2326" s="125" t="str">
        <f t="shared" si="239"/>
        <v>LIC860</v>
      </c>
      <c r="F2326" s="158" t="str">
        <f>+VLOOKUP(H2326,'code mapping'!A:C,3,0)</f>
        <v>LIC86</v>
      </c>
      <c r="G2326" s="127" t="s">
        <v>453</v>
      </c>
      <c r="H2326" s="127" t="s">
        <v>764</v>
      </c>
      <c r="I2326" s="127" t="s">
        <v>765</v>
      </c>
      <c r="J2326" s="128">
        <v>140000</v>
      </c>
      <c r="K2326" s="127" t="s">
        <v>472</v>
      </c>
      <c r="L2326" s="151">
        <v>140330</v>
      </c>
      <c r="M2326" s="128">
        <v>0</v>
      </c>
      <c r="N2326" s="127" t="s">
        <v>475</v>
      </c>
      <c r="O2326" s="127" t="s">
        <v>457</v>
      </c>
      <c r="P2326" s="128">
        <v>-0.38</v>
      </c>
      <c r="Q2326" s="128">
        <v>0</v>
      </c>
      <c r="R2326" s="128">
        <v>0</v>
      </c>
      <c r="S2326" s="128">
        <v>0</v>
      </c>
      <c r="T2326" s="128">
        <v>-0.38</v>
      </c>
      <c r="U2326" s="128">
        <v>0</v>
      </c>
      <c r="V2326" s="128">
        <v>-0.38</v>
      </c>
      <c r="W2326" s="128">
        <v>0</v>
      </c>
      <c r="X2326" s="128">
        <v>0</v>
      </c>
      <c r="Y2326" s="128">
        <v>0</v>
      </c>
      <c r="Z2326" s="128">
        <v>-0.38</v>
      </c>
      <c r="AA2326" s="128">
        <v>0</v>
      </c>
      <c r="AB2326" s="126">
        <f t="shared" si="240"/>
        <v>3.8000000000000003E-8</v>
      </c>
      <c r="AC2326" s="122" t="s">
        <v>1838</v>
      </c>
      <c r="AD2326" s="123">
        <f t="shared" si="242"/>
        <v>1983.9723217250009</v>
      </c>
    </row>
    <row r="2327" spans="1:30" ht="12.75" hidden="1" customHeight="1">
      <c r="A2327" s="125" t="str">
        <f t="shared" si="237"/>
        <v>LIC86HDFC Bank Ltd</v>
      </c>
      <c r="B2327" s="125">
        <f>+IFERROR(VLOOKUP(L2327,'TB mapping'!A:D,4,0),0)</f>
        <v>0</v>
      </c>
      <c r="C2327" s="125">
        <f>+IFERROR(VLOOKUP(L2327,'TB mapping'!A:C,3,0),0)</f>
        <v>0</v>
      </c>
      <c r="D2327" s="125" t="str">
        <f t="shared" si="238"/>
        <v>LIC860</v>
      </c>
      <c r="E2327" s="125" t="str">
        <f t="shared" si="239"/>
        <v>LIC860</v>
      </c>
      <c r="F2327" s="158" t="str">
        <f>+VLOOKUP(H2327,'code mapping'!A:C,3,0)</f>
        <v>LIC86</v>
      </c>
      <c r="G2327" s="127" t="s">
        <v>453</v>
      </c>
      <c r="H2327" s="127" t="s">
        <v>764</v>
      </c>
      <c r="I2327" s="127" t="s">
        <v>765</v>
      </c>
      <c r="J2327" s="128">
        <v>140000</v>
      </c>
      <c r="K2327" s="127" t="s">
        <v>472</v>
      </c>
      <c r="L2327" s="151">
        <v>140372</v>
      </c>
      <c r="M2327" s="128">
        <v>0</v>
      </c>
      <c r="N2327" s="127" t="s">
        <v>476</v>
      </c>
      <c r="O2327" s="127" t="s">
        <v>457</v>
      </c>
      <c r="P2327" s="128">
        <v>0</v>
      </c>
      <c r="Q2327" s="128">
        <v>1.37</v>
      </c>
      <c r="R2327" s="128">
        <v>0</v>
      </c>
      <c r="S2327" s="128">
        <v>0</v>
      </c>
      <c r="T2327" s="128">
        <v>0</v>
      </c>
      <c r="U2327" s="128">
        <v>1.37</v>
      </c>
      <c r="V2327" s="128">
        <v>0</v>
      </c>
      <c r="W2327" s="128">
        <v>1.37</v>
      </c>
      <c r="X2327" s="128">
        <v>0</v>
      </c>
      <c r="Y2327" s="128">
        <v>0</v>
      </c>
      <c r="Z2327" s="128">
        <v>0</v>
      </c>
      <c r="AA2327" s="128">
        <v>1.37</v>
      </c>
      <c r="AB2327" s="126">
        <f t="shared" si="240"/>
        <v>-1.3700000000000002E-7</v>
      </c>
      <c r="AC2327" s="122" t="s">
        <v>1838</v>
      </c>
      <c r="AD2327" s="123">
        <f t="shared" si="242"/>
        <v>1983.9723217250009</v>
      </c>
    </row>
    <row r="2328" spans="1:30" ht="12.75" hidden="1" customHeight="1">
      <c r="A2328" s="125" t="str">
        <f t="shared" si="237"/>
        <v>LIC86Standard Chartered Bank- India</v>
      </c>
      <c r="B2328" s="125">
        <f>+IFERROR(VLOOKUP(L2328,'TB mapping'!A:D,4,0),0)</f>
        <v>0</v>
      </c>
      <c r="C2328" s="125">
        <f>+IFERROR(VLOOKUP(L2328,'TB mapping'!A:C,3,0),0)</f>
        <v>0</v>
      </c>
      <c r="D2328" s="125" t="str">
        <f t="shared" si="238"/>
        <v>LIC860</v>
      </c>
      <c r="E2328" s="125" t="str">
        <f t="shared" si="239"/>
        <v>LIC860</v>
      </c>
      <c r="F2328" s="158" t="str">
        <f>+VLOOKUP(H2328,'code mapping'!A:C,3,0)</f>
        <v>LIC86</v>
      </c>
      <c r="G2328" s="127" t="s">
        <v>453</v>
      </c>
      <c r="H2328" s="127" t="s">
        <v>764</v>
      </c>
      <c r="I2328" s="127" t="s">
        <v>765</v>
      </c>
      <c r="J2328" s="128">
        <v>140000</v>
      </c>
      <c r="K2328" s="127" t="s">
        <v>472</v>
      </c>
      <c r="L2328" s="151">
        <v>140500</v>
      </c>
      <c r="M2328" s="128">
        <v>0</v>
      </c>
      <c r="N2328" s="127" t="s">
        <v>477</v>
      </c>
      <c r="O2328" s="127" t="s">
        <v>457</v>
      </c>
      <c r="P2328" s="128">
        <v>-33675.94</v>
      </c>
      <c r="Q2328" s="128">
        <v>0</v>
      </c>
      <c r="R2328" s="128">
        <v>0</v>
      </c>
      <c r="S2328" s="128">
        <v>0</v>
      </c>
      <c r="T2328" s="128">
        <v>-33675.94</v>
      </c>
      <c r="U2328" s="128">
        <v>0</v>
      </c>
      <c r="V2328" s="128">
        <v>-33675.94</v>
      </c>
      <c r="W2328" s="128">
        <v>0</v>
      </c>
      <c r="X2328" s="128">
        <v>0</v>
      </c>
      <c r="Y2328" s="128">
        <v>0</v>
      </c>
      <c r="Z2328" s="128">
        <v>-33675.94</v>
      </c>
      <c r="AA2328" s="128">
        <v>0</v>
      </c>
      <c r="AB2328" s="126">
        <f t="shared" si="240"/>
        <v>3.3675940000000002E-3</v>
      </c>
      <c r="AC2328" s="122" t="s">
        <v>1838</v>
      </c>
      <c r="AD2328" s="123">
        <f t="shared" si="242"/>
        <v>1983.9723217250009</v>
      </c>
    </row>
    <row r="2329" spans="1:30" ht="12.75" hidden="1" customHeight="1">
      <c r="A2329" s="125" t="str">
        <f t="shared" si="237"/>
        <v>LIC86Amort Receivable - CBLO</v>
      </c>
      <c r="B2329" s="125">
        <f>+IFERROR(VLOOKUP(L2329,'TB mapping'!A:D,4,0),0)</f>
        <v>0</v>
      </c>
      <c r="C2329" s="125">
        <f>+IFERROR(VLOOKUP(L2329,'TB mapping'!A:C,3,0),0)</f>
        <v>0</v>
      </c>
      <c r="D2329" s="125" t="str">
        <f t="shared" si="238"/>
        <v>LIC860</v>
      </c>
      <c r="E2329" s="125" t="str">
        <f t="shared" si="239"/>
        <v>LIC860</v>
      </c>
      <c r="F2329" s="158" t="str">
        <f>+VLOOKUP(H2329,'code mapping'!A:C,3,0)</f>
        <v>LIC86</v>
      </c>
      <c r="G2329" s="127" t="s">
        <v>453</v>
      </c>
      <c r="H2329" s="127" t="s">
        <v>764</v>
      </c>
      <c r="I2329" s="127" t="s">
        <v>765</v>
      </c>
      <c r="J2329" s="128">
        <v>152000</v>
      </c>
      <c r="K2329" s="127" t="s">
        <v>478</v>
      </c>
      <c r="L2329" s="151">
        <v>152232</v>
      </c>
      <c r="M2329" s="128">
        <v>0</v>
      </c>
      <c r="N2329" s="127" t="s">
        <v>482</v>
      </c>
      <c r="O2329" s="127" t="s">
        <v>457</v>
      </c>
      <c r="P2329" s="128">
        <v>-22449.8</v>
      </c>
      <c r="Q2329" s="128">
        <v>0</v>
      </c>
      <c r="R2329" s="128">
        <v>0</v>
      </c>
      <c r="S2329" s="128">
        <v>0</v>
      </c>
      <c r="T2329" s="128">
        <v>-22449.8</v>
      </c>
      <c r="U2329" s="128">
        <v>0</v>
      </c>
      <c r="V2329" s="128">
        <v>-22449.8</v>
      </c>
      <c r="W2329" s="128">
        <v>0</v>
      </c>
      <c r="X2329" s="128">
        <v>0</v>
      </c>
      <c r="Y2329" s="128">
        <v>0</v>
      </c>
      <c r="Z2329" s="128">
        <v>-22449.8</v>
      </c>
      <c r="AA2329" s="128">
        <v>0</v>
      </c>
      <c r="AB2329" s="126">
        <f t="shared" si="240"/>
        <v>2.2449799999999997E-3</v>
      </c>
      <c r="AC2329" s="122" t="s">
        <v>1838</v>
      </c>
      <c r="AD2329" s="123">
        <f t="shared" si="242"/>
        <v>1983.9723217250009</v>
      </c>
    </row>
    <row r="2330" spans="1:30" ht="12.75" hidden="1" customHeight="1">
      <c r="A2330" s="125" t="str">
        <f t="shared" si="237"/>
        <v>LIC86Prov Unr P/L - Equities</v>
      </c>
      <c r="B2330" s="125">
        <f>+IFERROR(VLOOKUP(L2330,'TB mapping'!A:D,4,0),0)</f>
        <v>0</v>
      </c>
      <c r="C2330" s="125">
        <f>+IFERROR(VLOOKUP(L2330,'TB mapping'!A:C,3,0),0)</f>
        <v>0</v>
      </c>
      <c r="D2330" s="125" t="str">
        <f t="shared" si="238"/>
        <v>LIC860</v>
      </c>
      <c r="E2330" s="125" t="str">
        <f t="shared" si="239"/>
        <v>LIC860</v>
      </c>
      <c r="F2330" s="158" t="str">
        <f>+VLOOKUP(H2330,'code mapping'!A:C,3,0)</f>
        <v>LIC86</v>
      </c>
      <c r="G2330" s="127" t="s">
        <v>453</v>
      </c>
      <c r="H2330" s="127" t="s">
        <v>764</v>
      </c>
      <c r="I2330" s="127" t="s">
        <v>765</v>
      </c>
      <c r="J2330" s="128">
        <v>160000</v>
      </c>
      <c r="K2330" s="127" t="s">
        <v>483</v>
      </c>
      <c r="L2330" s="151">
        <v>161100</v>
      </c>
      <c r="M2330" s="128">
        <v>0</v>
      </c>
      <c r="N2330" s="127" t="s">
        <v>595</v>
      </c>
      <c r="O2330" s="127" t="s">
        <v>457</v>
      </c>
      <c r="P2330" s="128">
        <v>-256841125.24000001</v>
      </c>
      <c r="Q2330" s="128">
        <v>0</v>
      </c>
      <c r="R2330" s="128">
        <v>0</v>
      </c>
      <c r="S2330" s="128">
        <v>0</v>
      </c>
      <c r="T2330" s="128">
        <v>-256841125.24000001</v>
      </c>
      <c r="U2330" s="128">
        <v>0</v>
      </c>
      <c r="V2330" s="128">
        <v>-256841125.24000001</v>
      </c>
      <c r="W2330" s="128">
        <v>0</v>
      </c>
      <c r="X2330" s="128">
        <v>0</v>
      </c>
      <c r="Y2330" s="128">
        <v>0</v>
      </c>
      <c r="Z2330" s="128">
        <v>-256841125.24000001</v>
      </c>
      <c r="AA2330" s="128">
        <v>0</v>
      </c>
      <c r="AB2330" s="126">
        <f t="shared" si="240"/>
        <v>25.684112524</v>
      </c>
      <c r="AC2330" s="122" t="s">
        <v>1838</v>
      </c>
      <c r="AD2330" s="123">
        <f t="shared" si="242"/>
        <v>1983.9723217250009</v>
      </c>
    </row>
    <row r="2331" spans="1:30" ht="12.75" hidden="1" customHeight="1">
      <c r="A2331" s="125" t="str">
        <f t="shared" si="237"/>
        <v>LIC86Payable - Withhold Brokerage</v>
      </c>
      <c r="B2331" s="125">
        <f>+IFERROR(VLOOKUP(L2331,'TB mapping'!A:D,4,0),0)</f>
        <v>0</v>
      </c>
      <c r="C2331" s="125">
        <f>+IFERROR(VLOOKUP(L2331,'TB mapping'!A:C,3,0),0)</f>
        <v>0</v>
      </c>
      <c r="D2331" s="125" t="str">
        <f t="shared" si="238"/>
        <v>LIC860</v>
      </c>
      <c r="E2331" s="125" t="str">
        <f t="shared" si="239"/>
        <v>LIC860</v>
      </c>
      <c r="F2331" s="158" t="str">
        <f>+VLOOKUP(H2331,'code mapping'!A:C,3,0)</f>
        <v>LIC86</v>
      </c>
      <c r="G2331" s="127" t="s">
        <v>453</v>
      </c>
      <c r="H2331" s="127" t="s">
        <v>764</v>
      </c>
      <c r="I2331" s="127" t="s">
        <v>765</v>
      </c>
      <c r="J2331" s="128">
        <v>212000</v>
      </c>
      <c r="K2331" s="127" t="s">
        <v>487</v>
      </c>
      <c r="L2331" s="151">
        <v>210164</v>
      </c>
      <c r="M2331" s="128">
        <v>0</v>
      </c>
      <c r="N2331" s="127" t="s">
        <v>488</v>
      </c>
      <c r="O2331" s="127" t="s">
        <v>457</v>
      </c>
      <c r="P2331" s="128">
        <v>0</v>
      </c>
      <c r="Q2331" s="128">
        <v>1033283.18</v>
      </c>
      <c r="R2331" s="128">
        <v>0</v>
      </c>
      <c r="S2331" s="128">
        <v>0</v>
      </c>
      <c r="T2331" s="128">
        <v>0</v>
      </c>
      <c r="U2331" s="128">
        <v>1033283.18</v>
      </c>
      <c r="V2331" s="128">
        <v>0</v>
      </c>
      <c r="W2331" s="128">
        <v>1033283.18</v>
      </c>
      <c r="X2331" s="128">
        <v>0</v>
      </c>
      <c r="Y2331" s="128">
        <v>0</v>
      </c>
      <c r="Z2331" s="128">
        <v>0</v>
      </c>
      <c r="AA2331" s="128">
        <v>1033283.18</v>
      </c>
      <c r="AB2331" s="126">
        <f t="shared" si="240"/>
        <v>-0.103328318</v>
      </c>
      <c r="AC2331" s="122" t="s">
        <v>1838</v>
      </c>
      <c r="AD2331" s="123">
        <f t="shared" si="242"/>
        <v>1983.9723217250009</v>
      </c>
    </row>
    <row r="2332" spans="1:30" ht="12.75" hidden="1" customHeight="1">
      <c r="A2332" s="125" t="str">
        <f t="shared" si="237"/>
        <v>LIC86CGST Payable</v>
      </c>
      <c r="B2332" s="125">
        <f>+IFERROR(VLOOKUP(L2332,'TB mapping'!A:D,4,0),0)</f>
        <v>0</v>
      </c>
      <c r="C2332" s="125">
        <f>+IFERROR(VLOOKUP(L2332,'TB mapping'!A:C,3,0),0)</f>
        <v>0</v>
      </c>
      <c r="D2332" s="125" t="str">
        <f t="shared" si="238"/>
        <v>LIC860</v>
      </c>
      <c r="E2332" s="125" t="str">
        <f t="shared" si="239"/>
        <v>LIC860</v>
      </c>
      <c r="F2332" s="158" t="str">
        <f>+VLOOKUP(H2332,'code mapping'!A:C,3,0)</f>
        <v>LIC86</v>
      </c>
      <c r="G2332" s="127" t="s">
        <v>453</v>
      </c>
      <c r="H2332" s="127" t="s">
        <v>764</v>
      </c>
      <c r="I2332" s="127" t="s">
        <v>765</v>
      </c>
      <c r="J2332" s="128">
        <v>212000</v>
      </c>
      <c r="K2332" s="127" t="s">
        <v>487</v>
      </c>
      <c r="L2332" s="151">
        <v>212112</v>
      </c>
      <c r="M2332" s="128">
        <v>0</v>
      </c>
      <c r="N2332" s="127" t="s">
        <v>490</v>
      </c>
      <c r="O2332" s="127" t="s">
        <v>457</v>
      </c>
      <c r="P2332" s="128">
        <v>0</v>
      </c>
      <c r="Q2332" s="128">
        <v>306.12</v>
      </c>
      <c r="R2332" s="128">
        <v>0</v>
      </c>
      <c r="S2332" s="128">
        <v>0</v>
      </c>
      <c r="T2332" s="128">
        <v>0</v>
      </c>
      <c r="U2332" s="128">
        <v>306.12</v>
      </c>
      <c r="V2332" s="128">
        <v>0</v>
      </c>
      <c r="W2332" s="128">
        <v>306.12</v>
      </c>
      <c r="X2332" s="128">
        <v>0</v>
      </c>
      <c r="Y2332" s="128">
        <v>0</v>
      </c>
      <c r="Z2332" s="128">
        <v>0</v>
      </c>
      <c r="AA2332" s="128">
        <v>306.12</v>
      </c>
      <c r="AB2332" s="126">
        <f t="shared" si="240"/>
        <v>-3.0611999999999998E-5</v>
      </c>
      <c r="AC2332" s="122" t="s">
        <v>1838</v>
      </c>
      <c r="AD2332" s="123">
        <f t="shared" si="242"/>
        <v>1983.9723217250009</v>
      </c>
    </row>
    <row r="2333" spans="1:30" ht="12.75" hidden="1" customHeight="1">
      <c r="A2333" s="125" t="str">
        <f t="shared" si="237"/>
        <v>LIC86SGST Payable</v>
      </c>
      <c r="B2333" s="125">
        <f>+IFERROR(VLOOKUP(L2333,'TB mapping'!A:D,4,0),0)</f>
        <v>0</v>
      </c>
      <c r="C2333" s="125">
        <f>+IFERROR(VLOOKUP(L2333,'TB mapping'!A:C,3,0),0)</f>
        <v>0</v>
      </c>
      <c r="D2333" s="125" t="str">
        <f t="shared" si="238"/>
        <v>LIC860</v>
      </c>
      <c r="E2333" s="125" t="str">
        <f t="shared" si="239"/>
        <v>LIC860</v>
      </c>
      <c r="F2333" s="158" t="str">
        <f>+VLOOKUP(H2333,'code mapping'!A:C,3,0)</f>
        <v>LIC86</v>
      </c>
      <c r="G2333" s="127" t="s">
        <v>453</v>
      </c>
      <c r="H2333" s="127" t="s">
        <v>764</v>
      </c>
      <c r="I2333" s="127" t="s">
        <v>765</v>
      </c>
      <c r="J2333" s="128">
        <v>212000</v>
      </c>
      <c r="K2333" s="127" t="s">
        <v>487</v>
      </c>
      <c r="L2333" s="151">
        <v>212113</v>
      </c>
      <c r="M2333" s="128">
        <v>0</v>
      </c>
      <c r="N2333" s="127" t="s">
        <v>491</v>
      </c>
      <c r="O2333" s="127" t="s">
        <v>457</v>
      </c>
      <c r="P2333" s="128">
        <v>0</v>
      </c>
      <c r="Q2333" s="128">
        <v>306.12</v>
      </c>
      <c r="R2333" s="128">
        <v>0</v>
      </c>
      <c r="S2333" s="128">
        <v>0</v>
      </c>
      <c r="T2333" s="128">
        <v>0</v>
      </c>
      <c r="U2333" s="128">
        <v>306.12</v>
      </c>
      <c r="V2333" s="128">
        <v>0</v>
      </c>
      <c r="W2333" s="128">
        <v>306.12</v>
      </c>
      <c r="X2333" s="128">
        <v>0</v>
      </c>
      <c r="Y2333" s="128">
        <v>0</v>
      </c>
      <c r="Z2333" s="128">
        <v>0</v>
      </c>
      <c r="AA2333" s="128">
        <v>306.12</v>
      </c>
      <c r="AB2333" s="126">
        <f t="shared" si="240"/>
        <v>-3.0611999999999998E-5</v>
      </c>
      <c r="AC2333" s="122" t="s">
        <v>1838</v>
      </c>
      <c r="AD2333" s="123">
        <f t="shared" si="242"/>
        <v>1983.9723217250009</v>
      </c>
    </row>
    <row r="2334" spans="1:30" ht="12.75" hidden="1" customHeight="1">
      <c r="A2334" s="125" t="str">
        <f t="shared" si="237"/>
        <v>LIC86IGST Payable</v>
      </c>
      <c r="B2334" s="125">
        <f>+IFERROR(VLOOKUP(L2334,'TB mapping'!A:D,4,0),0)</f>
        <v>0</v>
      </c>
      <c r="C2334" s="125">
        <f>+IFERROR(VLOOKUP(L2334,'TB mapping'!A:C,3,0),0)</f>
        <v>0</v>
      </c>
      <c r="D2334" s="125" t="str">
        <f t="shared" si="238"/>
        <v>LIC860</v>
      </c>
      <c r="E2334" s="125" t="str">
        <f t="shared" si="239"/>
        <v>LIC860</v>
      </c>
      <c r="F2334" s="158" t="str">
        <f>+VLOOKUP(H2334,'code mapping'!A:C,3,0)</f>
        <v>LIC86</v>
      </c>
      <c r="G2334" s="127" t="s">
        <v>453</v>
      </c>
      <c r="H2334" s="127" t="s">
        <v>764</v>
      </c>
      <c r="I2334" s="127" t="s">
        <v>765</v>
      </c>
      <c r="J2334" s="128">
        <v>212000</v>
      </c>
      <c r="K2334" s="127" t="s">
        <v>487</v>
      </c>
      <c r="L2334" s="151">
        <v>212114</v>
      </c>
      <c r="M2334" s="128">
        <v>0</v>
      </c>
      <c r="N2334" s="127" t="s">
        <v>492</v>
      </c>
      <c r="O2334" s="127" t="s">
        <v>457</v>
      </c>
      <c r="P2334" s="128">
        <v>0</v>
      </c>
      <c r="Q2334" s="128">
        <v>577.31000000000006</v>
      </c>
      <c r="R2334" s="128">
        <v>0</v>
      </c>
      <c r="S2334" s="128">
        <v>0</v>
      </c>
      <c r="T2334" s="128">
        <v>0</v>
      </c>
      <c r="U2334" s="128">
        <v>577.31000000000006</v>
      </c>
      <c r="V2334" s="128">
        <v>0</v>
      </c>
      <c r="W2334" s="128">
        <v>577.31000000000006</v>
      </c>
      <c r="X2334" s="128">
        <v>0</v>
      </c>
      <c r="Y2334" s="128">
        <v>0</v>
      </c>
      <c r="Z2334" s="128">
        <v>0</v>
      </c>
      <c r="AA2334" s="128">
        <v>577.31000000000006</v>
      </c>
      <c r="AB2334" s="126">
        <f t="shared" si="240"/>
        <v>-5.7731000000000007E-5</v>
      </c>
      <c r="AC2334" s="122" t="s">
        <v>1838</v>
      </c>
      <c r="AD2334" s="123">
        <f t="shared" si="242"/>
        <v>1983.9723217250009</v>
      </c>
    </row>
    <row r="2335" spans="1:30" ht="12.75" hidden="1" customHeight="1">
      <c r="A2335" s="125" t="str">
        <f t="shared" si="237"/>
        <v>LIC86Redemption Payable Ct</v>
      </c>
      <c r="B2335" s="125">
        <f>+IFERROR(VLOOKUP(L2335,'TB mapping'!A:D,4,0),0)</f>
        <v>0</v>
      </c>
      <c r="C2335" s="125">
        <f>+IFERROR(VLOOKUP(L2335,'TB mapping'!A:C,3,0),0)</f>
        <v>0</v>
      </c>
      <c r="D2335" s="125" t="str">
        <f t="shared" si="238"/>
        <v>LIC860</v>
      </c>
      <c r="E2335" s="125" t="str">
        <f t="shared" si="239"/>
        <v>LIC860</v>
      </c>
      <c r="F2335" s="158" t="str">
        <f>+VLOOKUP(H2335,'code mapping'!A:C,3,0)</f>
        <v>LIC86</v>
      </c>
      <c r="G2335" s="127" t="s">
        <v>453</v>
      </c>
      <c r="H2335" s="127" t="s">
        <v>764</v>
      </c>
      <c r="I2335" s="127" t="s">
        <v>765</v>
      </c>
      <c r="J2335" s="128">
        <v>212000</v>
      </c>
      <c r="K2335" s="127" t="s">
        <v>487</v>
      </c>
      <c r="L2335" s="151">
        <v>212121</v>
      </c>
      <c r="M2335" s="128">
        <v>0</v>
      </c>
      <c r="N2335" s="127" t="s">
        <v>493</v>
      </c>
      <c r="O2335" s="127" t="s">
        <v>457</v>
      </c>
      <c r="P2335" s="128">
        <v>0</v>
      </c>
      <c r="Q2335" s="128">
        <v>379893.04</v>
      </c>
      <c r="R2335" s="128">
        <v>0</v>
      </c>
      <c r="S2335" s="128">
        <v>0</v>
      </c>
      <c r="T2335" s="128">
        <v>0</v>
      </c>
      <c r="U2335" s="128">
        <v>379893.04</v>
      </c>
      <c r="V2335" s="128">
        <v>0</v>
      </c>
      <c r="W2335" s="128">
        <v>379893.04</v>
      </c>
      <c r="X2335" s="128">
        <v>0</v>
      </c>
      <c r="Y2335" s="128">
        <v>0</v>
      </c>
      <c r="Z2335" s="128">
        <v>0</v>
      </c>
      <c r="AA2335" s="128">
        <v>379893.04</v>
      </c>
      <c r="AB2335" s="126">
        <f t="shared" si="240"/>
        <v>-3.7989303999999995E-2</v>
      </c>
      <c r="AC2335" s="122" t="s">
        <v>1838</v>
      </c>
      <c r="AD2335" s="123">
        <f t="shared" si="242"/>
        <v>1983.9723217250009</v>
      </c>
    </row>
    <row r="2336" spans="1:30" ht="12.75" hidden="1" customHeight="1">
      <c r="A2336" s="125" t="str">
        <f t="shared" si="237"/>
        <v>LIC86Switch Out Payable Ct</v>
      </c>
      <c r="B2336" s="125">
        <f>+IFERROR(VLOOKUP(L2336,'TB mapping'!A:D,4,0),0)</f>
        <v>0</v>
      </c>
      <c r="C2336" s="125">
        <f>+IFERROR(VLOOKUP(L2336,'TB mapping'!A:C,3,0),0)</f>
        <v>0</v>
      </c>
      <c r="D2336" s="125" t="str">
        <f t="shared" si="238"/>
        <v>LIC860</v>
      </c>
      <c r="E2336" s="125" t="str">
        <f t="shared" si="239"/>
        <v>LIC860</v>
      </c>
      <c r="F2336" s="158" t="str">
        <f>+VLOOKUP(H2336,'code mapping'!A:C,3,0)</f>
        <v>LIC86</v>
      </c>
      <c r="G2336" s="127" t="s">
        <v>453</v>
      </c>
      <c r="H2336" s="127" t="s">
        <v>764</v>
      </c>
      <c r="I2336" s="127" t="s">
        <v>765</v>
      </c>
      <c r="J2336" s="128">
        <v>212000</v>
      </c>
      <c r="K2336" s="127" t="s">
        <v>487</v>
      </c>
      <c r="L2336" s="151">
        <v>212124</v>
      </c>
      <c r="M2336" s="128">
        <v>0</v>
      </c>
      <c r="N2336" s="127" t="s">
        <v>494</v>
      </c>
      <c r="O2336" s="127" t="s">
        <v>457</v>
      </c>
      <c r="P2336" s="128">
        <v>0</v>
      </c>
      <c r="Q2336" s="128">
        <v>838572.05</v>
      </c>
      <c r="R2336" s="128">
        <v>0</v>
      </c>
      <c r="S2336" s="128">
        <v>0</v>
      </c>
      <c r="T2336" s="128">
        <v>0</v>
      </c>
      <c r="U2336" s="128">
        <v>838572.05</v>
      </c>
      <c r="V2336" s="128">
        <v>0</v>
      </c>
      <c r="W2336" s="128">
        <v>838572.05</v>
      </c>
      <c r="X2336" s="128">
        <v>0</v>
      </c>
      <c r="Y2336" s="128">
        <v>0</v>
      </c>
      <c r="Z2336" s="128">
        <v>0</v>
      </c>
      <c r="AA2336" s="128">
        <v>838572.05</v>
      </c>
      <c r="AB2336" s="126">
        <f t="shared" si="240"/>
        <v>-8.3857205000000004E-2</v>
      </c>
      <c r="AC2336" s="122" t="s">
        <v>1838</v>
      </c>
      <c r="AD2336" s="123">
        <f t="shared" si="242"/>
        <v>1983.9723217250009</v>
      </c>
    </row>
    <row r="2337" spans="1:30" ht="12.75" hidden="1" customHeight="1">
      <c r="A2337" s="125" t="str">
        <f t="shared" si="237"/>
        <v>LIC86Audit Fee-Payable</v>
      </c>
      <c r="B2337" s="125">
        <f>+IFERROR(VLOOKUP(L2337,'TB mapping'!A:D,4,0),0)</f>
        <v>0</v>
      </c>
      <c r="C2337" s="125">
        <f>+IFERROR(VLOOKUP(L2337,'TB mapping'!A:C,3,0),0)</f>
        <v>0</v>
      </c>
      <c r="D2337" s="125" t="str">
        <f t="shared" si="238"/>
        <v>LIC860</v>
      </c>
      <c r="E2337" s="125" t="str">
        <f t="shared" si="239"/>
        <v>LIC860</v>
      </c>
      <c r="F2337" s="158" t="str">
        <f>+VLOOKUP(H2337,'code mapping'!A:C,3,0)</f>
        <v>LIC86</v>
      </c>
      <c r="G2337" s="127" t="s">
        <v>453</v>
      </c>
      <c r="H2337" s="127" t="s">
        <v>764</v>
      </c>
      <c r="I2337" s="127" t="s">
        <v>765</v>
      </c>
      <c r="J2337" s="128">
        <v>212000</v>
      </c>
      <c r="K2337" s="127" t="s">
        <v>487</v>
      </c>
      <c r="L2337" s="151">
        <v>212194</v>
      </c>
      <c r="M2337" s="128">
        <v>0</v>
      </c>
      <c r="N2337" s="127" t="s">
        <v>496</v>
      </c>
      <c r="O2337" s="127" t="s">
        <v>457</v>
      </c>
      <c r="P2337" s="128">
        <v>-587.01</v>
      </c>
      <c r="Q2337" s="128">
        <v>0</v>
      </c>
      <c r="R2337" s="128">
        <v>0</v>
      </c>
      <c r="S2337" s="128">
        <v>0</v>
      </c>
      <c r="T2337" s="128">
        <v>-587.01</v>
      </c>
      <c r="U2337" s="128">
        <v>0</v>
      </c>
      <c r="V2337" s="128">
        <v>-587.01</v>
      </c>
      <c r="W2337" s="128">
        <v>0</v>
      </c>
      <c r="X2337" s="128">
        <v>0</v>
      </c>
      <c r="Y2337" s="128">
        <v>0</v>
      </c>
      <c r="Z2337" s="128">
        <v>-587.01</v>
      </c>
      <c r="AA2337" s="128">
        <v>0</v>
      </c>
      <c r="AB2337" s="126">
        <f t="shared" si="240"/>
        <v>5.8700999999999999E-5</v>
      </c>
      <c r="AC2337" s="122" t="s">
        <v>1838</v>
      </c>
      <c r="AD2337" s="123">
        <f t="shared" si="242"/>
        <v>1983.9723217250009</v>
      </c>
    </row>
    <row r="2338" spans="1:30" ht="12.75" hidden="1" customHeight="1">
      <c r="A2338" s="125" t="str">
        <f t="shared" si="237"/>
        <v>LIC86Other Exp- Payable</v>
      </c>
      <c r="B2338" s="125">
        <f>+IFERROR(VLOOKUP(L2338,'TB mapping'!A:D,4,0),0)</f>
        <v>0</v>
      </c>
      <c r="C2338" s="125">
        <f>+IFERROR(VLOOKUP(L2338,'TB mapping'!A:C,3,0),0)</f>
        <v>0</v>
      </c>
      <c r="D2338" s="125" t="str">
        <f t="shared" si="238"/>
        <v>LIC860</v>
      </c>
      <c r="E2338" s="125" t="str">
        <f t="shared" si="239"/>
        <v>LIC860</v>
      </c>
      <c r="F2338" s="158" t="str">
        <f>+VLOOKUP(H2338,'code mapping'!A:C,3,0)</f>
        <v>LIC86</v>
      </c>
      <c r="G2338" s="127" t="s">
        <v>453</v>
      </c>
      <c r="H2338" s="127" t="s">
        <v>764</v>
      </c>
      <c r="I2338" s="127" t="s">
        <v>765</v>
      </c>
      <c r="J2338" s="128">
        <v>212000</v>
      </c>
      <c r="K2338" s="127" t="s">
        <v>487</v>
      </c>
      <c r="L2338" s="151">
        <v>212220</v>
      </c>
      <c r="M2338" s="128">
        <v>0</v>
      </c>
      <c r="N2338" s="127" t="s">
        <v>497</v>
      </c>
      <c r="O2338" s="127" t="s">
        <v>457</v>
      </c>
      <c r="P2338" s="128">
        <v>0</v>
      </c>
      <c r="Q2338" s="128">
        <v>681237.12</v>
      </c>
      <c r="R2338" s="128">
        <v>0</v>
      </c>
      <c r="S2338" s="128">
        <v>0</v>
      </c>
      <c r="T2338" s="128">
        <v>0</v>
      </c>
      <c r="U2338" s="128">
        <v>681237.12</v>
      </c>
      <c r="V2338" s="128">
        <v>0</v>
      </c>
      <c r="W2338" s="128">
        <v>681237.12</v>
      </c>
      <c r="X2338" s="128">
        <v>0</v>
      </c>
      <c r="Y2338" s="128">
        <v>0</v>
      </c>
      <c r="Z2338" s="128">
        <v>0</v>
      </c>
      <c r="AA2338" s="128">
        <v>681237.12</v>
      </c>
      <c r="AB2338" s="126">
        <f t="shared" si="240"/>
        <v>-6.8123712000000003E-2</v>
      </c>
      <c r="AC2338" s="122" t="s">
        <v>1838</v>
      </c>
      <c r="AD2338" s="123">
        <f t="shared" si="242"/>
        <v>1983.9723217250009</v>
      </c>
    </row>
    <row r="2339" spans="1:30" ht="12.75" hidden="1" customHeight="1">
      <c r="A2339" s="125" t="str">
        <f t="shared" si="237"/>
        <v>LIC86Expense Allocation-Liab'ity Ac</v>
      </c>
      <c r="B2339" s="125">
        <f>+IFERROR(VLOOKUP(L2339,'TB mapping'!A:D,4,0),0)</f>
        <v>0</v>
      </c>
      <c r="C2339" s="125">
        <f>+IFERROR(VLOOKUP(L2339,'TB mapping'!A:C,3,0),0)</f>
        <v>0</v>
      </c>
      <c r="D2339" s="125" t="str">
        <f t="shared" si="238"/>
        <v>LIC860</v>
      </c>
      <c r="E2339" s="125" t="str">
        <f t="shared" si="239"/>
        <v>LIC860</v>
      </c>
      <c r="F2339" s="158" t="str">
        <f>+VLOOKUP(H2339,'code mapping'!A:C,3,0)</f>
        <v>LIC86</v>
      </c>
      <c r="G2339" s="127" t="s">
        <v>453</v>
      </c>
      <c r="H2339" s="127" t="s">
        <v>764</v>
      </c>
      <c r="I2339" s="127" t="s">
        <v>765</v>
      </c>
      <c r="J2339" s="128">
        <v>212000</v>
      </c>
      <c r="K2339" s="127" t="s">
        <v>487</v>
      </c>
      <c r="L2339" s="151">
        <v>212223</v>
      </c>
      <c r="M2339" s="128">
        <v>0</v>
      </c>
      <c r="N2339" s="127" t="s">
        <v>498</v>
      </c>
      <c r="O2339" s="127" t="s">
        <v>457</v>
      </c>
      <c r="P2339" s="128">
        <v>-436019.4</v>
      </c>
      <c r="Q2339" s="128">
        <v>0</v>
      </c>
      <c r="R2339" s="128">
        <v>0</v>
      </c>
      <c r="S2339" s="128">
        <v>0</v>
      </c>
      <c r="T2339" s="128">
        <v>-436019.4</v>
      </c>
      <c r="U2339" s="128">
        <v>0</v>
      </c>
      <c r="V2339" s="128">
        <v>-436019.4</v>
      </c>
      <c r="W2339" s="128">
        <v>0</v>
      </c>
      <c r="X2339" s="128">
        <v>0</v>
      </c>
      <c r="Y2339" s="128">
        <v>0</v>
      </c>
      <c r="Z2339" s="128">
        <v>-436019.4</v>
      </c>
      <c r="AA2339" s="128">
        <v>0</v>
      </c>
      <c r="AB2339" s="126">
        <f t="shared" si="240"/>
        <v>4.3601940000000006E-2</v>
      </c>
      <c r="AC2339" s="122" t="s">
        <v>1838</v>
      </c>
      <c r="AD2339" s="123">
        <f t="shared" si="242"/>
        <v>1983.9723217250009</v>
      </c>
    </row>
    <row r="2340" spans="1:30" ht="12.75" hidden="1" customHeight="1">
      <c r="A2340" s="125" t="str">
        <f t="shared" si="237"/>
        <v>LIC86Exp- Additional TER Payable</v>
      </c>
      <c r="B2340" s="125">
        <f>+IFERROR(VLOOKUP(L2340,'TB mapping'!A:D,4,0),0)</f>
        <v>0</v>
      </c>
      <c r="C2340" s="125">
        <f>+IFERROR(VLOOKUP(L2340,'TB mapping'!A:C,3,0),0)</f>
        <v>0</v>
      </c>
      <c r="D2340" s="125" t="str">
        <f t="shared" si="238"/>
        <v>LIC860</v>
      </c>
      <c r="E2340" s="125" t="str">
        <f t="shared" si="239"/>
        <v>LIC860</v>
      </c>
      <c r="F2340" s="158" t="str">
        <f>+VLOOKUP(H2340,'code mapping'!A:C,3,0)</f>
        <v>LIC86</v>
      </c>
      <c r="G2340" s="127" t="s">
        <v>453</v>
      </c>
      <c r="H2340" s="127" t="s">
        <v>764</v>
      </c>
      <c r="I2340" s="127" t="s">
        <v>765</v>
      </c>
      <c r="J2340" s="128">
        <v>212000</v>
      </c>
      <c r="K2340" s="127" t="s">
        <v>487</v>
      </c>
      <c r="L2340" s="151">
        <v>212227</v>
      </c>
      <c r="M2340" s="128">
        <v>0</v>
      </c>
      <c r="N2340" s="127" t="s">
        <v>627</v>
      </c>
      <c r="O2340" s="127" t="s">
        <v>457</v>
      </c>
      <c r="P2340" s="128">
        <v>-530935.26</v>
      </c>
      <c r="Q2340" s="128">
        <v>0</v>
      </c>
      <c r="R2340" s="128">
        <v>0</v>
      </c>
      <c r="S2340" s="128">
        <v>0</v>
      </c>
      <c r="T2340" s="128">
        <v>-530935.26</v>
      </c>
      <c r="U2340" s="128">
        <v>0</v>
      </c>
      <c r="V2340" s="128">
        <v>-530935.26</v>
      </c>
      <c r="W2340" s="128">
        <v>0</v>
      </c>
      <c r="X2340" s="128">
        <v>0</v>
      </c>
      <c r="Y2340" s="128">
        <v>0</v>
      </c>
      <c r="Z2340" s="128">
        <v>-530935.26</v>
      </c>
      <c r="AA2340" s="128">
        <v>0</v>
      </c>
      <c r="AB2340" s="126">
        <f t="shared" si="240"/>
        <v>5.3093526000000002E-2</v>
      </c>
      <c r="AC2340" s="122" t="s">
        <v>1838</v>
      </c>
      <c r="AD2340" s="123">
        <f t="shared" si="242"/>
        <v>1983.9723217250009</v>
      </c>
    </row>
    <row r="2341" spans="1:30" ht="12.75" hidden="1" customHeight="1">
      <c r="A2341" s="125" t="str">
        <f t="shared" si="237"/>
        <v>LIC86STT Payable</v>
      </c>
      <c r="B2341" s="125">
        <f>+IFERROR(VLOOKUP(L2341,'TB mapping'!A:D,4,0),0)</f>
        <v>0</v>
      </c>
      <c r="C2341" s="125">
        <f>+IFERROR(VLOOKUP(L2341,'TB mapping'!A:C,3,0),0)</f>
        <v>0</v>
      </c>
      <c r="D2341" s="125" t="str">
        <f t="shared" si="238"/>
        <v>LIC860</v>
      </c>
      <c r="E2341" s="125" t="str">
        <f t="shared" si="239"/>
        <v>LIC860</v>
      </c>
      <c r="F2341" s="158" t="str">
        <f>+VLOOKUP(H2341,'code mapping'!A:C,3,0)</f>
        <v>LIC86</v>
      </c>
      <c r="G2341" s="127" t="s">
        <v>453</v>
      </c>
      <c r="H2341" s="127" t="s">
        <v>764</v>
      </c>
      <c r="I2341" s="127" t="s">
        <v>765</v>
      </c>
      <c r="J2341" s="128">
        <v>212000</v>
      </c>
      <c r="K2341" s="127" t="s">
        <v>487</v>
      </c>
      <c r="L2341" s="151">
        <v>212231</v>
      </c>
      <c r="M2341" s="128">
        <v>0</v>
      </c>
      <c r="N2341" s="127" t="s">
        <v>748</v>
      </c>
      <c r="O2341" s="127" t="s">
        <v>457</v>
      </c>
      <c r="P2341" s="128">
        <v>0</v>
      </c>
      <c r="Q2341" s="128">
        <v>174</v>
      </c>
      <c r="R2341" s="128">
        <v>0</v>
      </c>
      <c r="S2341" s="128">
        <v>0</v>
      </c>
      <c r="T2341" s="128">
        <v>0</v>
      </c>
      <c r="U2341" s="128">
        <v>174</v>
      </c>
      <c r="V2341" s="128">
        <v>0</v>
      </c>
      <c r="W2341" s="128">
        <v>174</v>
      </c>
      <c r="X2341" s="128">
        <v>0</v>
      </c>
      <c r="Y2341" s="128">
        <v>0</v>
      </c>
      <c r="Z2341" s="128">
        <v>0</v>
      </c>
      <c r="AA2341" s="128">
        <v>174</v>
      </c>
      <c r="AB2341" s="126">
        <f t="shared" si="240"/>
        <v>-1.7399999999999999E-5</v>
      </c>
      <c r="AC2341" s="122" t="s">
        <v>1838</v>
      </c>
      <c r="AD2341" s="123">
        <f t="shared" si="242"/>
        <v>1983.9723217250009</v>
      </c>
    </row>
    <row r="2342" spans="1:30" ht="12.75" hidden="1" customHeight="1">
      <c r="A2342" s="125" t="str">
        <f t="shared" si="237"/>
        <v>LIC86Investor Education Payable</v>
      </c>
      <c r="B2342" s="125">
        <f>+IFERROR(VLOOKUP(L2342,'TB mapping'!A:D,4,0),0)</f>
        <v>0</v>
      </c>
      <c r="C2342" s="125">
        <f>+IFERROR(VLOOKUP(L2342,'TB mapping'!A:C,3,0),0)</f>
        <v>0</v>
      </c>
      <c r="D2342" s="125" t="str">
        <f t="shared" si="238"/>
        <v>LIC860</v>
      </c>
      <c r="E2342" s="125" t="str">
        <f t="shared" si="239"/>
        <v>LIC860</v>
      </c>
      <c r="F2342" s="158" t="str">
        <f>+VLOOKUP(H2342,'code mapping'!A:C,3,0)</f>
        <v>LIC86</v>
      </c>
      <c r="G2342" s="127" t="s">
        <v>453</v>
      </c>
      <c r="H2342" s="127" t="s">
        <v>764</v>
      </c>
      <c r="I2342" s="127" t="s">
        <v>765</v>
      </c>
      <c r="J2342" s="128">
        <v>212000</v>
      </c>
      <c r="K2342" s="127" t="s">
        <v>487</v>
      </c>
      <c r="L2342" s="151">
        <v>212240</v>
      </c>
      <c r="M2342" s="128">
        <v>0</v>
      </c>
      <c r="N2342" s="127" t="s">
        <v>500</v>
      </c>
      <c r="O2342" s="127" t="s">
        <v>457</v>
      </c>
      <c r="P2342" s="128">
        <v>0</v>
      </c>
      <c r="Q2342" s="128">
        <v>5960.55</v>
      </c>
      <c r="R2342" s="128">
        <v>0</v>
      </c>
      <c r="S2342" s="128">
        <v>0</v>
      </c>
      <c r="T2342" s="128">
        <v>0</v>
      </c>
      <c r="U2342" s="128">
        <v>5960.55</v>
      </c>
      <c r="V2342" s="128">
        <v>0</v>
      </c>
      <c r="W2342" s="128">
        <v>5960.55</v>
      </c>
      <c r="X2342" s="128">
        <v>0</v>
      </c>
      <c r="Y2342" s="128">
        <v>0</v>
      </c>
      <c r="Z2342" s="128">
        <v>0</v>
      </c>
      <c r="AA2342" s="128">
        <v>5960.55</v>
      </c>
      <c r="AB2342" s="126">
        <f t="shared" si="240"/>
        <v>-5.9605500000000007E-4</v>
      </c>
      <c r="AC2342" s="122" t="s">
        <v>1838</v>
      </c>
      <c r="AD2342" s="123">
        <f t="shared" si="242"/>
        <v>1983.9723217250009</v>
      </c>
    </row>
    <row r="2343" spans="1:30" ht="12.75" hidden="1" customHeight="1">
      <c r="A2343" s="125" t="str">
        <f t="shared" si="237"/>
        <v>LIC86Transaction Charges Payable</v>
      </c>
      <c r="B2343" s="125">
        <f>+IFERROR(VLOOKUP(L2343,'TB mapping'!A:D,4,0),0)</f>
        <v>0</v>
      </c>
      <c r="C2343" s="125">
        <f>+IFERROR(VLOOKUP(L2343,'TB mapping'!A:C,3,0),0)</f>
        <v>0</v>
      </c>
      <c r="D2343" s="125" t="str">
        <f t="shared" si="238"/>
        <v>LIC860</v>
      </c>
      <c r="E2343" s="125" t="str">
        <f t="shared" si="239"/>
        <v>LIC860</v>
      </c>
      <c r="F2343" s="158" t="str">
        <f>+VLOOKUP(H2343,'code mapping'!A:C,3,0)</f>
        <v>LIC86</v>
      </c>
      <c r="G2343" s="127" t="s">
        <v>453</v>
      </c>
      <c r="H2343" s="127" t="s">
        <v>764</v>
      </c>
      <c r="I2343" s="127" t="s">
        <v>765</v>
      </c>
      <c r="J2343" s="128">
        <v>212000</v>
      </c>
      <c r="K2343" s="127" t="s">
        <v>487</v>
      </c>
      <c r="L2343" s="151">
        <v>212247</v>
      </c>
      <c r="M2343" s="128">
        <v>0</v>
      </c>
      <c r="N2343" s="127" t="s">
        <v>501</v>
      </c>
      <c r="O2343" s="127" t="s">
        <v>457</v>
      </c>
      <c r="P2343" s="128">
        <v>0</v>
      </c>
      <c r="Q2343" s="128">
        <v>1862.5</v>
      </c>
      <c r="R2343" s="128">
        <v>0</v>
      </c>
      <c r="S2343" s="128">
        <v>0</v>
      </c>
      <c r="T2343" s="128">
        <v>0</v>
      </c>
      <c r="U2343" s="128">
        <v>1862.5</v>
      </c>
      <c r="V2343" s="128">
        <v>0</v>
      </c>
      <c r="W2343" s="128">
        <v>1862.5</v>
      </c>
      <c r="X2343" s="128">
        <v>0</v>
      </c>
      <c r="Y2343" s="128">
        <v>0</v>
      </c>
      <c r="Z2343" s="128">
        <v>0</v>
      </c>
      <c r="AA2343" s="128">
        <v>1862.5</v>
      </c>
      <c r="AB2343" s="126">
        <f t="shared" si="240"/>
        <v>-1.8625E-4</v>
      </c>
      <c r="AC2343" s="122" t="s">
        <v>1838</v>
      </c>
      <c r="AD2343" s="123">
        <f t="shared" si="242"/>
        <v>1983.9723217250009</v>
      </c>
    </row>
    <row r="2344" spans="1:30" ht="12.75" hidden="1" customHeight="1">
      <c r="A2344" s="125" t="str">
        <f t="shared" si="237"/>
        <v>LIC86Brokerage &amp; Dist Exp Payable</v>
      </c>
      <c r="B2344" s="125">
        <f>+IFERROR(VLOOKUP(L2344,'TB mapping'!A:D,4,0),0)</f>
        <v>0</v>
      </c>
      <c r="C2344" s="125">
        <f>+IFERROR(VLOOKUP(L2344,'TB mapping'!A:C,3,0),0)</f>
        <v>0</v>
      </c>
      <c r="D2344" s="125" t="str">
        <f t="shared" si="238"/>
        <v>LIC860</v>
      </c>
      <c r="E2344" s="125" t="str">
        <f t="shared" si="239"/>
        <v>LIC860</v>
      </c>
      <c r="F2344" s="158" t="str">
        <f>+VLOOKUP(H2344,'code mapping'!A:C,3,0)</f>
        <v>LIC86</v>
      </c>
      <c r="G2344" s="127" t="s">
        <v>453</v>
      </c>
      <c r="H2344" s="127" t="s">
        <v>764</v>
      </c>
      <c r="I2344" s="127" t="s">
        <v>765</v>
      </c>
      <c r="J2344" s="128">
        <v>212000</v>
      </c>
      <c r="K2344" s="127" t="s">
        <v>487</v>
      </c>
      <c r="L2344" s="151">
        <v>212255</v>
      </c>
      <c r="M2344" s="128">
        <v>0</v>
      </c>
      <c r="N2344" s="127" t="s">
        <v>503</v>
      </c>
      <c r="O2344" s="127" t="s">
        <v>457</v>
      </c>
      <c r="P2344" s="128">
        <v>0</v>
      </c>
      <c r="Q2344" s="128">
        <v>2271342.4500000002</v>
      </c>
      <c r="R2344" s="128">
        <v>0</v>
      </c>
      <c r="S2344" s="128">
        <v>0</v>
      </c>
      <c r="T2344" s="128">
        <v>0</v>
      </c>
      <c r="U2344" s="128">
        <v>2271342.4500000002</v>
      </c>
      <c r="V2344" s="128">
        <v>0</v>
      </c>
      <c r="W2344" s="128">
        <v>2271342.4500000002</v>
      </c>
      <c r="X2344" s="128">
        <v>0</v>
      </c>
      <c r="Y2344" s="128">
        <v>0</v>
      </c>
      <c r="Z2344" s="128">
        <v>0</v>
      </c>
      <c r="AA2344" s="128">
        <v>2271342.4500000002</v>
      </c>
      <c r="AB2344" s="126">
        <f t="shared" si="240"/>
        <v>-0.22713424500000001</v>
      </c>
      <c r="AC2344" s="122" t="s">
        <v>1838</v>
      </c>
      <c r="AD2344" s="123">
        <f t="shared" si="242"/>
        <v>1983.9723217250009</v>
      </c>
    </row>
    <row r="2345" spans="1:30" ht="12.75" hidden="1" customHeight="1">
      <c r="A2345" s="125" t="str">
        <f t="shared" si="237"/>
        <v>LIC86Upfront Brk &amp; Trail Paid-Liab</v>
      </c>
      <c r="B2345" s="125">
        <f>+IFERROR(VLOOKUP(L2345,'TB mapping'!A:D,4,0),0)</f>
        <v>0</v>
      </c>
      <c r="C2345" s="125">
        <f>+IFERROR(VLOOKUP(L2345,'TB mapping'!A:C,3,0),0)</f>
        <v>0</v>
      </c>
      <c r="D2345" s="125" t="str">
        <f t="shared" si="238"/>
        <v>LIC860</v>
      </c>
      <c r="E2345" s="125" t="str">
        <f t="shared" si="239"/>
        <v>LIC860</v>
      </c>
      <c r="F2345" s="158" t="str">
        <f>+VLOOKUP(H2345,'code mapping'!A:C,3,0)</f>
        <v>LIC86</v>
      </c>
      <c r="G2345" s="127" t="s">
        <v>453</v>
      </c>
      <c r="H2345" s="127" t="s">
        <v>764</v>
      </c>
      <c r="I2345" s="127" t="s">
        <v>765</v>
      </c>
      <c r="J2345" s="128">
        <v>212000</v>
      </c>
      <c r="K2345" s="127" t="s">
        <v>487</v>
      </c>
      <c r="L2345" s="151">
        <v>212257</v>
      </c>
      <c r="M2345" s="128">
        <v>0</v>
      </c>
      <c r="N2345" s="127" t="s">
        <v>504</v>
      </c>
      <c r="O2345" s="127" t="s">
        <v>457</v>
      </c>
      <c r="P2345" s="128">
        <v>0</v>
      </c>
      <c r="Q2345" s="128">
        <v>16386.37</v>
      </c>
      <c r="R2345" s="128">
        <v>0</v>
      </c>
      <c r="S2345" s="128">
        <v>0</v>
      </c>
      <c r="T2345" s="128">
        <v>0</v>
      </c>
      <c r="U2345" s="128">
        <v>16386.37</v>
      </c>
      <c r="V2345" s="128">
        <v>0</v>
      </c>
      <c r="W2345" s="128">
        <v>16386.37</v>
      </c>
      <c r="X2345" s="128">
        <v>0</v>
      </c>
      <c r="Y2345" s="128">
        <v>0</v>
      </c>
      <c r="Z2345" s="128">
        <v>0</v>
      </c>
      <c r="AA2345" s="128">
        <v>16386.37</v>
      </c>
      <c r="AB2345" s="126">
        <f t="shared" si="240"/>
        <v>-1.6386369999999999E-3</v>
      </c>
      <c r="AC2345" s="122" t="s">
        <v>1838</v>
      </c>
      <c r="AD2345" s="123">
        <f t="shared" si="242"/>
        <v>1983.9723217250009</v>
      </c>
    </row>
    <row r="2346" spans="1:30" ht="12.75" hidden="1" customHeight="1">
      <c r="A2346" s="125" t="str">
        <f t="shared" si="237"/>
        <v>LIC86Payable CGST on Mfees</v>
      </c>
      <c r="B2346" s="125">
        <f>+IFERROR(VLOOKUP(L2346,'TB mapping'!A:D,4,0),0)</f>
        <v>0</v>
      </c>
      <c r="C2346" s="125">
        <f>+IFERROR(VLOOKUP(L2346,'TB mapping'!A:C,3,0),0)</f>
        <v>0</v>
      </c>
      <c r="D2346" s="125" t="str">
        <f t="shared" si="238"/>
        <v>LIC860</v>
      </c>
      <c r="E2346" s="125" t="str">
        <f t="shared" si="239"/>
        <v>LIC860</v>
      </c>
      <c r="F2346" s="158" t="str">
        <f>+VLOOKUP(H2346,'code mapping'!A:C,3,0)</f>
        <v>LIC86</v>
      </c>
      <c r="G2346" s="127" t="s">
        <v>453</v>
      </c>
      <c r="H2346" s="127" t="s">
        <v>764</v>
      </c>
      <c r="I2346" s="127" t="s">
        <v>765</v>
      </c>
      <c r="J2346" s="128">
        <v>212000</v>
      </c>
      <c r="K2346" s="127" t="s">
        <v>487</v>
      </c>
      <c r="L2346" s="151">
        <v>212271</v>
      </c>
      <c r="M2346" s="128">
        <v>0</v>
      </c>
      <c r="N2346" s="127" t="s">
        <v>505</v>
      </c>
      <c r="O2346" s="127" t="s">
        <v>457</v>
      </c>
      <c r="P2346" s="128">
        <v>0</v>
      </c>
      <c r="Q2346" s="128">
        <v>11879.91</v>
      </c>
      <c r="R2346" s="128">
        <v>0</v>
      </c>
      <c r="S2346" s="128">
        <v>0</v>
      </c>
      <c r="T2346" s="128">
        <v>0</v>
      </c>
      <c r="U2346" s="128">
        <v>11879.91</v>
      </c>
      <c r="V2346" s="128">
        <v>0</v>
      </c>
      <c r="W2346" s="128">
        <v>11879.91</v>
      </c>
      <c r="X2346" s="128">
        <v>0</v>
      </c>
      <c r="Y2346" s="128">
        <v>0</v>
      </c>
      <c r="Z2346" s="128">
        <v>0</v>
      </c>
      <c r="AA2346" s="128">
        <v>11879.91</v>
      </c>
      <c r="AB2346" s="126">
        <f t="shared" si="240"/>
        <v>-1.187991E-3</v>
      </c>
      <c r="AC2346" s="122" t="s">
        <v>1838</v>
      </c>
      <c r="AD2346" s="123">
        <f t="shared" si="242"/>
        <v>1983.9723217250009</v>
      </c>
    </row>
    <row r="2347" spans="1:30" ht="12.75" hidden="1" customHeight="1">
      <c r="A2347" s="125" t="str">
        <f t="shared" si="237"/>
        <v>LIC86Payable SGST on Mfees</v>
      </c>
      <c r="B2347" s="125">
        <f>+IFERROR(VLOOKUP(L2347,'TB mapping'!A:D,4,0),0)</f>
        <v>0</v>
      </c>
      <c r="C2347" s="125">
        <f>+IFERROR(VLOOKUP(L2347,'TB mapping'!A:C,3,0),0)</f>
        <v>0</v>
      </c>
      <c r="D2347" s="125" t="str">
        <f t="shared" si="238"/>
        <v>LIC860</v>
      </c>
      <c r="E2347" s="125" t="str">
        <f t="shared" si="239"/>
        <v>LIC860</v>
      </c>
      <c r="F2347" s="158" t="str">
        <f>+VLOOKUP(H2347,'code mapping'!A:C,3,0)</f>
        <v>LIC86</v>
      </c>
      <c r="G2347" s="127" t="s">
        <v>453</v>
      </c>
      <c r="H2347" s="127" t="s">
        <v>764</v>
      </c>
      <c r="I2347" s="127" t="s">
        <v>765</v>
      </c>
      <c r="J2347" s="128">
        <v>212000</v>
      </c>
      <c r="K2347" s="127" t="s">
        <v>487</v>
      </c>
      <c r="L2347" s="151">
        <v>212272</v>
      </c>
      <c r="M2347" s="128">
        <v>0</v>
      </c>
      <c r="N2347" s="127" t="s">
        <v>506</v>
      </c>
      <c r="O2347" s="127" t="s">
        <v>457</v>
      </c>
      <c r="P2347" s="128">
        <v>0</v>
      </c>
      <c r="Q2347" s="128">
        <v>11879.91</v>
      </c>
      <c r="R2347" s="128">
        <v>0</v>
      </c>
      <c r="S2347" s="128">
        <v>0</v>
      </c>
      <c r="T2347" s="128">
        <v>0</v>
      </c>
      <c r="U2347" s="128">
        <v>11879.91</v>
      </c>
      <c r="V2347" s="128">
        <v>0</v>
      </c>
      <c r="W2347" s="128">
        <v>11879.91</v>
      </c>
      <c r="X2347" s="128">
        <v>0</v>
      </c>
      <c r="Y2347" s="128">
        <v>0</v>
      </c>
      <c r="Z2347" s="128">
        <v>0</v>
      </c>
      <c r="AA2347" s="128">
        <v>11879.91</v>
      </c>
      <c r="AB2347" s="126">
        <f t="shared" si="240"/>
        <v>-1.187991E-3</v>
      </c>
      <c r="AC2347" s="122" t="s">
        <v>1838</v>
      </c>
      <c r="AD2347" s="123">
        <f t="shared" si="242"/>
        <v>1983.9723217250009</v>
      </c>
    </row>
    <row r="2348" spans="1:30" ht="12.75" hidden="1" customHeight="1">
      <c r="A2348" s="125" t="str">
        <f t="shared" si="237"/>
        <v>LIC86Payable -Inv Educ Fund-AMFI</v>
      </c>
      <c r="B2348" s="125">
        <f>+IFERROR(VLOOKUP(L2348,'TB mapping'!A:D,4,0),0)</f>
        <v>0</v>
      </c>
      <c r="C2348" s="125">
        <f>+IFERROR(VLOOKUP(L2348,'TB mapping'!A:C,3,0),0)</f>
        <v>0</v>
      </c>
      <c r="D2348" s="125" t="str">
        <f t="shared" si="238"/>
        <v>LIC860</v>
      </c>
      <c r="E2348" s="125" t="str">
        <f t="shared" si="239"/>
        <v>LIC860</v>
      </c>
      <c r="F2348" s="158" t="str">
        <f>+VLOOKUP(H2348,'code mapping'!A:C,3,0)</f>
        <v>LIC86</v>
      </c>
      <c r="G2348" s="127" t="s">
        <v>453</v>
      </c>
      <c r="H2348" s="127" t="s">
        <v>764</v>
      </c>
      <c r="I2348" s="127" t="s">
        <v>765</v>
      </c>
      <c r="J2348" s="128">
        <v>212000</v>
      </c>
      <c r="K2348" s="127" t="s">
        <v>487</v>
      </c>
      <c r="L2348" s="151">
        <v>213166</v>
      </c>
      <c r="M2348" s="128">
        <v>0</v>
      </c>
      <c r="N2348" s="127" t="s">
        <v>507</v>
      </c>
      <c r="O2348" s="127" t="s">
        <v>457</v>
      </c>
      <c r="P2348" s="128">
        <v>0</v>
      </c>
      <c r="Q2348" s="128">
        <v>5960.55</v>
      </c>
      <c r="R2348" s="128">
        <v>0</v>
      </c>
      <c r="S2348" s="128">
        <v>0</v>
      </c>
      <c r="T2348" s="128">
        <v>0</v>
      </c>
      <c r="U2348" s="128">
        <v>5960.55</v>
      </c>
      <c r="V2348" s="128">
        <v>0</v>
      </c>
      <c r="W2348" s="128">
        <v>5960.55</v>
      </c>
      <c r="X2348" s="128">
        <v>0</v>
      </c>
      <c r="Y2348" s="128">
        <v>0</v>
      </c>
      <c r="Z2348" s="128">
        <v>0</v>
      </c>
      <c r="AA2348" s="128">
        <v>5960.55</v>
      </c>
      <c r="AB2348" s="126">
        <f t="shared" si="240"/>
        <v>-5.9605500000000007E-4</v>
      </c>
      <c r="AC2348" s="122" t="s">
        <v>1838</v>
      </c>
      <c r="AD2348" s="123">
        <f t="shared" si="242"/>
        <v>1983.9723217250009</v>
      </c>
    </row>
    <row r="2349" spans="1:30" ht="12.75" hidden="1" customHeight="1">
      <c r="A2349" s="125" t="str">
        <f t="shared" si="237"/>
        <v>LIC86Management Fee Payable</v>
      </c>
      <c r="B2349" s="125">
        <f>+IFERROR(VLOOKUP(L2349,'TB mapping'!A:D,4,0),0)</f>
        <v>0</v>
      </c>
      <c r="C2349" s="125">
        <f>+IFERROR(VLOOKUP(L2349,'TB mapping'!A:C,3,0),0)</f>
        <v>0</v>
      </c>
      <c r="D2349" s="125" t="str">
        <f t="shared" si="238"/>
        <v>LIC860</v>
      </c>
      <c r="E2349" s="125" t="str">
        <f t="shared" si="239"/>
        <v>LIC860</v>
      </c>
      <c r="F2349" s="158" t="str">
        <f>+VLOOKUP(H2349,'code mapping'!A:C,3,0)</f>
        <v>LIC86</v>
      </c>
      <c r="G2349" s="127" t="s">
        <v>453</v>
      </c>
      <c r="H2349" s="127" t="s">
        <v>764</v>
      </c>
      <c r="I2349" s="127" t="s">
        <v>765</v>
      </c>
      <c r="J2349" s="128">
        <v>213000</v>
      </c>
      <c r="K2349" s="127" t="s">
        <v>508</v>
      </c>
      <c r="L2349" s="151">
        <v>213500</v>
      </c>
      <c r="M2349" s="128">
        <v>0</v>
      </c>
      <c r="N2349" s="127" t="s">
        <v>509</v>
      </c>
      <c r="O2349" s="127" t="s">
        <v>457</v>
      </c>
      <c r="P2349" s="128">
        <v>0</v>
      </c>
      <c r="Q2349" s="128">
        <v>131982.57</v>
      </c>
      <c r="R2349" s="128">
        <v>0</v>
      </c>
      <c r="S2349" s="128">
        <v>0</v>
      </c>
      <c r="T2349" s="128">
        <v>0</v>
      </c>
      <c r="U2349" s="128">
        <v>131982.57</v>
      </c>
      <c r="V2349" s="128">
        <v>0</v>
      </c>
      <c r="W2349" s="128">
        <v>131982.57</v>
      </c>
      <c r="X2349" s="128">
        <v>0</v>
      </c>
      <c r="Y2349" s="128">
        <v>0</v>
      </c>
      <c r="Z2349" s="128">
        <v>0</v>
      </c>
      <c r="AA2349" s="128">
        <v>131982.57</v>
      </c>
      <c r="AB2349" s="126">
        <f t="shared" si="240"/>
        <v>-1.3198257000000001E-2</v>
      </c>
      <c r="AC2349" s="122" t="s">
        <v>1838</v>
      </c>
      <c r="AD2349" s="123">
        <f t="shared" si="242"/>
        <v>1983.9723217250009</v>
      </c>
    </row>
    <row r="2350" spans="1:30" ht="12.75" hidden="1" customHeight="1">
      <c r="A2350" s="125" t="str">
        <f t="shared" si="237"/>
        <v>LIC86Other Adjustment A/c.</v>
      </c>
      <c r="B2350" s="125">
        <f>+IFERROR(VLOOKUP(L2350,'TB mapping'!A:D,4,0),0)</f>
        <v>0</v>
      </c>
      <c r="C2350" s="125">
        <f>+IFERROR(VLOOKUP(L2350,'TB mapping'!A:C,3,0),0)</f>
        <v>0</v>
      </c>
      <c r="D2350" s="125" t="str">
        <f t="shared" si="238"/>
        <v>LIC860</v>
      </c>
      <c r="E2350" s="125" t="str">
        <f t="shared" si="239"/>
        <v>LIC860</v>
      </c>
      <c r="F2350" s="158" t="str">
        <f>+VLOOKUP(H2350,'code mapping'!A:C,3,0)</f>
        <v>LIC86</v>
      </c>
      <c r="G2350" s="127" t="s">
        <v>453</v>
      </c>
      <c r="H2350" s="127" t="s">
        <v>764</v>
      </c>
      <c r="I2350" s="127" t="s">
        <v>765</v>
      </c>
      <c r="J2350" s="128">
        <v>220000</v>
      </c>
      <c r="K2350" s="127" t="s">
        <v>510</v>
      </c>
      <c r="L2350" s="151">
        <v>190000</v>
      </c>
      <c r="M2350" s="128">
        <v>0</v>
      </c>
      <c r="N2350" s="127" t="s">
        <v>511</v>
      </c>
      <c r="O2350" s="127" t="s">
        <v>457</v>
      </c>
      <c r="P2350" s="128">
        <v>-1.49</v>
      </c>
      <c r="Q2350" s="128">
        <v>0</v>
      </c>
      <c r="R2350" s="128">
        <v>0</v>
      </c>
      <c r="S2350" s="128">
        <v>0</v>
      </c>
      <c r="T2350" s="128">
        <v>-1.49</v>
      </c>
      <c r="U2350" s="128">
        <v>0</v>
      </c>
      <c r="V2350" s="128">
        <v>-1.49</v>
      </c>
      <c r="W2350" s="128">
        <v>0</v>
      </c>
      <c r="X2350" s="128">
        <v>0</v>
      </c>
      <c r="Y2350" s="128">
        <v>0</v>
      </c>
      <c r="Z2350" s="128">
        <v>-1.49</v>
      </c>
      <c r="AA2350" s="128">
        <v>0</v>
      </c>
      <c r="AB2350" s="126">
        <f t="shared" si="240"/>
        <v>1.49E-7</v>
      </c>
      <c r="AC2350" s="122" t="s">
        <v>1838</v>
      </c>
      <c r="AD2350" s="123">
        <f t="shared" si="242"/>
        <v>1983.9723217250009</v>
      </c>
    </row>
    <row r="2351" spans="1:30" ht="12.75" hidden="1" customHeight="1">
      <c r="A2351" s="125" t="str">
        <f t="shared" si="237"/>
        <v>LIC86Prov For Withholding Brokerage</v>
      </c>
      <c r="B2351" s="125">
        <f>+IFERROR(VLOOKUP(L2351,'TB mapping'!A:D,4,0),0)</f>
        <v>0</v>
      </c>
      <c r="C2351" s="125">
        <f>+IFERROR(VLOOKUP(L2351,'TB mapping'!A:C,3,0),0)</f>
        <v>0</v>
      </c>
      <c r="D2351" s="125" t="str">
        <f t="shared" si="238"/>
        <v>LIC860</v>
      </c>
      <c r="E2351" s="125" t="str">
        <f t="shared" si="239"/>
        <v>LIC860</v>
      </c>
      <c r="F2351" s="158" t="str">
        <f>+VLOOKUP(H2351,'code mapping'!A:C,3,0)</f>
        <v>LIC86</v>
      </c>
      <c r="G2351" s="127" t="s">
        <v>453</v>
      </c>
      <c r="H2351" s="127" t="s">
        <v>764</v>
      </c>
      <c r="I2351" s="127" t="s">
        <v>765</v>
      </c>
      <c r="J2351" s="128">
        <v>220000</v>
      </c>
      <c r="K2351" s="127" t="s">
        <v>510</v>
      </c>
      <c r="L2351" s="151">
        <v>210162</v>
      </c>
      <c r="M2351" s="128">
        <v>0</v>
      </c>
      <c r="N2351" s="127" t="s">
        <v>512</v>
      </c>
      <c r="O2351" s="127" t="s">
        <v>457</v>
      </c>
      <c r="P2351" s="128">
        <v>0</v>
      </c>
      <c r="Q2351" s="128">
        <v>814122.75</v>
      </c>
      <c r="R2351" s="128">
        <v>0</v>
      </c>
      <c r="S2351" s="128">
        <v>0</v>
      </c>
      <c r="T2351" s="128">
        <v>0</v>
      </c>
      <c r="U2351" s="128">
        <v>814122.75</v>
      </c>
      <c r="V2351" s="128">
        <v>0</v>
      </c>
      <c r="W2351" s="128">
        <v>814122.75</v>
      </c>
      <c r="X2351" s="128">
        <v>0</v>
      </c>
      <c r="Y2351" s="128">
        <v>0</v>
      </c>
      <c r="Z2351" s="128">
        <v>0</v>
      </c>
      <c r="AA2351" s="128">
        <v>814122.75</v>
      </c>
      <c r="AB2351" s="126">
        <f t="shared" si="240"/>
        <v>-8.1412275000000006E-2</v>
      </c>
      <c r="AC2351" s="122" t="s">
        <v>1838</v>
      </c>
      <c r="AD2351" s="123">
        <f t="shared" si="242"/>
        <v>1983.9723217250009</v>
      </c>
    </row>
    <row r="2352" spans="1:30" ht="12.75" hidden="1" customHeight="1">
      <c r="A2352" s="125" t="str">
        <f t="shared" si="237"/>
        <v>LIC86Prov  Withholding Brok 2016-17</v>
      </c>
      <c r="B2352" s="125">
        <f>+IFERROR(VLOOKUP(L2352,'TB mapping'!A:D,4,0),0)</f>
        <v>0</v>
      </c>
      <c r="C2352" s="125">
        <f>+IFERROR(VLOOKUP(L2352,'TB mapping'!A:C,3,0),0)</f>
        <v>0</v>
      </c>
      <c r="D2352" s="125" t="str">
        <f t="shared" si="238"/>
        <v>LIC860</v>
      </c>
      <c r="E2352" s="125" t="str">
        <f t="shared" si="239"/>
        <v>LIC860</v>
      </c>
      <c r="F2352" s="158" t="str">
        <f>+VLOOKUP(H2352,'code mapping'!A:C,3,0)</f>
        <v>LIC86</v>
      </c>
      <c r="G2352" s="127" t="s">
        <v>453</v>
      </c>
      <c r="H2352" s="127" t="s">
        <v>764</v>
      </c>
      <c r="I2352" s="127" t="s">
        <v>765</v>
      </c>
      <c r="J2352" s="128">
        <v>220000</v>
      </c>
      <c r="K2352" s="127" t="s">
        <v>510</v>
      </c>
      <c r="L2352" s="151">
        <v>210163</v>
      </c>
      <c r="M2352" s="128">
        <v>0</v>
      </c>
      <c r="N2352" s="127" t="s">
        <v>513</v>
      </c>
      <c r="O2352" s="127" t="s">
        <v>457</v>
      </c>
      <c r="P2352" s="128">
        <v>0</v>
      </c>
      <c r="Q2352" s="128">
        <v>767290.06</v>
      </c>
      <c r="R2352" s="128">
        <v>0</v>
      </c>
      <c r="S2352" s="128">
        <v>0</v>
      </c>
      <c r="T2352" s="128">
        <v>0</v>
      </c>
      <c r="U2352" s="128">
        <v>767290.06</v>
      </c>
      <c r="V2352" s="128">
        <v>0</v>
      </c>
      <c r="W2352" s="128">
        <v>767290.06</v>
      </c>
      <c r="X2352" s="128">
        <v>0</v>
      </c>
      <c r="Y2352" s="128">
        <v>0</v>
      </c>
      <c r="Z2352" s="128">
        <v>0</v>
      </c>
      <c r="AA2352" s="128">
        <v>767290.06</v>
      </c>
      <c r="AB2352" s="126">
        <f t="shared" si="240"/>
        <v>-7.6729006000000002E-2</v>
      </c>
      <c r="AC2352" s="122" t="s">
        <v>1838</v>
      </c>
      <c r="AD2352" s="123">
        <f t="shared" si="242"/>
        <v>1983.9723217250009</v>
      </c>
    </row>
    <row r="2353" spans="1:30" ht="12.75" hidden="1" customHeight="1">
      <c r="A2353" s="125" t="str">
        <f t="shared" si="237"/>
        <v>LIC86Unit Capital</v>
      </c>
      <c r="B2353" s="125">
        <f>+IFERROR(VLOOKUP(L2353,'TB mapping'!A:D,4,0),0)</f>
        <v>0</v>
      </c>
      <c r="C2353" s="125">
        <f>+IFERROR(VLOOKUP(L2353,'TB mapping'!A:C,3,0),0)</f>
        <v>0</v>
      </c>
      <c r="D2353" s="125" t="str">
        <f t="shared" si="238"/>
        <v>LIC860</v>
      </c>
      <c r="E2353" s="125" t="str">
        <f t="shared" si="239"/>
        <v>LIC860</v>
      </c>
      <c r="F2353" s="158" t="str">
        <f>+VLOOKUP(H2353,'code mapping'!A:C,3,0)</f>
        <v>LIC86</v>
      </c>
      <c r="G2353" s="127" t="s">
        <v>453</v>
      </c>
      <c r="H2353" s="127" t="s">
        <v>764</v>
      </c>
      <c r="I2353" s="127" t="s">
        <v>765</v>
      </c>
      <c r="J2353" s="128">
        <v>301000</v>
      </c>
      <c r="K2353" s="127" t="s">
        <v>514</v>
      </c>
      <c r="L2353" s="151">
        <v>310000</v>
      </c>
      <c r="M2353" s="128">
        <v>0</v>
      </c>
      <c r="N2353" s="127" t="s">
        <v>515</v>
      </c>
      <c r="O2353" s="127" t="s">
        <v>457</v>
      </c>
      <c r="P2353" s="128">
        <v>0</v>
      </c>
      <c r="Q2353" s="128">
        <v>476267688.44999999</v>
      </c>
      <c r="R2353" s="128">
        <v>0</v>
      </c>
      <c r="S2353" s="128">
        <v>0</v>
      </c>
      <c r="T2353" s="128">
        <v>0</v>
      </c>
      <c r="U2353" s="128">
        <v>476267688.44999999</v>
      </c>
      <c r="V2353" s="128">
        <v>0</v>
      </c>
      <c r="W2353" s="128">
        <v>476267688.44999999</v>
      </c>
      <c r="X2353" s="128">
        <v>0</v>
      </c>
      <c r="Y2353" s="128">
        <v>0</v>
      </c>
      <c r="Z2353" s="128">
        <v>0</v>
      </c>
      <c r="AA2353" s="128">
        <v>476267688.44999999</v>
      </c>
      <c r="AB2353" s="126">
        <f t="shared" si="240"/>
        <v>-47.626768845000001</v>
      </c>
      <c r="AC2353" s="122" t="s">
        <v>1838</v>
      </c>
      <c r="AD2353" s="123">
        <f t="shared" si="242"/>
        <v>1983.9723217250009</v>
      </c>
    </row>
    <row r="2354" spans="1:30" ht="12.75" hidden="1" customHeight="1">
      <c r="A2354" s="125" t="str">
        <f t="shared" si="237"/>
        <v>LIC86Unit Premium Reserve- RG</v>
      </c>
      <c r="B2354" s="125">
        <f>+IFERROR(VLOOKUP(L2354,'TB mapping'!A:D,4,0),0)</f>
        <v>0</v>
      </c>
      <c r="C2354" s="125">
        <f>+IFERROR(VLOOKUP(L2354,'TB mapping'!A:C,3,0),0)</f>
        <v>0</v>
      </c>
      <c r="D2354" s="125" t="str">
        <f t="shared" si="238"/>
        <v>LIC860</v>
      </c>
      <c r="E2354" s="125" t="str">
        <f t="shared" si="239"/>
        <v>LIC860</v>
      </c>
      <c r="F2354" s="158" t="str">
        <f>+VLOOKUP(H2354,'code mapping'!A:C,3,0)</f>
        <v>LIC86</v>
      </c>
      <c r="G2354" s="127" t="s">
        <v>453</v>
      </c>
      <c r="H2354" s="127" t="s">
        <v>764</v>
      </c>
      <c r="I2354" s="127" t="s">
        <v>765</v>
      </c>
      <c r="J2354" s="128">
        <v>303000</v>
      </c>
      <c r="K2354" s="127" t="s">
        <v>516</v>
      </c>
      <c r="L2354" s="151">
        <v>303201</v>
      </c>
      <c r="M2354" s="128">
        <v>0</v>
      </c>
      <c r="N2354" s="127" t="s">
        <v>517</v>
      </c>
      <c r="O2354" s="127" t="s">
        <v>457</v>
      </c>
      <c r="P2354" s="128">
        <v>-134194240.15000001</v>
      </c>
      <c r="Q2354" s="128">
        <v>0</v>
      </c>
      <c r="R2354" s="128">
        <v>0</v>
      </c>
      <c r="S2354" s="128">
        <v>0</v>
      </c>
      <c r="T2354" s="128">
        <v>-134194240.15000001</v>
      </c>
      <c r="U2354" s="128">
        <v>0</v>
      </c>
      <c r="V2354" s="128">
        <v>-134194240.15000001</v>
      </c>
      <c r="W2354" s="128">
        <v>0</v>
      </c>
      <c r="X2354" s="128">
        <v>0</v>
      </c>
      <c r="Y2354" s="128">
        <v>0</v>
      </c>
      <c r="Z2354" s="128">
        <v>-134194240.15000001</v>
      </c>
      <c r="AA2354" s="128">
        <v>0</v>
      </c>
      <c r="AB2354" s="126">
        <f t="shared" si="240"/>
        <v>13.419424015000001</v>
      </c>
      <c r="AC2354" s="122" t="s">
        <v>1838</v>
      </c>
      <c r="AD2354" s="123">
        <f t="shared" si="242"/>
        <v>1983.9723217250009</v>
      </c>
    </row>
    <row r="2355" spans="1:30" ht="12.75" hidden="1" customHeight="1">
      <c r="A2355" s="125" t="str">
        <f t="shared" si="237"/>
        <v>LIC86Unit Premium Reserve- RD</v>
      </c>
      <c r="B2355" s="125">
        <f>+IFERROR(VLOOKUP(L2355,'TB mapping'!A:D,4,0),0)</f>
        <v>0</v>
      </c>
      <c r="C2355" s="125">
        <f>+IFERROR(VLOOKUP(L2355,'TB mapping'!A:C,3,0),0)</f>
        <v>0</v>
      </c>
      <c r="D2355" s="125" t="str">
        <f t="shared" si="238"/>
        <v>LIC860</v>
      </c>
      <c r="E2355" s="125" t="str">
        <f t="shared" si="239"/>
        <v>LIC860</v>
      </c>
      <c r="F2355" s="158" t="str">
        <f>+VLOOKUP(H2355,'code mapping'!A:C,3,0)</f>
        <v>LIC86</v>
      </c>
      <c r="G2355" s="127" t="s">
        <v>453</v>
      </c>
      <c r="H2355" s="127" t="s">
        <v>764</v>
      </c>
      <c r="I2355" s="127" t="s">
        <v>765</v>
      </c>
      <c r="J2355" s="128">
        <v>303000</v>
      </c>
      <c r="K2355" s="127" t="s">
        <v>516</v>
      </c>
      <c r="L2355" s="151">
        <v>303202</v>
      </c>
      <c r="M2355" s="128">
        <v>0</v>
      </c>
      <c r="N2355" s="127" t="s">
        <v>518</v>
      </c>
      <c r="O2355" s="127" t="s">
        <v>457</v>
      </c>
      <c r="P2355" s="128">
        <v>-21675435.809999999</v>
      </c>
      <c r="Q2355" s="128">
        <v>0</v>
      </c>
      <c r="R2355" s="128">
        <v>0</v>
      </c>
      <c r="S2355" s="128">
        <v>0</v>
      </c>
      <c r="T2355" s="128">
        <v>-21675435.809999999</v>
      </c>
      <c r="U2355" s="128">
        <v>0</v>
      </c>
      <c r="V2355" s="128">
        <v>-21675435.809999999</v>
      </c>
      <c r="W2355" s="128">
        <v>0</v>
      </c>
      <c r="X2355" s="128">
        <v>0</v>
      </c>
      <c r="Y2355" s="128">
        <v>0</v>
      </c>
      <c r="Z2355" s="128">
        <v>-21675435.809999999</v>
      </c>
      <c r="AA2355" s="128">
        <v>0</v>
      </c>
      <c r="AB2355" s="126">
        <f t="shared" si="240"/>
        <v>2.1675435809999999</v>
      </c>
      <c r="AC2355" s="122" t="s">
        <v>1838</v>
      </c>
      <c r="AD2355" s="123">
        <f t="shared" si="242"/>
        <v>1983.9723217250009</v>
      </c>
    </row>
    <row r="2356" spans="1:30" ht="12.75" hidden="1" customHeight="1">
      <c r="A2356" s="125" t="str">
        <f t="shared" si="237"/>
        <v>LIC86Unit Premium Reserve-GDP</v>
      </c>
      <c r="B2356" s="125">
        <f>+IFERROR(VLOOKUP(L2356,'TB mapping'!A:D,4,0),0)</f>
        <v>0</v>
      </c>
      <c r="C2356" s="125">
        <f>+IFERROR(VLOOKUP(L2356,'TB mapping'!A:C,3,0),0)</f>
        <v>0</v>
      </c>
      <c r="D2356" s="125" t="str">
        <f t="shared" si="238"/>
        <v>LIC860</v>
      </c>
      <c r="E2356" s="125" t="str">
        <f t="shared" si="239"/>
        <v>LIC860</v>
      </c>
      <c r="F2356" s="158" t="str">
        <f>+VLOOKUP(H2356,'code mapping'!A:C,3,0)</f>
        <v>LIC86</v>
      </c>
      <c r="G2356" s="127" t="s">
        <v>453</v>
      </c>
      <c r="H2356" s="127" t="s">
        <v>764</v>
      </c>
      <c r="I2356" s="127" t="s">
        <v>765</v>
      </c>
      <c r="J2356" s="128">
        <v>303000</v>
      </c>
      <c r="K2356" s="127" t="s">
        <v>516</v>
      </c>
      <c r="L2356" s="151">
        <v>303245</v>
      </c>
      <c r="M2356" s="128">
        <v>0</v>
      </c>
      <c r="N2356" s="127" t="s">
        <v>519</v>
      </c>
      <c r="O2356" s="127" t="s">
        <v>457</v>
      </c>
      <c r="P2356" s="128">
        <v>0</v>
      </c>
      <c r="Q2356" s="128">
        <v>31145434.370000001</v>
      </c>
      <c r="R2356" s="128">
        <v>0</v>
      </c>
      <c r="S2356" s="128">
        <v>0</v>
      </c>
      <c r="T2356" s="128">
        <v>0</v>
      </c>
      <c r="U2356" s="128">
        <v>31145434.370000001</v>
      </c>
      <c r="V2356" s="128">
        <v>0</v>
      </c>
      <c r="W2356" s="128">
        <v>31145434.370000001</v>
      </c>
      <c r="X2356" s="128">
        <v>0</v>
      </c>
      <c r="Y2356" s="128">
        <v>0</v>
      </c>
      <c r="Z2356" s="128">
        <v>0</v>
      </c>
      <c r="AA2356" s="128">
        <v>31145434.370000001</v>
      </c>
      <c r="AB2356" s="126">
        <f t="shared" si="240"/>
        <v>-3.114543437</v>
      </c>
      <c r="AC2356" s="122" t="s">
        <v>1838</v>
      </c>
      <c r="AD2356" s="123">
        <f t="shared" si="242"/>
        <v>1983.9723217250009</v>
      </c>
    </row>
    <row r="2357" spans="1:30" ht="12.75" hidden="1" customHeight="1">
      <c r="A2357" s="125" t="str">
        <f t="shared" si="237"/>
        <v>LIC86Unit Premium Reserve-DDP</v>
      </c>
      <c r="B2357" s="125">
        <f>+IFERROR(VLOOKUP(L2357,'TB mapping'!A:D,4,0),0)</f>
        <v>0</v>
      </c>
      <c r="C2357" s="125">
        <f>+IFERROR(VLOOKUP(L2357,'TB mapping'!A:C,3,0),0)</f>
        <v>0</v>
      </c>
      <c r="D2357" s="125" t="str">
        <f t="shared" si="238"/>
        <v>LIC860</v>
      </c>
      <c r="E2357" s="125" t="str">
        <f t="shared" si="239"/>
        <v>LIC860</v>
      </c>
      <c r="F2357" s="158" t="str">
        <f>+VLOOKUP(H2357,'code mapping'!A:C,3,0)</f>
        <v>LIC86</v>
      </c>
      <c r="G2357" s="127" t="s">
        <v>453</v>
      </c>
      <c r="H2357" s="127" t="s">
        <v>764</v>
      </c>
      <c r="I2357" s="127" t="s">
        <v>765</v>
      </c>
      <c r="J2357" s="128">
        <v>303000</v>
      </c>
      <c r="K2357" s="127" t="s">
        <v>516</v>
      </c>
      <c r="L2357" s="151">
        <v>303246</v>
      </c>
      <c r="M2357" s="128">
        <v>0</v>
      </c>
      <c r="N2357" s="127" t="s">
        <v>520</v>
      </c>
      <c r="O2357" s="127" t="s">
        <v>457</v>
      </c>
      <c r="P2357" s="128">
        <v>0</v>
      </c>
      <c r="Q2357" s="128">
        <v>462940.53</v>
      </c>
      <c r="R2357" s="128">
        <v>0</v>
      </c>
      <c r="S2357" s="128">
        <v>0</v>
      </c>
      <c r="T2357" s="128">
        <v>0</v>
      </c>
      <c r="U2357" s="128">
        <v>462940.53</v>
      </c>
      <c r="V2357" s="128">
        <v>0</v>
      </c>
      <c r="W2357" s="128">
        <v>462940.53</v>
      </c>
      <c r="X2357" s="128">
        <v>0</v>
      </c>
      <c r="Y2357" s="128">
        <v>0</v>
      </c>
      <c r="Z2357" s="128">
        <v>0</v>
      </c>
      <c r="AA2357" s="128">
        <v>462940.53</v>
      </c>
      <c r="AB2357" s="126">
        <f t="shared" si="240"/>
        <v>-4.6294053000000002E-2</v>
      </c>
      <c r="AC2357" s="122" t="s">
        <v>1838</v>
      </c>
      <c r="AD2357" s="123">
        <f t="shared" si="242"/>
        <v>1983.9723217250009</v>
      </c>
    </row>
    <row r="2358" spans="1:30" ht="12.75" hidden="1" customHeight="1">
      <c r="A2358" s="125" t="str">
        <f t="shared" si="237"/>
        <v>LIC86Net Earnings</v>
      </c>
      <c r="B2358" s="125">
        <f>+IFERROR(VLOOKUP(L2358,'TB mapping'!A:D,4,0),0)</f>
        <v>0</v>
      </c>
      <c r="C2358" s="125">
        <f>+IFERROR(VLOOKUP(L2358,'TB mapping'!A:C,3,0),0)</f>
        <v>0</v>
      </c>
      <c r="D2358" s="125" t="str">
        <f t="shared" si="238"/>
        <v>LIC860</v>
      </c>
      <c r="E2358" s="125" t="str">
        <f t="shared" si="239"/>
        <v>LIC860</v>
      </c>
      <c r="F2358" s="158" t="str">
        <f>+VLOOKUP(H2358,'code mapping'!A:C,3,0)</f>
        <v>LIC86</v>
      </c>
      <c r="G2358" s="127" t="s">
        <v>453</v>
      </c>
      <c r="H2358" s="127" t="s">
        <v>764</v>
      </c>
      <c r="I2358" s="127" t="s">
        <v>765</v>
      </c>
      <c r="J2358" s="128">
        <v>303000</v>
      </c>
      <c r="K2358" s="127" t="s">
        <v>516</v>
      </c>
      <c r="L2358" s="151">
        <v>390000</v>
      </c>
      <c r="M2358" s="128">
        <v>0</v>
      </c>
      <c r="N2358" s="127" t="s">
        <v>521</v>
      </c>
      <c r="O2358" s="127" t="s">
        <v>457</v>
      </c>
      <c r="P2358" s="128">
        <v>0</v>
      </c>
      <c r="Q2358" s="128">
        <v>50771088.280000001</v>
      </c>
      <c r="R2358" s="128">
        <v>0</v>
      </c>
      <c r="S2358" s="128">
        <v>0</v>
      </c>
      <c r="T2358" s="128">
        <v>0</v>
      </c>
      <c r="U2358" s="128">
        <v>50771088.280000001</v>
      </c>
      <c r="V2358" s="128">
        <v>0</v>
      </c>
      <c r="W2358" s="128">
        <v>50771088.280000001</v>
      </c>
      <c r="X2358" s="128">
        <v>0</v>
      </c>
      <c r="Y2358" s="128">
        <v>0</v>
      </c>
      <c r="Z2358" s="128">
        <v>0</v>
      </c>
      <c r="AA2358" s="128">
        <v>50771088.280000001</v>
      </c>
      <c r="AB2358" s="126">
        <f t="shared" si="240"/>
        <v>-5.0771088280000001</v>
      </c>
      <c r="AC2358" s="122" t="s">
        <v>1838</v>
      </c>
      <c r="AD2358" s="123">
        <f t="shared" si="242"/>
        <v>1983.9723217250009</v>
      </c>
    </row>
    <row r="2359" spans="1:30" ht="12.75" hidden="1" customHeight="1">
      <c r="A2359" s="125" t="str">
        <f t="shared" si="237"/>
        <v>LIC86R/L G/P - Equities</v>
      </c>
      <c r="B2359" s="125">
        <f>+IFERROR(VLOOKUP(L2359,'TB mapping'!A:D,4,0),0)</f>
        <v>0</v>
      </c>
      <c r="C2359" s="125">
        <f>+IFERROR(VLOOKUP(L2359,'TB mapping'!A:C,3,0),0)</f>
        <v>5.3</v>
      </c>
      <c r="D2359" s="125" t="str">
        <f t="shared" si="238"/>
        <v>LIC860</v>
      </c>
      <c r="E2359" s="125" t="str">
        <f t="shared" si="239"/>
        <v>LIC865.3</v>
      </c>
      <c r="F2359" s="158" t="str">
        <f>+VLOOKUP(H2359,'code mapping'!A:C,3,0)</f>
        <v>LIC86</v>
      </c>
      <c r="G2359" s="127" t="s">
        <v>453</v>
      </c>
      <c r="H2359" s="127" t="s">
        <v>764</v>
      </c>
      <c r="I2359" s="127" t="s">
        <v>765</v>
      </c>
      <c r="J2359" s="128">
        <v>410000</v>
      </c>
      <c r="K2359" s="127" t="s">
        <v>522</v>
      </c>
      <c r="L2359" s="151">
        <v>411100</v>
      </c>
      <c r="M2359" s="128">
        <v>0</v>
      </c>
      <c r="N2359" s="127" t="s">
        <v>596</v>
      </c>
      <c r="O2359" s="127" t="s">
        <v>457</v>
      </c>
      <c r="P2359" s="128">
        <v>0</v>
      </c>
      <c r="Q2359" s="128">
        <v>40228553.759999998</v>
      </c>
      <c r="R2359" s="128">
        <v>0</v>
      </c>
      <c r="S2359" s="128">
        <v>0</v>
      </c>
      <c r="T2359" s="128">
        <v>0</v>
      </c>
      <c r="U2359" s="128">
        <v>40228553.759999998</v>
      </c>
      <c r="V2359" s="128">
        <v>0</v>
      </c>
      <c r="W2359" s="128">
        <v>40228553.759999998</v>
      </c>
      <c r="X2359" s="128">
        <v>0</v>
      </c>
      <c r="Y2359" s="128">
        <v>0</v>
      </c>
      <c r="Z2359" s="128">
        <v>0</v>
      </c>
      <c r="AA2359" s="128">
        <v>40228553.759999998</v>
      </c>
      <c r="AB2359" s="126">
        <f t="shared" si="240"/>
        <v>-4.0228553759999999</v>
      </c>
      <c r="AC2359" s="122" t="s">
        <v>1838</v>
      </c>
      <c r="AD2359" s="123">
        <f>SUMIF(E:E,E2359,AB:AB)</f>
        <v>-3.9058299480000001</v>
      </c>
    </row>
    <row r="2360" spans="1:30" ht="12.75" hidden="1" customHeight="1">
      <c r="A2360" s="125" t="str">
        <f t="shared" si="237"/>
        <v>LIC86Profit on Sale-Mutual Fd Units</v>
      </c>
      <c r="B2360" s="125">
        <f>+IFERROR(VLOOKUP(L2360,'TB mapping'!A:D,4,0),0)</f>
        <v>0</v>
      </c>
      <c r="C2360" s="125">
        <f>+IFERROR(VLOOKUP(L2360,'TB mapping'!A:C,3,0),0)</f>
        <v>5.3</v>
      </c>
      <c r="D2360" s="125" t="str">
        <f t="shared" si="238"/>
        <v>LIC860</v>
      </c>
      <c r="E2360" s="125" t="str">
        <f t="shared" si="239"/>
        <v>LIC865.3</v>
      </c>
      <c r="F2360" s="158" t="str">
        <f>+VLOOKUP(H2360,'code mapping'!A:C,3,0)</f>
        <v>LIC86</v>
      </c>
      <c r="G2360" s="127" t="s">
        <v>453</v>
      </c>
      <c r="H2360" s="127" t="s">
        <v>764</v>
      </c>
      <c r="I2360" s="127" t="s">
        <v>765</v>
      </c>
      <c r="J2360" s="128">
        <v>410000</v>
      </c>
      <c r="K2360" s="127" t="s">
        <v>522</v>
      </c>
      <c r="L2360" s="151">
        <v>415102</v>
      </c>
      <c r="M2360" s="128">
        <v>0</v>
      </c>
      <c r="N2360" s="127" t="s">
        <v>526</v>
      </c>
      <c r="O2360" s="127" t="s">
        <v>457</v>
      </c>
      <c r="P2360" s="128">
        <v>0</v>
      </c>
      <c r="Q2360" s="128">
        <v>21126.34</v>
      </c>
      <c r="R2360" s="128">
        <v>0</v>
      </c>
      <c r="S2360" s="128">
        <v>0</v>
      </c>
      <c r="T2360" s="128">
        <v>0</v>
      </c>
      <c r="U2360" s="128">
        <v>21126.34</v>
      </c>
      <c r="V2360" s="128">
        <v>0</v>
      </c>
      <c r="W2360" s="128">
        <v>21126.34</v>
      </c>
      <c r="X2360" s="128">
        <v>0</v>
      </c>
      <c r="Y2360" s="128">
        <v>0</v>
      </c>
      <c r="Z2360" s="128">
        <v>0</v>
      </c>
      <c r="AA2360" s="128">
        <v>21126.34</v>
      </c>
      <c r="AB2360" s="126">
        <f t="shared" si="240"/>
        <v>-2.112634E-3</v>
      </c>
      <c r="AC2360" s="122" t="s">
        <v>1838</v>
      </c>
      <c r="AD2360" s="123">
        <f>SUMIF(E:E,E2360,AB:AB)</f>
        <v>-3.9058299480000001</v>
      </c>
    </row>
    <row r="2361" spans="1:30" ht="12.75" hidden="1" customHeight="1">
      <c r="A2361" s="125" t="str">
        <f t="shared" ref="A2361:A2424" si="243">+F2361&amp;N2361</f>
        <v>LIC86UR/L G/P - Equities</v>
      </c>
      <c r="B2361" s="125">
        <f>+IFERROR(VLOOKUP(L2361,'TB mapping'!A:D,4,0),0)</f>
        <v>0</v>
      </c>
      <c r="C2361" s="125" t="str">
        <f>+IFERROR(VLOOKUP(L2361,'TB mapping'!A:C,3,0),0)</f>
        <v>Ignore</v>
      </c>
      <c r="D2361" s="125" t="str">
        <f t="shared" ref="D2361:D2424" si="244">+F2361&amp;B2361</f>
        <v>LIC860</v>
      </c>
      <c r="E2361" s="125" t="str">
        <f t="shared" ref="E2361:E2424" si="245">+F2361&amp;C2361</f>
        <v>LIC86Ignore</v>
      </c>
      <c r="F2361" s="158" t="str">
        <f>+VLOOKUP(H2361,'code mapping'!A:C,3,0)</f>
        <v>LIC86</v>
      </c>
      <c r="G2361" s="127" t="s">
        <v>453</v>
      </c>
      <c r="H2361" s="127" t="s">
        <v>764</v>
      </c>
      <c r="I2361" s="127" t="s">
        <v>765</v>
      </c>
      <c r="J2361" s="128">
        <v>430000</v>
      </c>
      <c r="K2361" s="127" t="s">
        <v>528</v>
      </c>
      <c r="L2361" s="151">
        <v>431100</v>
      </c>
      <c r="M2361" s="128">
        <v>0</v>
      </c>
      <c r="N2361" s="127" t="s">
        <v>597</v>
      </c>
      <c r="O2361" s="127" t="s">
        <v>457</v>
      </c>
      <c r="P2361" s="128">
        <v>0</v>
      </c>
      <c r="Q2361" s="128">
        <v>256841125.24000001</v>
      </c>
      <c r="R2361" s="128">
        <v>0</v>
      </c>
      <c r="S2361" s="128">
        <v>0</v>
      </c>
      <c r="T2361" s="128">
        <v>0</v>
      </c>
      <c r="U2361" s="128">
        <v>256841125.24000001</v>
      </c>
      <c r="V2361" s="128">
        <v>0</v>
      </c>
      <c r="W2361" s="128">
        <v>256841125.24000001</v>
      </c>
      <c r="X2361" s="128">
        <v>0</v>
      </c>
      <c r="Y2361" s="128">
        <v>0</v>
      </c>
      <c r="Z2361" s="128">
        <v>0</v>
      </c>
      <c r="AA2361" s="128">
        <v>256841125.24000001</v>
      </c>
      <c r="AB2361" s="126">
        <f t="shared" ref="AB2361:AB2424" si="246">SUM(-Z2361-AA2361)/10^7</f>
        <v>-25.684112524</v>
      </c>
      <c r="AC2361" s="122" t="s">
        <v>1838</v>
      </c>
      <c r="AD2361" s="123">
        <f>SUMIF(C:C,C2361,AB:AB)</f>
        <v>-291.7660984179999</v>
      </c>
    </row>
    <row r="2362" spans="1:30" ht="12.75" hidden="1" customHeight="1">
      <c r="A2362" s="125" t="str">
        <f t="shared" si="243"/>
        <v>LIC86Dividend Income - Equities</v>
      </c>
      <c r="B2362" s="125">
        <f>+IFERROR(VLOOKUP(L2362,'TB mapping'!A:D,4,0),0)</f>
        <v>0</v>
      </c>
      <c r="C2362" s="125">
        <f>+IFERROR(VLOOKUP(L2362,'TB mapping'!A:C,3,0),0)</f>
        <v>5.0999999999999996</v>
      </c>
      <c r="D2362" s="125" t="str">
        <f t="shared" si="244"/>
        <v>LIC860</v>
      </c>
      <c r="E2362" s="125" t="str">
        <f t="shared" si="245"/>
        <v>LIC865.1</v>
      </c>
      <c r="F2362" s="158" t="str">
        <f>+VLOOKUP(H2362,'code mapping'!A:C,3,0)</f>
        <v>LIC86</v>
      </c>
      <c r="G2362" s="127" t="s">
        <v>453</v>
      </c>
      <c r="H2362" s="127" t="s">
        <v>764</v>
      </c>
      <c r="I2362" s="127" t="s">
        <v>765</v>
      </c>
      <c r="J2362" s="128">
        <v>450000</v>
      </c>
      <c r="K2362" s="127" t="s">
        <v>532</v>
      </c>
      <c r="L2362" s="151">
        <v>451100</v>
      </c>
      <c r="M2362" s="128">
        <v>0</v>
      </c>
      <c r="N2362" s="127" t="s">
        <v>598</v>
      </c>
      <c r="O2362" s="127" t="s">
        <v>457</v>
      </c>
      <c r="P2362" s="128">
        <v>0</v>
      </c>
      <c r="Q2362" s="128">
        <v>6804980.7999999998</v>
      </c>
      <c r="R2362" s="128">
        <v>0</v>
      </c>
      <c r="S2362" s="128">
        <v>0</v>
      </c>
      <c r="T2362" s="128">
        <v>0</v>
      </c>
      <c r="U2362" s="128">
        <v>6804980.7999999998</v>
      </c>
      <c r="V2362" s="128">
        <v>0</v>
      </c>
      <c r="W2362" s="128">
        <v>6804980.7999999998</v>
      </c>
      <c r="X2362" s="128">
        <v>0</v>
      </c>
      <c r="Y2362" s="128">
        <v>0</v>
      </c>
      <c r="Z2362" s="128">
        <v>0</v>
      </c>
      <c r="AA2362" s="128">
        <v>6804980.7999999998</v>
      </c>
      <c r="AB2362" s="126">
        <f t="shared" si="246"/>
        <v>-0.68049808000000001</v>
      </c>
      <c r="AC2362" s="122" t="s">
        <v>1838</v>
      </c>
      <c r="AD2362" s="123">
        <f t="shared" ref="AD2362:AD2398" si="247">SUMIF(E:E,E2362,AB:AB)</f>
        <v>-0.68049808000000001</v>
      </c>
    </row>
    <row r="2363" spans="1:30" ht="12.75" hidden="1" customHeight="1">
      <c r="A2363" s="125" t="str">
        <f t="shared" si="243"/>
        <v>LIC86Interest Income - CCIL Margin</v>
      </c>
      <c r="B2363" s="125">
        <f>+IFERROR(VLOOKUP(L2363,'TB mapping'!A:D,4,0),0)</f>
        <v>0</v>
      </c>
      <c r="C2363" s="125">
        <f>+IFERROR(VLOOKUP(L2363,'TB mapping'!A:C,3,0),0)</f>
        <v>5.2</v>
      </c>
      <c r="D2363" s="125" t="str">
        <f t="shared" si="244"/>
        <v>LIC860</v>
      </c>
      <c r="E2363" s="125" t="str">
        <f t="shared" si="245"/>
        <v>LIC865.2</v>
      </c>
      <c r="F2363" s="158" t="str">
        <f>+VLOOKUP(H2363,'code mapping'!A:C,3,0)</f>
        <v>LIC86</v>
      </c>
      <c r="G2363" s="127" t="s">
        <v>453</v>
      </c>
      <c r="H2363" s="127" t="s">
        <v>764</v>
      </c>
      <c r="I2363" s="127" t="s">
        <v>765</v>
      </c>
      <c r="J2363" s="128">
        <v>450000</v>
      </c>
      <c r="K2363" s="127" t="s">
        <v>532</v>
      </c>
      <c r="L2363" s="151">
        <v>452111</v>
      </c>
      <c r="M2363" s="128">
        <v>0</v>
      </c>
      <c r="N2363" s="127" t="s">
        <v>533</v>
      </c>
      <c r="O2363" s="127" t="s">
        <v>457</v>
      </c>
      <c r="P2363" s="128">
        <v>0</v>
      </c>
      <c r="Q2363" s="128">
        <v>180.53</v>
      </c>
      <c r="R2363" s="128">
        <v>0</v>
      </c>
      <c r="S2363" s="128">
        <v>0</v>
      </c>
      <c r="T2363" s="128">
        <v>0</v>
      </c>
      <c r="U2363" s="128">
        <v>180.53</v>
      </c>
      <c r="V2363" s="128">
        <v>0</v>
      </c>
      <c r="W2363" s="128">
        <v>180.53</v>
      </c>
      <c r="X2363" s="128">
        <v>0</v>
      </c>
      <c r="Y2363" s="128">
        <v>0</v>
      </c>
      <c r="Z2363" s="128">
        <v>0</v>
      </c>
      <c r="AA2363" s="128">
        <v>180.53</v>
      </c>
      <c r="AB2363" s="126">
        <f t="shared" si="246"/>
        <v>-1.8053000000000001E-5</v>
      </c>
      <c r="AC2363" s="122" t="s">
        <v>1838</v>
      </c>
      <c r="AD2363" s="123">
        <f t="shared" si="247"/>
        <v>-0.14916803100000001</v>
      </c>
    </row>
    <row r="2364" spans="1:30" ht="12.75" hidden="1" customHeight="1">
      <c r="A2364" s="125" t="str">
        <f t="shared" si="243"/>
        <v>LIC86Amort. Income - CBLO</v>
      </c>
      <c r="B2364" s="125">
        <f>+IFERROR(VLOOKUP(L2364,'TB mapping'!A:D,4,0),0)</f>
        <v>0</v>
      </c>
      <c r="C2364" s="125">
        <f>+IFERROR(VLOOKUP(L2364,'TB mapping'!A:C,3,0),0)</f>
        <v>5.2</v>
      </c>
      <c r="D2364" s="125" t="str">
        <f t="shared" si="244"/>
        <v>LIC860</v>
      </c>
      <c r="E2364" s="125" t="str">
        <f t="shared" si="245"/>
        <v>LIC865.2</v>
      </c>
      <c r="F2364" s="158" t="str">
        <f>+VLOOKUP(H2364,'code mapping'!A:C,3,0)</f>
        <v>LIC86</v>
      </c>
      <c r="G2364" s="127" t="s">
        <v>453</v>
      </c>
      <c r="H2364" s="127" t="s">
        <v>764</v>
      </c>
      <c r="I2364" s="127" t="s">
        <v>765</v>
      </c>
      <c r="J2364" s="128">
        <v>450000</v>
      </c>
      <c r="K2364" s="127" t="s">
        <v>532</v>
      </c>
      <c r="L2364" s="151">
        <v>452228</v>
      </c>
      <c r="M2364" s="128">
        <v>0</v>
      </c>
      <c r="N2364" s="127" t="s">
        <v>537</v>
      </c>
      <c r="O2364" s="127" t="s">
        <v>457</v>
      </c>
      <c r="P2364" s="128">
        <v>0</v>
      </c>
      <c r="Q2364" s="128">
        <v>1491499.78</v>
      </c>
      <c r="R2364" s="128">
        <v>0</v>
      </c>
      <c r="S2364" s="128">
        <v>0</v>
      </c>
      <c r="T2364" s="128">
        <v>0</v>
      </c>
      <c r="U2364" s="128">
        <v>1491499.78</v>
      </c>
      <c r="V2364" s="128">
        <v>0</v>
      </c>
      <c r="W2364" s="128">
        <v>1491499.78</v>
      </c>
      <c r="X2364" s="128">
        <v>0</v>
      </c>
      <c r="Y2364" s="128">
        <v>0</v>
      </c>
      <c r="Z2364" s="128">
        <v>0</v>
      </c>
      <c r="AA2364" s="128">
        <v>1491499.78</v>
      </c>
      <c r="AB2364" s="126">
        <f t="shared" si="246"/>
        <v>-0.14914997800000002</v>
      </c>
      <c r="AC2364" s="122" t="s">
        <v>1838</v>
      </c>
      <c r="AD2364" s="123">
        <f t="shared" si="247"/>
        <v>-0.14916803100000001</v>
      </c>
    </row>
    <row r="2365" spans="1:30" ht="12.75" hidden="1" customHeight="1">
      <c r="A2365" s="125" t="str">
        <f t="shared" si="243"/>
        <v>LIC86Load Income</v>
      </c>
      <c r="B2365" s="125">
        <f>+IFERROR(VLOOKUP(L2365,'TB mapping'!A:D,4,0),0)</f>
        <v>0</v>
      </c>
      <c r="C2365" s="125">
        <f>+IFERROR(VLOOKUP(L2365,'TB mapping'!A:C,3,0),0)</f>
        <v>5.5</v>
      </c>
      <c r="D2365" s="125" t="str">
        <f t="shared" si="244"/>
        <v>LIC860</v>
      </c>
      <c r="E2365" s="125" t="str">
        <f t="shared" si="245"/>
        <v>LIC865.5</v>
      </c>
      <c r="F2365" s="158" t="str">
        <f>+VLOOKUP(H2365,'code mapping'!A:C,3,0)</f>
        <v>LIC86</v>
      </c>
      <c r="G2365" s="127" t="s">
        <v>453</v>
      </c>
      <c r="H2365" s="127" t="s">
        <v>764</v>
      </c>
      <c r="I2365" s="127" t="s">
        <v>765</v>
      </c>
      <c r="J2365" s="128">
        <v>460000</v>
      </c>
      <c r="K2365" s="127" t="s">
        <v>539</v>
      </c>
      <c r="L2365" s="151">
        <v>455103</v>
      </c>
      <c r="M2365" s="128">
        <v>0</v>
      </c>
      <c r="N2365" s="127" t="s">
        <v>540</v>
      </c>
      <c r="O2365" s="127" t="s">
        <v>457</v>
      </c>
      <c r="P2365" s="128">
        <v>0</v>
      </c>
      <c r="Q2365" s="128">
        <v>256225.75</v>
      </c>
      <c r="R2365" s="128">
        <v>0</v>
      </c>
      <c r="S2365" s="128">
        <v>0</v>
      </c>
      <c r="T2365" s="128">
        <v>0</v>
      </c>
      <c r="U2365" s="128">
        <v>256225.75</v>
      </c>
      <c r="V2365" s="128">
        <v>0</v>
      </c>
      <c r="W2365" s="128">
        <v>256225.75</v>
      </c>
      <c r="X2365" s="128">
        <v>0</v>
      </c>
      <c r="Y2365" s="128">
        <v>0</v>
      </c>
      <c r="Z2365" s="128">
        <v>0</v>
      </c>
      <c r="AA2365" s="128">
        <v>256225.75</v>
      </c>
      <c r="AB2365" s="126">
        <f t="shared" si="246"/>
        <v>-2.5622575000000002E-2</v>
      </c>
      <c r="AC2365" s="122" t="s">
        <v>1838</v>
      </c>
      <c r="AD2365" s="123">
        <f t="shared" si="247"/>
        <v>-2.5808539000000005E-2</v>
      </c>
    </row>
    <row r="2366" spans="1:30" ht="12.75" hidden="1" customHeight="1">
      <c r="A2366" s="125" t="str">
        <f t="shared" si="243"/>
        <v>LIC86Other Income</v>
      </c>
      <c r="B2366" s="125">
        <f>+IFERROR(VLOOKUP(L2366,'TB mapping'!A:D,4,0),0)</f>
        <v>0</v>
      </c>
      <c r="C2366" s="125">
        <f>+IFERROR(VLOOKUP(L2366,'TB mapping'!A:C,3,0),0)</f>
        <v>5.5</v>
      </c>
      <c r="D2366" s="125" t="str">
        <f t="shared" si="244"/>
        <v>LIC860</v>
      </c>
      <c r="E2366" s="125" t="str">
        <f t="shared" si="245"/>
        <v>LIC865.5</v>
      </c>
      <c r="F2366" s="158" t="str">
        <f>+VLOOKUP(H2366,'code mapping'!A:C,3,0)</f>
        <v>LIC86</v>
      </c>
      <c r="G2366" s="127" t="s">
        <v>453</v>
      </c>
      <c r="H2366" s="127" t="s">
        <v>764</v>
      </c>
      <c r="I2366" s="127" t="s">
        <v>765</v>
      </c>
      <c r="J2366" s="128">
        <v>460000</v>
      </c>
      <c r="K2366" s="127" t="s">
        <v>539</v>
      </c>
      <c r="L2366" s="151">
        <v>460000</v>
      </c>
      <c r="M2366" s="128">
        <v>0</v>
      </c>
      <c r="N2366" s="127" t="s">
        <v>541</v>
      </c>
      <c r="O2366" s="127" t="s">
        <v>457</v>
      </c>
      <c r="P2366" s="128">
        <v>0</v>
      </c>
      <c r="Q2366" s="128">
        <v>1859.64</v>
      </c>
      <c r="R2366" s="128">
        <v>0</v>
      </c>
      <c r="S2366" s="128">
        <v>0</v>
      </c>
      <c r="T2366" s="128">
        <v>0</v>
      </c>
      <c r="U2366" s="128">
        <v>1859.64</v>
      </c>
      <c r="V2366" s="128">
        <v>0</v>
      </c>
      <c r="W2366" s="128">
        <v>1859.64</v>
      </c>
      <c r="X2366" s="128">
        <v>0</v>
      </c>
      <c r="Y2366" s="128">
        <v>0</v>
      </c>
      <c r="Z2366" s="128">
        <v>0</v>
      </c>
      <c r="AA2366" s="128">
        <v>1859.64</v>
      </c>
      <c r="AB2366" s="126">
        <f t="shared" si="246"/>
        <v>-1.85964E-4</v>
      </c>
      <c r="AC2366" s="122" t="s">
        <v>1838</v>
      </c>
      <c r="AD2366" s="123">
        <f t="shared" si="247"/>
        <v>-2.5808539000000005E-2</v>
      </c>
    </row>
    <row r="2367" spans="1:30" ht="12.75" hidden="1" customHeight="1">
      <c r="A2367" s="125" t="str">
        <f t="shared" si="243"/>
        <v>LIC86Interplan Adjustment</v>
      </c>
      <c r="B2367" s="125">
        <f>+IFERROR(VLOOKUP(L2367,'TB mapping'!A:D,4,0),0)</f>
        <v>0</v>
      </c>
      <c r="C2367" s="125">
        <f>+IFERROR(VLOOKUP(L2367,'TB mapping'!A:C,3,0),0)</f>
        <v>5.5</v>
      </c>
      <c r="D2367" s="125" t="str">
        <f t="shared" si="244"/>
        <v>LIC860</v>
      </c>
      <c r="E2367" s="125" t="str">
        <f t="shared" si="245"/>
        <v>LIC865.5</v>
      </c>
      <c r="F2367" s="158" t="str">
        <f>+VLOOKUP(H2367,'code mapping'!A:C,3,0)</f>
        <v>LIC86</v>
      </c>
      <c r="G2367" s="127" t="s">
        <v>453</v>
      </c>
      <c r="H2367" s="127" t="s">
        <v>764</v>
      </c>
      <c r="I2367" s="127" t="s">
        <v>765</v>
      </c>
      <c r="J2367" s="128">
        <v>460000</v>
      </c>
      <c r="K2367" s="127" t="s">
        <v>539</v>
      </c>
      <c r="L2367" s="151">
        <v>460100</v>
      </c>
      <c r="M2367" s="128">
        <v>0</v>
      </c>
      <c r="N2367" s="127" t="s">
        <v>633</v>
      </c>
      <c r="O2367" s="127" t="s">
        <v>457</v>
      </c>
      <c r="P2367" s="128">
        <v>0</v>
      </c>
      <c r="Q2367" s="128">
        <v>4.6500000000000004</v>
      </c>
      <c r="R2367" s="128">
        <v>0</v>
      </c>
      <c r="S2367" s="128">
        <v>0</v>
      </c>
      <c r="T2367" s="128">
        <v>0</v>
      </c>
      <c r="U2367" s="128">
        <v>4.6500000000000004</v>
      </c>
      <c r="V2367" s="128">
        <v>0</v>
      </c>
      <c r="W2367" s="128">
        <v>4.6500000000000004</v>
      </c>
      <c r="X2367" s="128">
        <v>0</v>
      </c>
      <c r="Y2367" s="128">
        <v>0</v>
      </c>
      <c r="Z2367" s="128">
        <v>0</v>
      </c>
      <c r="AA2367" s="128">
        <v>4.6500000000000004</v>
      </c>
      <c r="AB2367" s="126">
        <f t="shared" si="246"/>
        <v>-4.6500000000000005E-7</v>
      </c>
      <c r="AC2367" s="122" t="s">
        <v>1838</v>
      </c>
      <c r="AD2367" s="123">
        <f t="shared" si="247"/>
        <v>-2.5808539000000005E-2</v>
      </c>
    </row>
    <row r="2368" spans="1:30" ht="12.75" hidden="1" customHeight="1">
      <c r="A2368" s="125" t="str">
        <f t="shared" si="243"/>
        <v>LIC86Interplan Adjustment- RG</v>
      </c>
      <c r="B2368" s="125">
        <f>+IFERROR(VLOOKUP(L2368,'TB mapping'!A:D,4,0),0)</f>
        <v>0</v>
      </c>
      <c r="C2368" s="125">
        <f>+IFERROR(VLOOKUP(L2368,'TB mapping'!A:C,3,0),0)</f>
        <v>5.5</v>
      </c>
      <c r="D2368" s="125" t="str">
        <f t="shared" si="244"/>
        <v>LIC860</v>
      </c>
      <c r="E2368" s="125" t="str">
        <f t="shared" si="245"/>
        <v>LIC865.5</v>
      </c>
      <c r="F2368" s="158" t="str">
        <f>+VLOOKUP(H2368,'code mapping'!A:C,3,0)</f>
        <v>LIC86</v>
      </c>
      <c r="G2368" s="127" t="s">
        <v>453</v>
      </c>
      <c r="H2368" s="127" t="s">
        <v>764</v>
      </c>
      <c r="I2368" s="127" t="s">
        <v>765</v>
      </c>
      <c r="J2368" s="128">
        <v>460000</v>
      </c>
      <c r="K2368" s="127" t="s">
        <v>539</v>
      </c>
      <c r="L2368" s="151">
        <v>460101</v>
      </c>
      <c r="M2368" s="128">
        <v>0</v>
      </c>
      <c r="N2368" s="127" t="s">
        <v>542</v>
      </c>
      <c r="O2368" s="127" t="s">
        <v>457</v>
      </c>
      <c r="P2368" s="128">
        <v>-22.5</v>
      </c>
      <c r="Q2368" s="128">
        <v>0</v>
      </c>
      <c r="R2368" s="128">
        <v>0</v>
      </c>
      <c r="S2368" s="128">
        <v>0</v>
      </c>
      <c r="T2368" s="128">
        <v>-22.5</v>
      </c>
      <c r="U2368" s="128">
        <v>0</v>
      </c>
      <c r="V2368" s="128">
        <v>-22.5</v>
      </c>
      <c r="W2368" s="128">
        <v>0</v>
      </c>
      <c r="X2368" s="128">
        <v>0</v>
      </c>
      <c r="Y2368" s="128">
        <v>0</v>
      </c>
      <c r="Z2368" s="128">
        <v>-22.5</v>
      </c>
      <c r="AA2368" s="128">
        <v>0</v>
      </c>
      <c r="AB2368" s="126">
        <f t="shared" si="246"/>
        <v>2.2500000000000001E-6</v>
      </c>
      <c r="AC2368" s="122" t="s">
        <v>1838</v>
      </c>
      <c r="AD2368" s="123">
        <f t="shared" si="247"/>
        <v>-2.5808539000000005E-2</v>
      </c>
    </row>
    <row r="2369" spans="1:30" ht="12.75" hidden="1" customHeight="1">
      <c r="A2369" s="125" t="str">
        <f t="shared" si="243"/>
        <v>LIC86Interplan Adjustment- RD</v>
      </c>
      <c r="B2369" s="125">
        <f>+IFERROR(VLOOKUP(L2369,'TB mapping'!A:D,4,0),0)</f>
        <v>0</v>
      </c>
      <c r="C2369" s="125">
        <f>+IFERROR(VLOOKUP(L2369,'TB mapping'!A:C,3,0),0)</f>
        <v>5.5</v>
      </c>
      <c r="D2369" s="125" t="str">
        <f t="shared" si="244"/>
        <v>LIC860</v>
      </c>
      <c r="E2369" s="125" t="str">
        <f t="shared" si="245"/>
        <v>LIC865.5</v>
      </c>
      <c r="F2369" s="158" t="str">
        <f>+VLOOKUP(H2369,'code mapping'!A:C,3,0)</f>
        <v>LIC86</v>
      </c>
      <c r="G2369" s="127" t="s">
        <v>453</v>
      </c>
      <c r="H2369" s="127" t="s">
        <v>764</v>
      </c>
      <c r="I2369" s="127" t="s">
        <v>765</v>
      </c>
      <c r="J2369" s="128">
        <v>460000</v>
      </c>
      <c r="K2369" s="127" t="s">
        <v>539</v>
      </c>
      <c r="L2369" s="151">
        <v>460102</v>
      </c>
      <c r="M2369" s="128">
        <v>0</v>
      </c>
      <c r="N2369" s="127" t="s">
        <v>543</v>
      </c>
      <c r="O2369" s="127" t="s">
        <v>457</v>
      </c>
      <c r="P2369" s="128">
        <v>-2.39</v>
      </c>
      <c r="Q2369" s="128">
        <v>0</v>
      </c>
      <c r="R2369" s="128">
        <v>0</v>
      </c>
      <c r="S2369" s="128">
        <v>0</v>
      </c>
      <c r="T2369" s="128">
        <v>-2.39</v>
      </c>
      <c r="U2369" s="128">
        <v>0</v>
      </c>
      <c r="V2369" s="128">
        <v>-2.39</v>
      </c>
      <c r="W2369" s="128">
        <v>0</v>
      </c>
      <c r="X2369" s="128">
        <v>0</v>
      </c>
      <c r="Y2369" s="128">
        <v>0</v>
      </c>
      <c r="Z2369" s="128">
        <v>-2.39</v>
      </c>
      <c r="AA2369" s="128">
        <v>0</v>
      </c>
      <c r="AB2369" s="126">
        <f t="shared" si="246"/>
        <v>2.3900000000000001E-7</v>
      </c>
      <c r="AC2369" s="122" t="s">
        <v>1838</v>
      </c>
      <c r="AD2369" s="123">
        <f t="shared" si="247"/>
        <v>-2.5808539000000005E-2</v>
      </c>
    </row>
    <row r="2370" spans="1:30" ht="12.75" hidden="1" customHeight="1">
      <c r="A2370" s="125" t="str">
        <f t="shared" si="243"/>
        <v>LIC86Interplan Adjustment- GDP</v>
      </c>
      <c r="B2370" s="125">
        <f>+IFERROR(VLOOKUP(L2370,'TB mapping'!A:D,4,0),0)</f>
        <v>0</v>
      </c>
      <c r="C2370" s="125">
        <f>+IFERROR(VLOOKUP(L2370,'TB mapping'!A:C,3,0),0)</f>
        <v>5.5</v>
      </c>
      <c r="D2370" s="125" t="str">
        <f t="shared" si="244"/>
        <v>LIC860</v>
      </c>
      <c r="E2370" s="125" t="str">
        <f t="shared" si="245"/>
        <v>LIC865.5</v>
      </c>
      <c r="F2370" s="158" t="str">
        <f>+VLOOKUP(H2370,'code mapping'!A:C,3,0)</f>
        <v>LIC86</v>
      </c>
      <c r="G2370" s="127" t="s">
        <v>453</v>
      </c>
      <c r="H2370" s="127" t="s">
        <v>764</v>
      </c>
      <c r="I2370" s="127" t="s">
        <v>765</v>
      </c>
      <c r="J2370" s="128">
        <v>460000</v>
      </c>
      <c r="K2370" s="127" t="s">
        <v>539</v>
      </c>
      <c r="L2370" s="151">
        <v>460143</v>
      </c>
      <c r="M2370" s="128">
        <v>0</v>
      </c>
      <c r="N2370" s="127" t="s">
        <v>544</v>
      </c>
      <c r="O2370" s="127" t="s">
        <v>457</v>
      </c>
      <c r="P2370" s="128">
        <v>0</v>
      </c>
      <c r="Q2370" s="128">
        <v>20.38</v>
      </c>
      <c r="R2370" s="128">
        <v>0</v>
      </c>
      <c r="S2370" s="128">
        <v>0</v>
      </c>
      <c r="T2370" s="128">
        <v>0</v>
      </c>
      <c r="U2370" s="128">
        <v>20.38</v>
      </c>
      <c r="V2370" s="128">
        <v>0</v>
      </c>
      <c r="W2370" s="128">
        <v>20.38</v>
      </c>
      <c r="X2370" s="128">
        <v>0</v>
      </c>
      <c r="Y2370" s="128">
        <v>0</v>
      </c>
      <c r="Z2370" s="128">
        <v>0</v>
      </c>
      <c r="AA2370" s="128">
        <v>20.38</v>
      </c>
      <c r="AB2370" s="126">
        <f t="shared" si="246"/>
        <v>-2.0379999999999998E-6</v>
      </c>
      <c r="AC2370" s="122" t="s">
        <v>1838</v>
      </c>
      <c r="AD2370" s="123">
        <f t="shared" si="247"/>
        <v>-2.5808539000000005E-2</v>
      </c>
    </row>
    <row r="2371" spans="1:30" ht="12.75" hidden="1" customHeight="1">
      <c r="A2371" s="125" t="str">
        <f t="shared" si="243"/>
        <v>LIC86Interplan Adjustment- DDP</v>
      </c>
      <c r="B2371" s="125">
        <f>+IFERROR(VLOOKUP(L2371,'TB mapping'!A:D,4,0),0)</f>
        <v>0</v>
      </c>
      <c r="C2371" s="125">
        <f>+IFERROR(VLOOKUP(L2371,'TB mapping'!A:C,3,0),0)</f>
        <v>5.5</v>
      </c>
      <c r="D2371" s="125" t="str">
        <f t="shared" si="244"/>
        <v>LIC860</v>
      </c>
      <c r="E2371" s="125" t="str">
        <f t="shared" si="245"/>
        <v>LIC865.5</v>
      </c>
      <c r="F2371" s="158" t="str">
        <f>+VLOOKUP(H2371,'code mapping'!A:C,3,0)</f>
        <v>LIC86</v>
      </c>
      <c r="G2371" s="127" t="s">
        <v>453</v>
      </c>
      <c r="H2371" s="127" t="s">
        <v>764</v>
      </c>
      <c r="I2371" s="127" t="s">
        <v>765</v>
      </c>
      <c r="J2371" s="128">
        <v>460000</v>
      </c>
      <c r="K2371" s="127" t="s">
        <v>539</v>
      </c>
      <c r="L2371" s="151">
        <v>460144</v>
      </c>
      <c r="M2371" s="128">
        <v>0</v>
      </c>
      <c r="N2371" s="127" t="s">
        <v>545</v>
      </c>
      <c r="O2371" s="127" t="s">
        <v>457</v>
      </c>
      <c r="P2371" s="128">
        <v>-0.14000000000000001</v>
      </c>
      <c r="Q2371" s="128">
        <v>0</v>
      </c>
      <c r="R2371" s="128">
        <v>0</v>
      </c>
      <c r="S2371" s="128">
        <v>0</v>
      </c>
      <c r="T2371" s="128">
        <v>-0.14000000000000001</v>
      </c>
      <c r="U2371" s="128">
        <v>0</v>
      </c>
      <c r="V2371" s="128">
        <v>-0.14000000000000001</v>
      </c>
      <c r="W2371" s="128">
        <v>0</v>
      </c>
      <c r="X2371" s="128">
        <v>0</v>
      </c>
      <c r="Y2371" s="128">
        <v>0</v>
      </c>
      <c r="Z2371" s="128">
        <v>-0.14000000000000001</v>
      </c>
      <c r="AA2371" s="128">
        <v>0</v>
      </c>
      <c r="AB2371" s="126">
        <f t="shared" si="246"/>
        <v>1.4000000000000001E-8</v>
      </c>
      <c r="AC2371" s="122" t="s">
        <v>1838</v>
      </c>
      <c r="AD2371" s="123">
        <f t="shared" si="247"/>
        <v>-2.5808539000000005E-2</v>
      </c>
    </row>
    <row r="2372" spans="1:30" ht="12.75" hidden="1" customHeight="1">
      <c r="A2372" s="125" t="str">
        <f t="shared" si="243"/>
        <v>LIC86R/L L/P - Equities</v>
      </c>
      <c r="B2372" s="125">
        <f>+IFERROR(VLOOKUP(L2372,'TB mapping'!A:D,4,0),0)</f>
        <v>0</v>
      </c>
      <c r="C2372" s="125">
        <f>+IFERROR(VLOOKUP(L2372,'TB mapping'!A:C,3,0),0)</f>
        <v>5.3</v>
      </c>
      <c r="D2372" s="125" t="str">
        <f t="shared" si="244"/>
        <v>LIC860</v>
      </c>
      <c r="E2372" s="125" t="str">
        <f t="shared" si="245"/>
        <v>LIC865.3</v>
      </c>
      <c r="F2372" s="158" t="str">
        <f>+VLOOKUP(H2372,'code mapping'!A:C,3,0)</f>
        <v>LIC86</v>
      </c>
      <c r="G2372" s="127" t="s">
        <v>453</v>
      </c>
      <c r="H2372" s="127" t="s">
        <v>764</v>
      </c>
      <c r="I2372" s="127" t="s">
        <v>765</v>
      </c>
      <c r="J2372" s="128">
        <v>510000</v>
      </c>
      <c r="K2372" s="127" t="s">
        <v>546</v>
      </c>
      <c r="L2372" s="151">
        <v>511100</v>
      </c>
      <c r="M2372" s="128">
        <v>0</v>
      </c>
      <c r="N2372" s="127" t="s">
        <v>599</v>
      </c>
      <c r="O2372" s="127" t="s">
        <v>457</v>
      </c>
      <c r="P2372" s="128">
        <v>-1191380.6200000001</v>
      </c>
      <c r="Q2372" s="128">
        <v>0</v>
      </c>
      <c r="R2372" s="128">
        <v>0</v>
      </c>
      <c r="S2372" s="128">
        <v>0</v>
      </c>
      <c r="T2372" s="128">
        <v>-1191380.6200000001</v>
      </c>
      <c r="U2372" s="128">
        <v>0</v>
      </c>
      <c r="V2372" s="128">
        <v>-1191380.6200000001</v>
      </c>
      <c r="W2372" s="128">
        <v>0</v>
      </c>
      <c r="X2372" s="128">
        <v>0</v>
      </c>
      <c r="Y2372" s="128">
        <v>0</v>
      </c>
      <c r="Z2372" s="128">
        <v>-1191380.6200000001</v>
      </c>
      <c r="AA2372" s="128">
        <v>0</v>
      </c>
      <c r="AB2372" s="126">
        <f t="shared" si="246"/>
        <v>0.11913806200000002</v>
      </c>
      <c r="AC2372" s="122" t="s">
        <v>1838</v>
      </c>
      <c r="AD2372" s="123">
        <f t="shared" si="247"/>
        <v>-3.9058299480000001</v>
      </c>
    </row>
    <row r="2373" spans="1:30" ht="12.75" hidden="1" customHeight="1">
      <c r="A2373" s="125" t="str">
        <f t="shared" si="243"/>
        <v>LIC86SEBI Fees</v>
      </c>
      <c r="B2373" s="125">
        <f>+IFERROR(VLOOKUP(L2373,'TB mapping'!A:D,4,0),0)</f>
        <v>0</v>
      </c>
      <c r="C2373" s="125">
        <f>+IFERROR(VLOOKUP(L2373,'TB mapping'!A:C,3,0),0)</f>
        <v>6.3</v>
      </c>
      <c r="D2373" s="125" t="str">
        <f t="shared" si="244"/>
        <v>LIC860</v>
      </c>
      <c r="E2373" s="125" t="str">
        <f t="shared" si="245"/>
        <v>LIC866.3</v>
      </c>
      <c r="F2373" s="158" t="str">
        <f>+VLOOKUP(H2373,'code mapping'!A:C,3,0)</f>
        <v>LIC86</v>
      </c>
      <c r="G2373" s="127" t="s">
        <v>453</v>
      </c>
      <c r="H2373" s="127" t="s">
        <v>764</v>
      </c>
      <c r="I2373" s="127" t="s">
        <v>765</v>
      </c>
      <c r="J2373" s="128">
        <v>550000</v>
      </c>
      <c r="K2373" s="127" t="s">
        <v>550</v>
      </c>
      <c r="L2373" s="151">
        <v>553007</v>
      </c>
      <c r="M2373" s="128">
        <v>0</v>
      </c>
      <c r="N2373" s="127" t="s">
        <v>551</v>
      </c>
      <c r="O2373" s="127" t="s">
        <v>457</v>
      </c>
      <c r="P2373" s="128">
        <v>-7360.39</v>
      </c>
      <c r="Q2373" s="128">
        <v>0</v>
      </c>
      <c r="R2373" s="128">
        <v>0</v>
      </c>
      <c r="S2373" s="128">
        <v>0</v>
      </c>
      <c r="T2373" s="128">
        <v>-7360.39</v>
      </c>
      <c r="U2373" s="128">
        <v>0</v>
      </c>
      <c r="V2373" s="128">
        <v>-7360.39</v>
      </c>
      <c r="W2373" s="128">
        <v>0</v>
      </c>
      <c r="X2373" s="128">
        <v>0</v>
      </c>
      <c r="Y2373" s="128">
        <v>0</v>
      </c>
      <c r="Z2373" s="128">
        <v>-7360.39</v>
      </c>
      <c r="AA2373" s="128">
        <v>0</v>
      </c>
      <c r="AB2373" s="126">
        <f t="shared" si="246"/>
        <v>7.3603900000000007E-4</v>
      </c>
      <c r="AC2373" s="122" t="s">
        <v>1838</v>
      </c>
      <c r="AD2373" s="123">
        <f t="shared" si="247"/>
        <v>1.8223966260000002</v>
      </c>
    </row>
    <row r="2374" spans="1:30" ht="12.75" hidden="1" customHeight="1">
      <c r="A2374" s="125" t="str">
        <f t="shared" si="243"/>
        <v>LIC86Audit Fee</v>
      </c>
      <c r="B2374" s="125">
        <f>+IFERROR(VLOOKUP(L2374,'TB mapping'!A:D,4,0),0)</f>
        <v>0</v>
      </c>
      <c r="C2374" s="125">
        <f>+IFERROR(VLOOKUP(L2374,'TB mapping'!A:C,3,0),0)</f>
        <v>6.3</v>
      </c>
      <c r="D2374" s="125" t="str">
        <f t="shared" si="244"/>
        <v>LIC860</v>
      </c>
      <c r="E2374" s="125" t="str">
        <f t="shared" si="245"/>
        <v>LIC866.3</v>
      </c>
      <c r="F2374" s="158" t="str">
        <f>+VLOOKUP(H2374,'code mapping'!A:C,3,0)</f>
        <v>LIC86</v>
      </c>
      <c r="G2374" s="127" t="s">
        <v>453</v>
      </c>
      <c r="H2374" s="127" t="s">
        <v>764</v>
      </c>
      <c r="I2374" s="127" t="s">
        <v>765</v>
      </c>
      <c r="J2374" s="128">
        <v>550000</v>
      </c>
      <c r="K2374" s="127" t="s">
        <v>550</v>
      </c>
      <c r="L2374" s="151">
        <v>553105</v>
      </c>
      <c r="M2374" s="128">
        <v>0</v>
      </c>
      <c r="N2374" s="127" t="s">
        <v>552</v>
      </c>
      <c r="O2374" s="127" t="s">
        <v>457</v>
      </c>
      <c r="P2374" s="128">
        <v>-10537.57</v>
      </c>
      <c r="Q2374" s="128">
        <v>0</v>
      </c>
      <c r="R2374" s="128">
        <v>0</v>
      </c>
      <c r="S2374" s="128">
        <v>0</v>
      </c>
      <c r="T2374" s="128">
        <v>-10537.57</v>
      </c>
      <c r="U2374" s="128">
        <v>0</v>
      </c>
      <c r="V2374" s="128">
        <v>-10537.57</v>
      </c>
      <c r="W2374" s="128">
        <v>0</v>
      </c>
      <c r="X2374" s="128">
        <v>0</v>
      </c>
      <c r="Y2374" s="128">
        <v>0</v>
      </c>
      <c r="Z2374" s="128">
        <v>-10537.57</v>
      </c>
      <c r="AA2374" s="128">
        <v>0</v>
      </c>
      <c r="AB2374" s="126">
        <f t="shared" si="246"/>
        <v>1.053757E-3</v>
      </c>
      <c r="AC2374" s="122" t="s">
        <v>1838</v>
      </c>
      <c r="AD2374" s="123">
        <f t="shared" si="247"/>
        <v>1.8223966260000002</v>
      </c>
    </row>
    <row r="2375" spans="1:30" ht="12.75" hidden="1" customHeight="1">
      <c r="A2375" s="125" t="str">
        <f t="shared" si="243"/>
        <v>LIC86Custody Fee</v>
      </c>
      <c r="B2375" s="125">
        <f>+IFERROR(VLOOKUP(L2375,'TB mapping'!A:D,4,0),0)</f>
        <v>0</v>
      </c>
      <c r="C2375" s="125">
        <f>+IFERROR(VLOOKUP(L2375,'TB mapping'!A:C,3,0),0)</f>
        <v>6.3</v>
      </c>
      <c r="D2375" s="125" t="str">
        <f t="shared" si="244"/>
        <v>LIC860</v>
      </c>
      <c r="E2375" s="125" t="str">
        <f t="shared" si="245"/>
        <v>LIC866.3</v>
      </c>
      <c r="F2375" s="158" t="str">
        <f>+VLOOKUP(H2375,'code mapping'!A:C,3,0)</f>
        <v>LIC86</v>
      </c>
      <c r="G2375" s="127" t="s">
        <v>453</v>
      </c>
      <c r="H2375" s="127" t="s">
        <v>764</v>
      </c>
      <c r="I2375" s="127" t="s">
        <v>765</v>
      </c>
      <c r="J2375" s="128">
        <v>550000</v>
      </c>
      <c r="K2375" s="127" t="s">
        <v>550</v>
      </c>
      <c r="L2375" s="151">
        <v>553107</v>
      </c>
      <c r="M2375" s="128">
        <v>0</v>
      </c>
      <c r="N2375" s="127" t="s">
        <v>553</v>
      </c>
      <c r="O2375" s="127" t="s">
        <v>457</v>
      </c>
      <c r="P2375" s="128">
        <v>-159407.43</v>
      </c>
      <c r="Q2375" s="128">
        <v>0</v>
      </c>
      <c r="R2375" s="128">
        <v>0</v>
      </c>
      <c r="S2375" s="128">
        <v>0</v>
      </c>
      <c r="T2375" s="128">
        <v>-159407.43</v>
      </c>
      <c r="U2375" s="128">
        <v>0</v>
      </c>
      <c r="V2375" s="128">
        <v>-159407.43</v>
      </c>
      <c r="W2375" s="128">
        <v>0</v>
      </c>
      <c r="X2375" s="128">
        <v>0</v>
      </c>
      <c r="Y2375" s="128">
        <v>0</v>
      </c>
      <c r="Z2375" s="128">
        <v>-159407.43</v>
      </c>
      <c r="AA2375" s="128">
        <v>0</v>
      </c>
      <c r="AB2375" s="126">
        <f t="shared" si="246"/>
        <v>1.5940743E-2</v>
      </c>
      <c r="AC2375" s="122" t="s">
        <v>1838</v>
      </c>
      <c r="AD2375" s="123">
        <f t="shared" si="247"/>
        <v>1.8223966260000002</v>
      </c>
    </row>
    <row r="2376" spans="1:30" ht="12.75" hidden="1" customHeight="1">
      <c r="A2376" s="125" t="str">
        <f t="shared" si="243"/>
        <v>LIC86Expense Allocation Account</v>
      </c>
      <c r="B2376" s="125">
        <f>+IFERROR(VLOOKUP(L2376,'TB mapping'!A:D,4,0),0)</f>
        <v>0</v>
      </c>
      <c r="C2376" s="125">
        <f>+IFERROR(VLOOKUP(L2376,'TB mapping'!A:C,3,0),0)</f>
        <v>6.3</v>
      </c>
      <c r="D2376" s="125" t="str">
        <f t="shared" si="244"/>
        <v>LIC860</v>
      </c>
      <c r="E2376" s="125" t="str">
        <f t="shared" si="245"/>
        <v>LIC866.3</v>
      </c>
      <c r="F2376" s="158" t="str">
        <f>+VLOOKUP(H2376,'code mapping'!A:C,3,0)</f>
        <v>LIC86</v>
      </c>
      <c r="G2376" s="127" t="s">
        <v>453</v>
      </c>
      <c r="H2376" s="127" t="s">
        <v>764</v>
      </c>
      <c r="I2376" s="127" t="s">
        <v>765</v>
      </c>
      <c r="J2376" s="128">
        <v>550000</v>
      </c>
      <c r="K2376" s="127" t="s">
        <v>550</v>
      </c>
      <c r="L2376" s="151">
        <v>553111</v>
      </c>
      <c r="M2376" s="128">
        <v>0</v>
      </c>
      <c r="N2376" s="127" t="s">
        <v>554</v>
      </c>
      <c r="O2376" s="127" t="s">
        <v>457</v>
      </c>
      <c r="P2376" s="128">
        <v>0</v>
      </c>
      <c r="Q2376" s="128">
        <v>436019.55</v>
      </c>
      <c r="R2376" s="128">
        <v>0</v>
      </c>
      <c r="S2376" s="128">
        <v>0</v>
      </c>
      <c r="T2376" s="128">
        <v>0</v>
      </c>
      <c r="U2376" s="128">
        <v>436019.55</v>
      </c>
      <c r="V2376" s="128">
        <v>0</v>
      </c>
      <c r="W2376" s="128">
        <v>436019.55</v>
      </c>
      <c r="X2376" s="128">
        <v>0</v>
      </c>
      <c r="Y2376" s="128">
        <v>0</v>
      </c>
      <c r="Z2376" s="128">
        <v>0</v>
      </c>
      <c r="AA2376" s="128">
        <v>436019.55</v>
      </c>
      <c r="AB2376" s="126">
        <f t="shared" si="246"/>
        <v>-4.3601954999999998E-2</v>
      </c>
      <c r="AC2376" s="122" t="s">
        <v>1838</v>
      </c>
      <c r="AD2376" s="123">
        <f t="shared" si="247"/>
        <v>1.8223966260000002</v>
      </c>
    </row>
    <row r="2377" spans="1:30" ht="12.75" hidden="1" customHeight="1">
      <c r="A2377" s="125" t="str">
        <f t="shared" si="243"/>
        <v>LIC86Trustee Fee</v>
      </c>
      <c r="B2377" s="125">
        <f>+IFERROR(VLOOKUP(L2377,'TB mapping'!A:D,4,0),0)</f>
        <v>6.2</v>
      </c>
      <c r="C2377" s="125">
        <f>+IFERROR(VLOOKUP(L2377,'TB mapping'!A:C,3,0),0)</f>
        <v>6.3</v>
      </c>
      <c r="D2377" s="125" t="str">
        <f t="shared" si="244"/>
        <v>LIC866.2</v>
      </c>
      <c r="E2377" s="125" t="str">
        <f t="shared" si="245"/>
        <v>LIC866.3</v>
      </c>
      <c r="F2377" s="158" t="str">
        <f>+VLOOKUP(H2377,'code mapping'!A:C,3,0)</f>
        <v>LIC86</v>
      </c>
      <c r="G2377" s="127" t="s">
        <v>453</v>
      </c>
      <c r="H2377" s="127" t="s">
        <v>764</v>
      </c>
      <c r="I2377" s="127" t="s">
        <v>765</v>
      </c>
      <c r="J2377" s="128">
        <v>550000</v>
      </c>
      <c r="K2377" s="127" t="s">
        <v>550</v>
      </c>
      <c r="L2377" s="151">
        <v>553131</v>
      </c>
      <c r="M2377" s="128">
        <v>0</v>
      </c>
      <c r="N2377" s="127" t="s">
        <v>555</v>
      </c>
      <c r="O2377" s="127" t="s">
        <v>457</v>
      </c>
      <c r="P2377" s="128">
        <v>-6511.37</v>
      </c>
      <c r="Q2377" s="128">
        <v>0</v>
      </c>
      <c r="R2377" s="128">
        <v>0</v>
      </c>
      <c r="S2377" s="128">
        <v>0</v>
      </c>
      <c r="T2377" s="128">
        <v>-6511.37</v>
      </c>
      <c r="U2377" s="128">
        <v>0</v>
      </c>
      <c r="V2377" s="128">
        <v>-6511.37</v>
      </c>
      <c r="W2377" s="128">
        <v>0</v>
      </c>
      <c r="X2377" s="128">
        <v>0</v>
      </c>
      <c r="Y2377" s="128">
        <v>0</v>
      </c>
      <c r="Z2377" s="128">
        <v>-6511.37</v>
      </c>
      <c r="AA2377" s="128">
        <v>0</v>
      </c>
      <c r="AB2377" s="126">
        <f t="shared" si="246"/>
        <v>6.5113699999999998E-4</v>
      </c>
      <c r="AC2377" s="122" t="s">
        <v>1838</v>
      </c>
      <c r="AD2377" s="123">
        <f t="shared" si="247"/>
        <v>1.8223966260000002</v>
      </c>
    </row>
    <row r="2378" spans="1:30" ht="12.75" hidden="1" customHeight="1">
      <c r="A2378" s="125" t="str">
        <f t="shared" si="243"/>
        <v>LIC86Bank Charges</v>
      </c>
      <c r="B2378" s="125">
        <f>+IFERROR(VLOOKUP(L2378,'TB mapping'!A:D,4,0),0)</f>
        <v>0</v>
      </c>
      <c r="C2378" s="125">
        <f>+IFERROR(VLOOKUP(L2378,'TB mapping'!A:C,3,0),0)</f>
        <v>6.3</v>
      </c>
      <c r="D2378" s="125" t="str">
        <f t="shared" si="244"/>
        <v>LIC860</v>
      </c>
      <c r="E2378" s="125" t="str">
        <f t="shared" si="245"/>
        <v>LIC866.3</v>
      </c>
      <c r="F2378" s="158" t="str">
        <f>+VLOOKUP(H2378,'code mapping'!A:C,3,0)</f>
        <v>LIC86</v>
      </c>
      <c r="G2378" s="127" t="s">
        <v>453</v>
      </c>
      <c r="H2378" s="127" t="s">
        <v>764</v>
      </c>
      <c r="I2378" s="127" t="s">
        <v>765</v>
      </c>
      <c r="J2378" s="128">
        <v>550000</v>
      </c>
      <c r="K2378" s="127" t="s">
        <v>550</v>
      </c>
      <c r="L2378" s="151">
        <v>553141</v>
      </c>
      <c r="M2378" s="128">
        <v>0</v>
      </c>
      <c r="N2378" s="127" t="s">
        <v>556</v>
      </c>
      <c r="O2378" s="127" t="s">
        <v>457</v>
      </c>
      <c r="P2378" s="128">
        <v>-26583</v>
      </c>
      <c r="Q2378" s="128">
        <v>0</v>
      </c>
      <c r="R2378" s="128">
        <v>0</v>
      </c>
      <c r="S2378" s="128">
        <v>0</v>
      </c>
      <c r="T2378" s="128">
        <v>-26583</v>
      </c>
      <c r="U2378" s="128">
        <v>0</v>
      </c>
      <c r="V2378" s="128">
        <v>-26583</v>
      </c>
      <c r="W2378" s="128">
        <v>0</v>
      </c>
      <c r="X2378" s="128">
        <v>0</v>
      </c>
      <c r="Y2378" s="128">
        <v>0</v>
      </c>
      <c r="Z2378" s="128">
        <v>-26583</v>
      </c>
      <c r="AA2378" s="128">
        <v>0</v>
      </c>
      <c r="AB2378" s="126">
        <f t="shared" si="246"/>
        <v>2.6583000000000002E-3</v>
      </c>
      <c r="AC2378" s="122" t="s">
        <v>1838</v>
      </c>
      <c r="AD2378" s="123">
        <f t="shared" si="247"/>
        <v>1.8223966260000002</v>
      </c>
    </row>
    <row r="2379" spans="1:30" ht="12.75" hidden="1" customHeight="1">
      <c r="A2379" s="125" t="str">
        <f t="shared" si="243"/>
        <v>LIC86Marketing Fees</v>
      </c>
      <c r="B2379" s="125">
        <f>+IFERROR(VLOOKUP(L2379,'TB mapping'!A:D,4,0),0)</f>
        <v>0</v>
      </c>
      <c r="C2379" s="125">
        <f>+IFERROR(VLOOKUP(L2379,'TB mapping'!A:C,3,0),0)</f>
        <v>6.3</v>
      </c>
      <c r="D2379" s="125" t="str">
        <f t="shared" si="244"/>
        <v>LIC860</v>
      </c>
      <c r="E2379" s="125" t="str">
        <f t="shared" si="245"/>
        <v>LIC866.3</v>
      </c>
      <c r="F2379" s="158" t="str">
        <f>+VLOOKUP(H2379,'code mapping'!A:C,3,0)</f>
        <v>LIC86</v>
      </c>
      <c r="G2379" s="127" t="s">
        <v>453</v>
      </c>
      <c r="H2379" s="127" t="s">
        <v>764</v>
      </c>
      <c r="I2379" s="127" t="s">
        <v>765</v>
      </c>
      <c r="J2379" s="128">
        <v>550000</v>
      </c>
      <c r="K2379" s="127" t="s">
        <v>550</v>
      </c>
      <c r="L2379" s="151">
        <v>553147</v>
      </c>
      <c r="M2379" s="128">
        <v>0</v>
      </c>
      <c r="N2379" s="127" t="s">
        <v>712</v>
      </c>
      <c r="O2379" s="127" t="s">
        <v>457</v>
      </c>
      <c r="P2379" s="128">
        <v>-6071.66</v>
      </c>
      <c r="Q2379" s="128">
        <v>0</v>
      </c>
      <c r="R2379" s="128">
        <v>0</v>
      </c>
      <c r="S2379" s="128">
        <v>0</v>
      </c>
      <c r="T2379" s="128">
        <v>-6071.66</v>
      </c>
      <c r="U2379" s="128">
        <v>0</v>
      </c>
      <c r="V2379" s="128">
        <v>-6071.66</v>
      </c>
      <c r="W2379" s="128">
        <v>0</v>
      </c>
      <c r="X2379" s="128">
        <v>0</v>
      </c>
      <c r="Y2379" s="128">
        <v>0</v>
      </c>
      <c r="Z2379" s="128">
        <v>-6071.66</v>
      </c>
      <c r="AA2379" s="128">
        <v>0</v>
      </c>
      <c r="AB2379" s="126">
        <f t="shared" si="246"/>
        <v>6.0716600000000002E-4</v>
      </c>
      <c r="AC2379" s="122" t="s">
        <v>1838</v>
      </c>
      <c r="AD2379" s="123">
        <f t="shared" si="247"/>
        <v>1.8223966260000002</v>
      </c>
    </row>
    <row r="2380" spans="1:30" ht="12.75" hidden="1" customHeight="1">
      <c r="A2380" s="125" t="str">
        <f t="shared" si="243"/>
        <v>LIC86Investor Education Fund Exps</v>
      </c>
      <c r="B2380" s="125">
        <f>+IFERROR(VLOOKUP(L2380,'TB mapping'!A:D,4,0),0)</f>
        <v>0</v>
      </c>
      <c r="C2380" s="125">
        <f>+IFERROR(VLOOKUP(L2380,'TB mapping'!A:C,3,0),0)</f>
        <v>6.3</v>
      </c>
      <c r="D2380" s="125" t="str">
        <f t="shared" si="244"/>
        <v>LIC860</v>
      </c>
      <c r="E2380" s="125" t="str">
        <f t="shared" si="245"/>
        <v>LIC866.3</v>
      </c>
      <c r="F2380" s="158" t="str">
        <f>+VLOOKUP(H2380,'code mapping'!A:C,3,0)</f>
        <v>LIC86</v>
      </c>
      <c r="G2380" s="127" t="s">
        <v>453</v>
      </c>
      <c r="H2380" s="127" t="s">
        <v>764</v>
      </c>
      <c r="I2380" s="127" t="s">
        <v>765</v>
      </c>
      <c r="J2380" s="128">
        <v>550000</v>
      </c>
      <c r="K2380" s="127" t="s">
        <v>550</v>
      </c>
      <c r="L2380" s="151">
        <v>553171</v>
      </c>
      <c r="M2380" s="128">
        <v>0</v>
      </c>
      <c r="N2380" s="127" t="s">
        <v>557</v>
      </c>
      <c r="O2380" s="127" t="s">
        <v>457</v>
      </c>
      <c r="P2380" s="128">
        <v>-67611.399999999994</v>
      </c>
      <c r="Q2380" s="128">
        <v>0</v>
      </c>
      <c r="R2380" s="128">
        <v>0</v>
      </c>
      <c r="S2380" s="128">
        <v>0</v>
      </c>
      <c r="T2380" s="128">
        <v>-67611.399999999994</v>
      </c>
      <c r="U2380" s="128">
        <v>0</v>
      </c>
      <c r="V2380" s="128">
        <v>-67611.399999999994</v>
      </c>
      <c r="W2380" s="128">
        <v>0</v>
      </c>
      <c r="X2380" s="128">
        <v>0</v>
      </c>
      <c r="Y2380" s="128">
        <v>0</v>
      </c>
      <c r="Z2380" s="128">
        <v>-67611.399999999994</v>
      </c>
      <c r="AA2380" s="128">
        <v>0</v>
      </c>
      <c r="AB2380" s="126">
        <f t="shared" si="246"/>
        <v>6.7611399999999997E-3</v>
      </c>
      <c r="AC2380" s="122" t="s">
        <v>1838</v>
      </c>
      <c r="AD2380" s="123">
        <f t="shared" si="247"/>
        <v>1.8223966260000002</v>
      </c>
    </row>
    <row r="2381" spans="1:30" ht="12.75" hidden="1" customHeight="1">
      <c r="A2381" s="125" t="str">
        <f t="shared" si="243"/>
        <v>LIC86Service Tax on Management Fees</v>
      </c>
      <c r="B2381" s="125">
        <f>+IFERROR(VLOOKUP(L2381,'TB mapping'!A:D,4,0),0)</f>
        <v>6.1</v>
      </c>
      <c r="C2381" s="125">
        <f>+IFERROR(VLOOKUP(L2381,'TB mapping'!A:C,3,0),0)</f>
        <v>6.3</v>
      </c>
      <c r="D2381" s="125" t="str">
        <f t="shared" si="244"/>
        <v>LIC866.1</v>
      </c>
      <c r="E2381" s="125" t="str">
        <f t="shared" si="245"/>
        <v>LIC866.3</v>
      </c>
      <c r="F2381" s="158" t="str">
        <f>+VLOOKUP(H2381,'code mapping'!A:C,3,0)</f>
        <v>LIC86</v>
      </c>
      <c r="G2381" s="127" t="s">
        <v>453</v>
      </c>
      <c r="H2381" s="127" t="s">
        <v>764</v>
      </c>
      <c r="I2381" s="127" t="s">
        <v>765</v>
      </c>
      <c r="J2381" s="128">
        <v>550000</v>
      </c>
      <c r="K2381" s="127" t="s">
        <v>550</v>
      </c>
      <c r="L2381" s="151">
        <v>553172</v>
      </c>
      <c r="M2381" s="128">
        <v>0</v>
      </c>
      <c r="N2381" s="127" t="s">
        <v>558</v>
      </c>
      <c r="O2381" s="127" t="s">
        <v>457</v>
      </c>
      <c r="P2381" s="128">
        <v>-272650.51</v>
      </c>
      <c r="Q2381" s="128">
        <v>0</v>
      </c>
      <c r="R2381" s="128">
        <v>0</v>
      </c>
      <c r="S2381" s="128">
        <v>0</v>
      </c>
      <c r="T2381" s="128">
        <v>-272650.51</v>
      </c>
      <c r="U2381" s="128">
        <v>0</v>
      </c>
      <c r="V2381" s="128">
        <v>-272650.51</v>
      </c>
      <c r="W2381" s="128">
        <v>0</v>
      </c>
      <c r="X2381" s="128">
        <v>0</v>
      </c>
      <c r="Y2381" s="128">
        <v>0</v>
      </c>
      <c r="Z2381" s="128">
        <v>-272650.51</v>
      </c>
      <c r="AA2381" s="128">
        <v>0</v>
      </c>
      <c r="AB2381" s="126">
        <f t="shared" si="246"/>
        <v>2.7265051000000002E-2</v>
      </c>
      <c r="AC2381" s="122" t="s">
        <v>1838</v>
      </c>
      <c r="AD2381" s="123">
        <f t="shared" si="247"/>
        <v>1.8223966260000002</v>
      </c>
    </row>
    <row r="2382" spans="1:30" ht="12.75" hidden="1" customHeight="1">
      <c r="A2382" s="125" t="str">
        <f t="shared" si="243"/>
        <v>LIC86CCIL Expenses</v>
      </c>
      <c r="B2382" s="125">
        <f>+IFERROR(VLOOKUP(L2382,'TB mapping'!A:D,4,0),0)</f>
        <v>0</v>
      </c>
      <c r="C2382" s="125">
        <f>+IFERROR(VLOOKUP(L2382,'TB mapping'!A:C,3,0),0)</f>
        <v>6.3</v>
      </c>
      <c r="D2382" s="125" t="str">
        <f t="shared" si="244"/>
        <v>LIC860</v>
      </c>
      <c r="E2382" s="125" t="str">
        <f t="shared" si="245"/>
        <v>LIC866.3</v>
      </c>
      <c r="F2382" s="158" t="str">
        <f>+VLOOKUP(H2382,'code mapping'!A:C,3,0)</f>
        <v>LIC86</v>
      </c>
      <c r="G2382" s="127" t="s">
        <v>453</v>
      </c>
      <c r="H2382" s="127" t="s">
        <v>764</v>
      </c>
      <c r="I2382" s="127" t="s">
        <v>765</v>
      </c>
      <c r="J2382" s="128">
        <v>550000</v>
      </c>
      <c r="K2382" s="127" t="s">
        <v>550</v>
      </c>
      <c r="L2382" s="151">
        <v>553176</v>
      </c>
      <c r="M2382" s="128">
        <v>0</v>
      </c>
      <c r="N2382" s="127" t="s">
        <v>559</v>
      </c>
      <c r="O2382" s="127" t="s">
        <v>457</v>
      </c>
      <c r="P2382" s="128">
        <v>-6669.6</v>
      </c>
      <c r="Q2382" s="128">
        <v>0</v>
      </c>
      <c r="R2382" s="128">
        <v>0</v>
      </c>
      <c r="S2382" s="128">
        <v>0</v>
      </c>
      <c r="T2382" s="128">
        <v>-6669.6</v>
      </c>
      <c r="U2382" s="128">
        <v>0</v>
      </c>
      <c r="V2382" s="128">
        <v>-6669.6</v>
      </c>
      <c r="W2382" s="128">
        <v>0</v>
      </c>
      <c r="X2382" s="128">
        <v>0</v>
      </c>
      <c r="Y2382" s="128">
        <v>0</v>
      </c>
      <c r="Z2382" s="128">
        <v>-6669.6</v>
      </c>
      <c r="AA2382" s="128">
        <v>0</v>
      </c>
      <c r="AB2382" s="126">
        <f t="shared" si="246"/>
        <v>6.6696000000000008E-4</v>
      </c>
      <c r="AC2382" s="122" t="s">
        <v>1838</v>
      </c>
      <c r="AD2382" s="123">
        <f t="shared" si="247"/>
        <v>1.8223966260000002</v>
      </c>
    </row>
    <row r="2383" spans="1:30" ht="12.75" hidden="1" customHeight="1">
      <c r="A2383" s="125" t="str">
        <f t="shared" si="243"/>
        <v>LIC86Out of Pocket Expenses - R&amp;T</v>
      </c>
      <c r="B2383" s="125">
        <f>+IFERROR(VLOOKUP(L2383,'TB mapping'!A:D,4,0),0)</f>
        <v>0</v>
      </c>
      <c r="C2383" s="125">
        <f>+IFERROR(VLOOKUP(L2383,'TB mapping'!A:C,3,0),0)</f>
        <v>6.3</v>
      </c>
      <c r="D2383" s="125" t="str">
        <f t="shared" si="244"/>
        <v>LIC860</v>
      </c>
      <c r="E2383" s="125" t="str">
        <f t="shared" si="245"/>
        <v>LIC866.3</v>
      </c>
      <c r="F2383" s="158" t="str">
        <f>+VLOOKUP(H2383,'code mapping'!A:C,3,0)</f>
        <v>LIC86</v>
      </c>
      <c r="G2383" s="127" t="s">
        <v>453</v>
      </c>
      <c r="H2383" s="127" t="s">
        <v>764</v>
      </c>
      <c r="I2383" s="127" t="s">
        <v>765</v>
      </c>
      <c r="J2383" s="128">
        <v>550000</v>
      </c>
      <c r="K2383" s="127" t="s">
        <v>550</v>
      </c>
      <c r="L2383" s="151">
        <v>553180</v>
      </c>
      <c r="M2383" s="128">
        <v>0</v>
      </c>
      <c r="N2383" s="127" t="s">
        <v>560</v>
      </c>
      <c r="O2383" s="127" t="s">
        <v>457</v>
      </c>
      <c r="P2383" s="128">
        <v>-91272.62</v>
      </c>
      <c r="Q2383" s="128">
        <v>0</v>
      </c>
      <c r="R2383" s="128">
        <v>0</v>
      </c>
      <c r="S2383" s="128">
        <v>0</v>
      </c>
      <c r="T2383" s="128">
        <v>-91272.62</v>
      </c>
      <c r="U2383" s="128">
        <v>0</v>
      </c>
      <c r="V2383" s="128">
        <v>-91272.62</v>
      </c>
      <c r="W2383" s="128">
        <v>0</v>
      </c>
      <c r="X2383" s="128">
        <v>0</v>
      </c>
      <c r="Y2383" s="128">
        <v>0</v>
      </c>
      <c r="Z2383" s="128">
        <v>-91272.62</v>
      </c>
      <c r="AA2383" s="128">
        <v>0</v>
      </c>
      <c r="AB2383" s="126">
        <f t="shared" si="246"/>
        <v>9.1272619999999988E-3</v>
      </c>
      <c r="AC2383" s="122" t="s">
        <v>1838</v>
      </c>
      <c r="AD2383" s="123">
        <f t="shared" si="247"/>
        <v>1.8223966260000002</v>
      </c>
    </row>
    <row r="2384" spans="1:30" ht="12.75" hidden="1" customHeight="1">
      <c r="A2384" s="125" t="str">
        <f t="shared" si="243"/>
        <v>LIC86Other Expenses</v>
      </c>
      <c r="B2384" s="125">
        <f>+IFERROR(VLOOKUP(L2384,'TB mapping'!A:D,4,0),0)</f>
        <v>0</v>
      </c>
      <c r="C2384" s="125">
        <f>+IFERROR(VLOOKUP(L2384,'TB mapping'!A:C,3,0),0)</f>
        <v>6.3</v>
      </c>
      <c r="D2384" s="125" t="str">
        <f t="shared" si="244"/>
        <v>LIC860</v>
      </c>
      <c r="E2384" s="125" t="str">
        <f t="shared" si="245"/>
        <v>LIC866.3</v>
      </c>
      <c r="F2384" s="158" t="str">
        <f>+VLOOKUP(H2384,'code mapping'!A:C,3,0)</f>
        <v>LIC86</v>
      </c>
      <c r="G2384" s="127" t="s">
        <v>453</v>
      </c>
      <c r="H2384" s="127" t="s">
        <v>764</v>
      </c>
      <c r="I2384" s="127" t="s">
        <v>765</v>
      </c>
      <c r="J2384" s="128">
        <v>550000</v>
      </c>
      <c r="K2384" s="127" t="s">
        <v>550</v>
      </c>
      <c r="L2384" s="151">
        <v>553190</v>
      </c>
      <c r="M2384" s="128">
        <v>0</v>
      </c>
      <c r="N2384" s="127" t="s">
        <v>561</v>
      </c>
      <c r="O2384" s="127" t="s">
        <v>457</v>
      </c>
      <c r="P2384" s="128">
        <v>0</v>
      </c>
      <c r="Q2384" s="128">
        <v>219535.14</v>
      </c>
      <c r="R2384" s="128">
        <v>0</v>
      </c>
      <c r="S2384" s="128">
        <v>0</v>
      </c>
      <c r="T2384" s="128">
        <v>0</v>
      </c>
      <c r="U2384" s="128">
        <v>219535.14</v>
      </c>
      <c r="V2384" s="128">
        <v>0</v>
      </c>
      <c r="W2384" s="128">
        <v>219535.14</v>
      </c>
      <c r="X2384" s="128">
        <v>0</v>
      </c>
      <c r="Y2384" s="128">
        <v>0</v>
      </c>
      <c r="Z2384" s="128">
        <v>0</v>
      </c>
      <c r="AA2384" s="128">
        <v>219535.14</v>
      </c>
      <c r="AB2384" s="126">
        <f t="shared" si="246"/>
        <v>-2.1953514E-2</v>
      </c>
      <c r="AC2384" s="122" t="s">
        <v>1838</v>
      </c>
      <c r="AD2384" s="123">
        <f t="shared" si="247"/>
        <v>1.8223966260000002</v>
      </c>
    </row>
    <row r="2385" spans="1:30" ht="12.75" hidden="1" customHeight="1">
      <c r="A2385" s="125" t="str">
        <f t="shared" si="243"/>
        <v>LIC86Other Expenses-RG</v>
      </c>
      <c r="B2385" s="125">
        <f>+IFERROR(VLOOKUP(L2385,'TB mapping'!A:D,4,0),0)</f>
        <v>0</v>
      </c>
      <c r="C2385" s="125">
        <f>+IFERROR(VLOOKUP(L2385,'TB mapping'!A:C,3,0),0)</f>
        <v>6.3</v>
      </c>
      <c r="D2385" s="125" t="str">
        <f t="shared" si="244"/>
        <v>LIC860</v>
      </c>
      <c r="E2385" s="125" t="str">
        <f t="shared" si="245"/>
        <v>LIC866.3</v>
      </c>
      <c r="F2385" s="158" t="str">
        <f>+VLOOKUP(H2385,'code mapping'!A:C,3,0)</f>
        <v>LIC86</v>
      </c>
      <c r="G2385" s="127" t="s">
        <v>453</v>
      </c>
      <c r="H2385" s="127" t="s">
        <v>764</v>
      </c>
      <c r="I2385" s="127" t="s">
        <v>765</v>
      </c>
      <c r="J2385" s="128">
        <v>550000</v>
      </c>
      <c r="K2385" s="127" t="s">
        <v>550</v>
      </c>
      <c r="L2385" s="151">
        <v>553191</v>
      </c>
      <c r="M2385" s="128">
        <v>0</v>
      </c>
      <c r="N2385" s="127" t="s">
        <v>562</v>
      </c>
      <c r="O2385" s="127" t="s">
        <v>457</v>
      </c>
      <c r="P2385" s="128">
        <v>-716150.76</v>
      </c>
      <c r="Q2385" s="128">
        <v>0</v>
      </c>
      <c r="R2385" s="128">
        <v>0</v>
      </c>
      <c r="S2385" s="128">
        <v>0</v>
      </c>
      <c r="T2385" s="128">
        <v>-716150.76</v>
      </c>
      <c r="U2385" s="128">
        <v>0</v>
      </c>
      <c r="V2385" s="128">
        <v>-716150.76</v>
      </c>
      <c r="W2385" s="128">
        <v>0</v>
      </c>
      <c r="X2385" s="128">
        <v>0</v>
      </c>
      <c r="Y2385" s="128">
        <v>0</v>
      </c>
      <c r="Z2385" s="128">
        <v>-716150.76</v>
      </c>
      <c r="AA2385" s="128">
        <v>0</v>
      </c>
      <c r="AB2385" s="126">
        <f t="shared" si="246"/>
        <v>7.1615076E-2</v>
      </c>
      <c r="AC2385" s="122" t="s">
        <v>1838</v>
      </c>
      <c r="AD2385" s="123">
        <f t="shared" si="247"/>
        <v>1.8223966260000002</v>
      </c>
    </row>
    <row r="2386" spans="1:30" ht="12.75" hidden="1" customHeight="1">
      <c r="A2386" s="125" t="str">
        <f t="shared" si="243"/>
        <v>LIC86Other Expenses-RD</v>
      </c>
      <c r="B2386" s="125">
        <f>+IFERROR(VLOOKUP(L2386,'TB mapping'!A:D,4,0),0)</f>
        <v>0</v>
      </c>
      <c r="C2386" s="125">
        <f>+IFERROR(VLOOKUP(L2386,'TB mapping'!A:C,3,0),0)</f>
        <v>6.3</v>
      </c>
      <c r="D2386" s="125" t="str">
        <f t="shared" si="244"/>
        <v>LIC860</v>
      </c>
      <c r="E2386" s="125" t="str">
        <f t="shared" si="245"/>
        <v>LIC866.3</v>
      </c>
      <c r="F2386" s="158" t="str">
        <f>+VLOOKUP(H2386,'code mapping'!A:C,3,0)</f>
        <v>LIC86</v>
      </c>
      <c r="G2386" s="127" t="s">
        <v>453</v>
      </c>
      <c r="H2386" s="127" t="s">
        <v>764</v>
      </c>
      <c r="I2386" s="127" t="s">
        <v>765</v>
      </c>
      <c r="J2386" s="128">
        <v>550000</v>
      </c>
      <c r="K2386" s="127" t="s">
        <v>550</v>
      </c>
      <c r="L2386" s="151">
        <v>553192</v>
      </c>
      <c r="M2386" s="128">
        <v>0</v>
      </c>
      <c r="N2386" s="127" t="s">
        <v>563</v>
      </c>
      <c r="O2386" s="127" t="s">
        <v>457</v>
      </c>
      <c r="P2386" s="128">
        <v>-74789.61</v>
      </c>
      <c r="Q2386" s="128">
        <v>0</v>
      </c>
      <c r="R2386" s="128">
        <v>0</v>
      </c>
      <c r="S2386" s="128">
        <v>0</v>
      </c>
      <c r="T2386" s="128">
        <v>-74789.61</v>
      </c>
      <c r="U2386" s="128">
        <v>0</v>
      </c>
      <c r="V2386" s="128">
        <v>-74789.61</v>
      </c>
      <c r="W2386" s="128">
        <v>0</v>
      </c>
      <c r="X2386" s="128">
        <v>0</v>
      </c>
      <c r="Y2386" s="128">
        <v>0</v>
      </c>
      <c r="Z2386" s="128">
        <v>-74789.61</v>
      </c>
      <c r="AA2386" s="128">
        <v>0</v>
      </c>
      <c r="AB2386" s="126">
        <f t="shared" si="246"/>
        <v>7.4789610000000001E-3</v>
      </c>
      <c r="AC2386" s="122" t="s">
        <v>1838</v>
      </c>
      <c r="AD2386" s="123">
        <f t="shared" si="247"/>
        <v>1.8223966260000002</v>
      </c>
    </row>
    <row r="2387" spans="1:30" ht="12.75" hidden="1" customHeight="1">
      <c r="A2387" s="125" t="str">
        <f t="shared" si="243"/>
        <v>LIC86Other Exp - Brok - Indirect</v>
      </c>
      <c r="B2387" s="125">
        <f>+IFERROR(VLOOKUP(L2387,'TB mapping'!A:D,4,0),0)</f>
        <v>0</v>
      </c>
      <c r="C2387" s="125">
        <f>+IFERROR(VLOOKUP(L2387,'TB mapping'!A:C,3,0),0)</f>
        <v>6.3</v>
      </c>
      <c r="D2387" s="125" t="str">
        <f t="shared" si="244"/>
        <v>LIC860</v>
      </c>
      <c r="E2387" s="125" t="str">
        <f t="shared" si="245"/>
        <v>LIC866.3</v>
      </c>
      <c r="F2387" s="158" t="str">
        <f>+VLOOKUP(H2387,'code mapping'!A:C,3,0)</f>
        <v>LIC86</v>
      </c>
      <c r="G2387" s="127" t="s">
        <v>453</v>
      </c>
      <c r="H2387" s="127" t="s">
        <v>764</v>
      </c>
      <c r="I2387" s="127" t="s">
        <v>765</v>
      </c>
      <c r="J2387" s="128">
        <v>550000</v>
      </c>
      <c r="K2387" s="127" t="s">
        <v>550</v>
      </c>
      <c r="L2387" s="151">
        <v>553202</v>
      </c>
      <c r="M2387" s="128">
        <v>0</v>
      </c>
      <c r="N2387" s="127" t="s">
        <v>564</v>
      </c>
      <c r="O2387" s="127" t="s">
        <v>457</v>
      </c>
      <c r="P2387" s="128">
        <v>-4063402.12</v>
      </c>
      <c r="Q2387" s="128">
        <v>0</v>
      </c>
      <c r="R2387" s="128">
        <v>0</v>
      </c>
      <c r="S2387" s="128">
        <v>0</v>
      </c>
      <c r="T2387" s="128">
        <v>-4063402.12</v>
      </c>
      <c r="U2387" s="128">
        <v>0</v>
      </c>
      <c r="V2387" s="128">
        <v>-4063402.12</v>
      </c>
      <c r="W2387" s="128">
        <v>0</v>
      </c>
      <c r="X2387" s="128">
        <v>0</v>
      </c>
      <c r="Y2387" s="128">
        <v>0</v>
      </c>
      <c r="Z2387" s="128">
        <v>-4063402.12</v>
      </c>
      <c r="AA2387" s="128">
        <v>0</v>
      </c>
      <c r="AB2387" s="126">
        <f t="shared" si="246"/>
        <v>0.40634021200000003</v>
      </c>
      <c r="AC2387" s="122" t="s">
        <v>1838</v>
      </c>
      <c r="AD2387" s="123">
        <f t="shared" si="247"/>
        <v>1.8223966260000002</v>
      </c>
    </row>
    <row r="2388" spans="1:30" ht="12.75" hidden="1" customHeight="1">
      <c r="A2388" s="125" t="str">
        <f t="shared" si="243"/>
        <v>LIC86Brokerage/Dist Exps</v>
      </c>
      <c r="B2388" s="125">
        <f>+IFERROR(VLOOKUP(L2388,'TB mapping'!A:D,4,0),0)</f>
        <v>0</v>
      </c>
      <c r="C2388" s="125">
        <f>+IFERROR(VLOOKUP(L2388,'TB mapping'!A:C,3,0),0)</f>
        <v>6.3</v>
      </c>
      <c r="D2388" s="125" t="str">
        <f t="shared" si="244"/>
        <v>LIC860</v>
      </c>
      <c r="E2388" s="125" t="str">
        <f t="shared" si="245"/>
        <v>LIC866.3</v>
      </c>
      <c r="F2388" s="158" t="str">
        <f>+VLOOKUP(H2388,'code mapping'!A:C,3,0)</f>
        <v>LIC86</v>
      </c>
      <c r="G2388" s="127" t="s">
        <v>453</v>
      </c>
      <c r="H2388" s="127" t="s">
        <v>764</v>
      </c>
      <c r="I2388" s="127" t="s">
        <v>765</v>
      </c>
      <c r="J2388" s="128">
        <v>550000</v>
      </c>
      <c r="K2388" s="127" t="s">
        <v>550</v>
      </c>
      <c r="L2388" s="151">
        <v>553208</v>
      </c>
      <c r="M2388" s="128">
        <v>0</v>
      </c>
      <c r="N2388" s="127" t="s">
        <v>565</v>
      </c>
      <c r="O2388" s="127" t="s">
        <v>457</v>
      </c>
      <c r="P2388" s="128">
        <v>0</v>
      </c>
      <c r="Q2388" s="128">
        <v>1392059.68</v>
      </c>
      <c r="R2388" s="128">
        <v>0</v>
      </c>
      <c r="S2388" s="128">
        <v>0</v>
      </c>
      <c r="T2388" s="128">
        <v>0</v>
      </c>
      <c r="U2388" s="128">
        <v>1392059.68</v>
      </c>
      <c r="V2388" s="128">
        <v>0</v>
      </c>
      <c r="W2388" s="128">
        <v>1392059.68</v>
      </c>
      <c r="X2388" s="128">
        <v>0</v>
      </c>
      <c r="Y2388" s="128">
        <v>0</v>
      </c>
      <c r="Z2388" s="128">
        <v>0</v>
      </c>
      <c r="AA2388" s="128">
        <v>1392059.68</v>
      </c>
      <c r="AB2388" s="126">
        <f t="shared" si="246"/>
        <v>-0.13920596799999999</v>
      </c>
      <c r="AC2388" s="122" t="s">
        <v>1838</v>
      </c>
      <c r="AD2388" s="123">
        <f t="shared" si="247"/>
        <v>1.8223966260000002</v>
      </c>
    </row>
    <row r="2389" spans="1:30" ht="12.75" hidden="1" customHeight="1">
      <c r="A2389" s="125" t="str">
        <f t="shared" si="243"/>
        <v>LIC86Internal Audit Fee</v>
      </c>
      <c r="B2389" s="125">
        <f>+IFERROR(VLOOKUP(L2389,'TB mapping'!A:D,4,0),0)</f>
        <v>0</v>
      </c>
      <c r="C2389" s="125">
        <f>+IFERROR(VLOOKUP(L2389,'TB mapping'!A:C,3,0),0)</f>
        <v>6.3</v>
      </c>
      <c r="D2389" s="125" t="str">
        <f t="shared" si="244"/>
        <v>LIC860</v>
      </c>
      <c r="E2389" s="125" t="str">
        <f t="shared" si="245"/>
        <v>LIC866.3</v>
      </c>
      <c r="F2389" s="158" t="str">
        <f>+VLOOKUP(H2389,'code mapping'!A:C,3,0)</f>
        <v>LIC86</v>
      </c>
      <c r="G2389" s="127" t="s">
        <v>453</v>
      </c>
      <c r="H2389" s="127" t="s">
        <v>764</v>
      </c>
      <c r="I2389" s="127" t="s">
        <v>765</v>
      </c>
      <c r="J2389" s="128">
        <v>550000</v>
      </c>
      <c r="K2389" s="127" t="s">
        <v>550</v>
      </c>
      <c r="L2389" s="151">
        <v>553213</v>
      </c>
      <c r="M2389" s="128">
        <v>0</v>
      </c>
      <c r="N2389" s="127" t="s">
        <v>566</v>
      </c>
      <c r="O2389" s="127" t="s">
        <v>457</v>
      </c>
      <c r="P2389" s="128">
        <v>-9134.6200000000008</v>
      </c>
      <c r="Q2389" s="128">
        <v>0</v>
      </c>
      <c r="R2389" s="128">
        <v>0</v>
      </c>
      <c r="S2389" s="128">
        <v>0</v>
      </c>
      <c r="T2389" s="128">
        <v>-9134.6200000000008</v>
      </c>
      <c r="U2389" s="128">
        <v>0</v>
      </c>
      <c r="V2389" s="128">
        <v>-9134.6200000000008</v>
      </c>
      <c r="W2389" s="128">
        <v>0</v>
      </c>
      <c r="X2389" s="128">
        <v>0</v>
      </c>
      <c r="Y2389" s="128">
        <v>0</v>
      </c>
      <c r="Z2389" s="128">
        <v>-9134.6200000000008</v>
      </c>
      <c r="AA2389" s="128">
        <v>0</v>
      </c>
      <c r="AB2389" s="126">
        <f t="shared" si="246"/>
        <v>9.1346200000000008E-4</v>
      </c>
      <c r="AC2389" s="122" t="s">
        <v>1838</v>
      </c>
      <c r="AD2389" s="123">
        <f t="shared" si="247"/>
        <v>1.8223966260000002</v>
      </c>
    </row>
    <row r="2390" spans="1:30" ht="12.75" hidden="1" customHeight="1">
      <c r="A2390" s="125" t="str">
        <f t="shared" si="243"/>
        <v>LIC86Other Expenses-GDP</v>
      </c>
      <c r="B2390" s="125">
        <f>+IFERROR(VLOOKUP(L2390,'TB mapping'!A:D,4,0),0)</f>
        <v>0</v>
      </c>
      <c r="C2390" s="125">
        <f>+IFERROR(VLOOKUP(L2390,'TB mapping'!A:C,3,0),0)</f>
        <v>6.3</v>
      </c>
      <c r="D2390" s="125" t="str">
        <f t="shared" si="244"/>
        <v>LIC860</v>
      </c>
      <c r="E2390" s="125" t="str">
        <f t="shared" si="245"/>
        <v>LIC866.3</v>
      </c>
      <c r="F2390" s="158" t="str">
        <f>+VLOOKUP(H2390,'code mapping'!A:C,3,0)</f>
        <v>LIC86</v>
      </c>
      <c r="G2390" s="127" t="s">
        <v>453</v>
      </c>
      <c r="H2390" s="127" t="s">
        <v>764</v>
      </c>
      <c r="I2390" s="127" t="s">
        <v>765</v>
      </c>
      <c r="J2390" s="128">
        <v>550000</v>
      </c>
      <c r="K2390" s="127" t="s">
        <v>550</v>
      </c>
      <c r="L2390" s="151">
        <v>553329</v>
      </c>
      <c r="M2390" s="128">
        <v>0</v>
      </c>
      <c r="N2390" s="127" t="s">
        <v>567</v>
      </c>
      <c r="O2390" s="127" t="s">
        <v>457</v>
      </c>
      <c r="P2390" s="128">
        <v>-184243.17</v>
      </c>
      <c r="Q2390" s="128">
        <v>0</v>
      </c>
      <c r="R2390" s="128">
        <v>0</v>
      </c>
      <c r="S2390" s="128">
        <v>0</v>
      </c>
      <c r="T2390" s="128">
        <v>-184243.17</v>
      </c>
      <c r="U2390" s="128">
        <v>0</v>
      </c>
      <c r="V2390" s="128">
        <v>-184243.17</v>
      </c>
      <c r="W2390" s="128">
        <v>0</v>
      </c>
      <c r="X2390" s="128">
        <v>0</v>
      </c>
      <c r="Y2390" s="128">
        <v>0</v>
      </c>
      <c r="Z2390" s="128">
        <v>-184243.17</v>
      </c>
      <c r="AA2390" s="128">
        <v>0</v>
      </c>
      <c r="AB2390" s="126">
        <f t="shared" si="246"/>
        <v>1.8424317000000003E-2</v>
      </c>
      <c r="AC2390" s="122" t="s">
        <v>1838</v>
      </c>
      <c r="AD2390" s="123">
        <f t="shared" si="247"/>
        <v>1.8223966260000002</v>
      </c>
    </row>
    <row r="2391" spans="1:30" ht="12.75" hidden="1" customHeight="1">
      <c r="A2391" s="125" t="str">
        <f t="shared" si="243"/>
        <v>LIC86Other Expenses-DDP</v>
      </c>
      <c r="B2391" s="125">
        <f>+IFERROR(VLOOKUP(L2391,'TB mapping'!A:D,4,0),0)</f>
        <v>0</v>
      </c>
      <c r="C2391" s="125">
        <f>+IFERROR(VLOOKUP(L2391,'TB mapping'!A:C,3,0),0)</f>
        <v>6.3</v>
      </c>
      <c r="D2391" s="125" t="str">
        <f t="shared" si="244"/>
        <v>LIC860</v>
      </c>
      <c r="E2391" s="125" t="str">
        <f t="shared" si="245"/>
        <v>LIC866.3</v>
      </c>
      <c r="F2391" s="158" t="str">
        <f>+VLOOKUP(H2391,'code mapping'!A:C,3,0)</f>
        <v>LIC86</v>
      </c>
      <c r="G2391" s="127" t="s">
        <v>453</v>
      </c>
      <c r="H2391" s="127" t="s">
        <v>764</v>
      </c>
      <c r="I2391" s="127" t="s">
        <v>765</v>
      </c>
      <c r="J2391" s="128">
        <v>550000</v>
      </c>
      <c r="K2391" s="127" t="s">
        <v>550</v>
      </c>
      <c r="L2391" s="151">
        <v>553330</v>
      </c>
      <c r="M2391" s="128">
        <v>0</v>
      </c>
      <c r="N2391" s="127" t="s">
        <v>568</v>
      </c>
      <c r="O2391" s="127" t="s">
        <v>457</v>
      </c>
      <c r="P2391" s="128">
        <v>-588.71</v>
      </c>
      <c r="Q2391" s="128">
        <v>0</v>
      </c>
      <c r="R2391" s="128">
        <v>0</v>
      </c>
      <c r="S2391" s="128">
        <v>0</v>
      </c>
      <c r="T2391" s="128">
        <v>-588.71</v>
      </c>
      <c r="U2391" s="128">
        <v>0</v>
      </c>
      <c r="V2391" s="128">
        <v>-588.71</v>
      </c>
      <c r="W2391" s="128">
        <v>0</v>
      </c>
      <c r="X2391" s="128">
        <v>0</v>
      </c>
      <c r="Y2391" s="128">
        <v>0</v>
      </c>
      <c r="Z2391" s="128">
        <v>-588.71</v>
      </c>
      <c r="AA2391" s="128">
        <v>0</v>
      </c>
      <c r="AB2391" s="126">
        <f t="shared" si="246"/>
        <v>5.8871000000000006E-5</v>
      </c>
      <c r="AC2391" s="122" t="s">
        <v>1838</v>
      </c>
      <c r="AD2391" s="123">
        <f t="shared" si="247"/>
        <v>1.8223966260000002</v>
      </c>
    </row>
    <row r="2392" spans="1:30" ht="12.75" hidden="1" customHeight="1">
      <c r="A2392" s="125" t="str">
        <f t="shared" si="243"/>
        <v>LIC86Inv Educ Fund Expense - Amfi</v>
      </c>
      <c r="B2392" s="125">
        <f>+IFERROR(VLOOKUP(L2392,'TB mapping'!A:D,4,0),0)</f>
        <v>0</v>
      </c>
      <c r="C2392" s="125">
        <f>+IFERROR(VLOOKUP(L2392,'TB mapping'!A:C,3,0),0)</f>
        <v>6.3</v>
      </c>
      <c r="D2392" s="125" t="str">
        <f t="shared" si="244"/>
        <v>LIC860</v>
      </c>
      <c r="E2392" s="125" t="str">
        <f t="shared" si="245"/>
        <v>LIC866.3</v>
      </c>
      <c r="F2392" s="158" t="str">
        <f>+VLOOKUP(H2392,'code mapping'!A:C,3,0)</f>
        <v>LIC86</v>
      </c>
      <c r="G2392" s="127" t="s">
        <v>453</v>
      </c>
      <c r="H2392" s="127" t="s">
        <v>764</v>
      </c>
      <c r="I2392" s="127" t="s">
        <v>765</v>
      </c>
      <c r="J2392" s="128">
        <v>550000</v>
      </c>
      <c r="K2392" s="127" t="s">
        <v>550</v>
      </c>
      <c r="L2392" s="151">
        <v>554526</v>
      </c>
      <c r="M2392" s="128">
        <v>0</v>
      </c>
      <c r="N2392" s="127" t="s">
        <v>569</v>
      </c>
      <c r="O2392" s="127" t="s">
        <v>457</v>
      </c>
      <c r="P2392" s="128">
        <v>-67611.399999999994</v>
      </c>
      <c r="Q2392" s="128">
        <v>0</v>
      </c>
      <c r="R2392" s="128">
        <v>0</v>
      </c>
      <c r="S2392" s="128">
        <v>0</v>
      </c>
      <c r="T2392" s="128">
        <v>-67611.399999999994</v>
      </c>
      <c r="U2392" s="128">
        <v>0</v>
      </c>
      <c r="V2392" s="128">
        <v>-67611.399999999994</v>
      </c>
      <c r="W2392" s="128">
        <v>0</v>
      </c>
      <c r="X2392" s="128">
        <v>0</v>
      </c>
      <c r="Y2392" s="128">
        <v>0</v>
      </c>
      <c r="Z2392" s="128">
        <v>-67611.399999999994</v>
      </c>
      <c r="AA2392" s="128">
        <v>0</v>
      </c>
      <c r="AB2392" s="126">
        <f t="shared" si="246"/>
        <v>6.7611399999999997E-3</v>
      </c>
      <c r="AC2392" s="122" t="s">
        <v>1838</v>
      </c>
      <c r="AD2392" s="123">
        <f t="shared" si="247"/>
        <v>1.8223966260000002</v>
      </c>
    </row>
    <row r="2393" spans="1:30" ht="12.75" hidden="1" customHeight="1">
      <c r="A2393" s="125" t="str">
        <f t="shared" si="243"/>
        <v>LIC86Transaction Processing Charges</v>
      </c>
      <c r="B2393" s="125">
        <f>+IFERROR(VLOOKUP(L2393,'TB mapping'!A:D,4,0),0)</f>
        <v>0</v>
      </c>
      <c r="C2393" s="125">
        <f>+IFERROR(VLOOKUP(L2393,'TB mapping'!A:C,3,0),0)</f>
        <v>6.3</v>
      </c>
      <c r="D2393" s="125" t="str">
        <f t="shared" si="244"/>
        <v>LIC860</v>
      </c>
      <c r="E2393" s="125" t="str">
        <f t="shared" si="245"/>
        <v>LIC866.3</v>
      </c>
      <c r="F2393" s="158" t="str">
        <f>+VLOOKUP(H2393,'code mapping'!A:C,3,0)</f>
        <v>LIC86</v>
      </c>
      <c r="G2393" s="127" t="s">
        <v>453</v>
      </c>
      <c r="H2393" s="127" t="s">
        <v>764</v>
      </c>
      <c r="I2393" s="127" t="s">
        <v>765</v>
      </c>
      <c r="J2393" s="128">
        <v>550000</v>
      </c>
      <c r="K2393" s="127" t="s">
        <v>550</v>
      </c>
      <c r="L2393" s="151">
        <v>554527</v>
      </c>
      <c r="M2393" s="128">
        <v>0</v>
      </c>
      <c r="N2393" s="127" t="s">
        <v>570</v>
      </c>
      <c r="O2393" s="127" t="s">
        <v>457</v>
      </c>
      <c r="P2393" s="128">
        <v>-294</v>
      </c>
      <c r="Q2393" s="128">
        <v>0</v>
      </c>
      <c r="R2393" s="128">
        <v>0</v>
      </c>
      <c r="S2393" s="128">
        <v>0</v>
      </c>
      <c r="T2393" s="128">
        <v>-294</v>
      </c>
      <c r="U2393" s="128">
        <v>0</v>
      </c>
      <c r="V2393" s="128">
        <v>-294</v>
      </c>
      <c r="W2393" s="128">
        <v>0</v>
      </c>
      <c r="X2393" s="128">
        <v>0</v>
      </c>
      <c r="Y2393" s="128">
        <v>0</v>
      </c>
      <c r="Z2393" s="128">
        <v>-294</v>
      </c>
      <c r="AA2393" s="128">
        <v>0</v>
      </c>
      <c r="AB2393" s="126">
        <f t="shared" si="246"/>
        <v>2.94E-5</v>
      </c>
      <c r="AC2393" s="122" t="s">
        <v>1838</v>
      </c>
      <c r="AD2393" s="123">
        <f t="shared" si="247"/>
        <v>1.8223966260000002</v>
      </c>
    </row>
    <row r="2394" spans="1:30" ht="12.75" hidden="1" customHeight="1">
      <c r="A2394" s="125" t="str">
        <f t="shared" si="243"/>
        <v>LIC86Client Servicing Expenes</v>
      </c>
      <c r="B2394" s="125">
        <f>+IFERROR(VLOOKUP(L2394,'TB mapping'!A:D,4,0),0)</f>
        <v>0</v>
      </c>
      <c r="C2394" s="125">
        <f>+IFERROR(VLOOKUP(L2394,'TB mapping'!A:C,3,0),0)</f>
        <v>6.3</v>
      </c>
      <c r="D2394" s="125" t="str">
        <f t="shared" si="244"/>
        <v>LIC860</v>
      </c>
      <c r="E2394" s="125" t="str">
        <f t="shared" si="245"/>
        <v>LIC866.3</v>
      </c>
      <c r="F2394" s="158" t="str">
        <f>+VLOOKUP(H2394,'code mapping'!A:C,3,0)</f>
        <v>LIC86</v>
      </c>
      <c r="G2394" s="127" t="s">
        <v>453</v>
      </c>
      <c r="H2394" s="127" t="s">
        <v>764</v>
      </c>
      <c r="I2394" s="127" t="s">
        <v>765</v>
      </c>
      <c r="J2394" s="128">
        <v>550000</v>
      </c>
      <c r="K2394" s="127" t="s">
        <v>550</v>
      </c>
      <c r="L2394" s="151">
        <v>555157</v>
      </c>
      <c r="M2394" s="128">
        <v>0</v>
      </c>
      <c r="N2394" s="127" t="s">
        <v>571</v>
      </c>
      <c r="O2394" s="127" t="s">
        <v>457</v>
      </c>
      <c r="P2394" s="128">
        <v>-3516111.68</v>
      </c>
      <c r="Q2394" s="128">
        <v>0</v>
      </c>
      <c r="R2394" s="128">
        <v>0</v>
      </c>
      <c r="S2394" s="128">
        <v>0</v>
      </c>
      <c r="T2394" s="128">
        <v>-3516111.68</v>
      </c>
      <c r="U2394" s="128">
        <v>0</v>
      </c>
      <c r="V2394" s="128">
        <v>-3516111.68</v>
      </c>
      <c r="W2394" s="128">
        <v>0</v>
      </c>
      <c r="X2394" s="128">
        <v>0</v>
      </c>
      <c r="Y2394" s="128">
        <v>0</v>
      </c>
      <c r="Z2394" s="128">
        <v>-3516111.68</v>
      </c>
      <c r="AA2394" s="128">
        <v>0</v>
      </c>
      <c r="AB2394" s="126">
        <f t="shared" si="246"/>
        <v>0.35161116800000003</v>
      </c>
      <c r="AC2394" s="122" t="s">
        <v>1838</v>
      </c>
      <c r="AD2394" s="123">
        <f t="shared" si="247"/>
        <v>1.8223966260000002</v>
      </c>
    </row>
    <row r="2395" spans="1:30" ht="12.75" hidden="1" customHeight="1">
      <c r="A2395" s="125" t="str">
        <f t="shared" si="243"/>
        <v>LIC86Management Fee-Reclassfication</v>
      </c>
      <c r="B2395" s="125">
        <f>+IFERROR(VLOOKUP(L2395,'TB mapping'!A:D,4,0),0)</f>
        <v>6.1</v>
      </c>
      <c r="C2395" s="125">
        <f>+IFERROR(VLOOKUP(L2395,'TB mapping'!A:C,3,0),0)</f>
        <v>6.3</v>
      </c>
      <c r="D2395" s="125" t="str">
        <f t="shared" si="244"/>
        <v>LIC866.1</v>
      </c>
      <c r="E2395" s="125" t="str">
        <f t="shared" si="245"/>
        <v>LIC866.3</v>
      </c>
      <c r="F2395" s="158" t="str">
        <f>+VLOOKUP(H2395,'code mapping'!A:C,3,0)</f>
        <v>LIC86</v>
      </c>
      <c r="G2395" s="127" t="s">
        <v>453</v>
      </c>
      <c r="H2395" s="127" t="s">
        <v>764</v>
      </c>
      <c r="I2395" s="127" t="s">
        <v>765</v>
      </c>
      <c r="J2395" s="128">
        <v>550000</v>
      </c>
      <c r="K2395" s="127" t="s">
        <v>550</v>
      </c>
      <c r="L2395" s="151">
        <v>555274</v>
      </c>
      <c r="M2395" s="128">
        <v>0</v>
      </c>
      <c r="N2395" s="127" t="s">
        <v>583</v>
      </c>
      <c r="O2395" s="127" t="s">
        <v>457</v>
      </c>
      <c r="P2395" s="128">
        <v>-1080508.3700000001</v>
      </c>
      <c r="Q2395" s="128">
        <v>0</v>
      </c>
      <c r="R2395" s="128">
        <v>0</v>
      </c>
      <c r="S2395" s="128">
        <v>0</v>
      </c>
      <c r="T2395" s="128">
        <v>-1080508.3700000001</v>
      </c>
      <c r="U2395" s="128">
        <v>0</v>
      </c>
      <c r="V2395" s="128">
        <v>-1080508.3700000001</v>
      </c>
      <c r="W2395" s="128">
        <v>0</v>
      </c>
      <c r="X2395" s="128">
        <v>0</v>
      </c>
      <c r="Y2395" s="128">
        <v>0</v>
      </c>
      <c r="Z2395" s="128">
        <v>-1080508.3700000001</v>
      </c>
      <c r="AA2395" s="128">
        <v>0</v>
      </c>
      <c r="AB2395" s="126">
        <f t="shared" si="246"/>
        <v>0.10805083700000001</v>
      </c>
      <c r="AC2395" s="122" t="s">
        <v>1838</v>
      </c>
      <c r="AD2395" s="123">
        <f t="shared" si="247"/>
        <v>1.8223966260000002</v>
      </c>
    </row>
    <row r="2396" spans="1:30" ht="12.75" hidden="1" customHeight="1">
      <c r="A2396" s="125" t="str">
        <f t="shared" si="243"/>
        <v>LIC86Brokerage_Indirect_Reclassify</v>
      </c>
      <c r="B2396" s="125">
        <f>+IFERROR(VLOOKUP(L2396,'TB mapping'!A:D,4,0),0)</f>
        <v>0</v>
      </c>
      <c r="C2396" s="125">
        <f>+IFERROR(VLOOKUP(L2396,'TB mapping'!A:C,3,0),0)</f>
        <v>6.3</v>
      </c>
      <c r="D2396" s="125" t="str">
        <f t="shared" si="244"/>
        <v>LIC860</v>
      </c>
      <c r="E2396" s="125" t="str">
        <f t="shared" si="245"/>
        <v>LIC866.3</v>
      </c>
      <c r="F2396" s="158" t="str">
        <f>+VLOOKUP(H2396,'code mapping'!A:C,3,0)</f>
        <v>LIC86</v>
      </c>
      <c r="G2396" s="127" t="s">
        <v>453</v>
      </c>
      <c r="H2396" s="127" t="s">
        <v>764</v>
      </c>
      <c r="I2396" s="127" t="s">
        <v>765</v>
      </c>
      <c r="J2396" s="128">
        <v>550000</v>
      </c>
      <c r="K2396" s="127" t="s">
        <v>550</v>
      </c>
      <c r="L2396" s="151">
        <v>555275</v>
      </c>
      <c r="M2396" s="128">
        <v>0</v>
      </c>
      <c r="N2396" s="127" t="s">
        <v>600</v>
      </c>
      <c r="O2396" s="127" t="s">
        <v>457</v>
      </c>
      <c r="P2396" s="128">
        <v>0</v>
      </c>
      <c r="Q2396" s="128">
        <v>399999.99</v>
      </c>
      <c r="R2396" s="128">
        <v>0</v>
      </c>
      <c r="S2396" s="128">
        <v>0</v>
      </c>
      <c r="T2396" s="128">
        <v>0</v>
      </c>
      <c r="U2396" s="128">
        <v>399999.99</v>
      </c>
      <c r="V2396" s="128">
        <v>0</v>
      </c>
      <c r="W2396" s="128">
        <v>399999.99</v>
      </c>
      <c r="X2396" s="128">
        <v>0</v>
      </c>
      <c r="Y2396" s="128">
        <v>0</v>
      </c>
      <c r="Z2396" s="128">
        <v>0</v>
      </c>
      <c r="AA2396" s="128">
        <v>399999.99</v>
      </c>
      <c r="AB2396" s="126">
        <f t="shared" si="246"/>
        <v>-3.9999999000000001E-2</v>
      </c>
      <c r="AC2396" s="122" t="s">
        <v>1838</v>
      </c>
      <c r="AD2396" s="123">
        <f t="shared" si="247"/>
        <v>1.8223966260000002</v>
      </c>
    </row>
    <row r="2397" spans="1:30" ht="12.75" hidden="1" customHeight="1">
      <c r="A2397" s="125" t="str">
        <f t="shared" si="243"/>
        <v>LIC86CGST on Reclassify of Exp</v>
      </c>
      <c r="B2397" s="125">
        <f>+IFERROR(VLOOKUP(L2397,'TB mapping'!A:D,4,0),0)</f>
        <v>0</v>
      </c>
      <c r="C2397" s="125">
        <f>+IFERROR(VLOOKUP(L2397,'TB mapping'!A:C,3,0),0)</f>
        <v>6.3</v>
      </c>
      <c r="D2397" s="125" t="str">
        <f t="shared" si="244"/>
        <v>LIC860</v>
      </c>
      <c r="E2397" s="125" t="str">
        <f t="shared" si="245"/>
        <v>LIC866.3</v>
      </c>
      <c r="F2397" s="158" t="str">
        <f>+VLOOKUP(H2397,'code mapping'!A:C,3,0)</f>
        <v>LIC86</v>
      </c>
      <c r="G2397" s="127" t="s">
        <v>453</v>
      </c>
      <c r="H2397" s="127" t="s">
        <v>764</v>
      </c>
      <c r="I2397" s="127" t="s">
        <v>765</v>
      </c>
      <c r="J2397" s="128">
        <v>550000</v>
      </c>
      <c r="K2397" s="127" t="s">
        <v>550</v>
      </c>
      <c r="L2397" s="151">
        <v>555276</v>
      </c>
      <c r="M2397" s="128">
        <v>0</v>
      </c>
      <c r="N2397" s="127" t="s">
        <v>572</v>
      </c>
      <c r="O2397" s="127" t="s">
        <v>457</v>
      </c>
      <c r="P2397" s="128">
        <v>-36228.81</v>
      </c>
      <c r="Q2397" s="128">
        <v>0</v>
      </c>
      <c r="R2397" s="128">
        <v>0</v>
      </c>
      <c r="S2397" s="128">
        <v>0</v>
      </c>
      <c r="T2397" s="128">
        <v>-36228.81</v>
      </c>
      <c r="U2397" s="128">
        <v>0</v>
      </c>
      <c r="V2397" s="128">
        <v>-36228.81</v>
      </c>
      <c r="W2397" s="128">
        <v>0</v>
      </c>
      <c r="X2397" s="128">
        <v>0</v>
      </c>
      <c r="Y2397" s="128">
        <v>0</v>
      </c>
      <c r="Z2397" s="128">
        <v>-36228.81</v>
      </c>
      <c r="AA2397" s="128">
        <v>0</v>
      </c>
      <c r="AB2397" s="126">
        <f t="shared" si="246"/>
        <v>3.6228809999999997E-3</v>
      </c>
      <c r="AC2397" s="122" t="s">
        <v>1838</v>
      </c>
      <c r="AD2397" s="123">
        <f t="shared" si="247"/>
        <v>1.8223966260000002</v>
      </c>
    </row>
    <row r="2398" spans="1:30" ht="12.75" hidden="1" customHeight="1">
      <c r="A2398" s="125" t="str">
        <f t="shared" si="243"/>
        <v>LIC86SGST on Reclassify of Exp</v>
      </c>
      <c r="B2398" s="125">
        <f>+IFERROR(VLOOKUP(L2398,'TB mapping'!A:D,4,0),0)</f>
        <v>0</v>
      </c>
      <c r="C2398" s="125">
        <f>+IFERROR(VLOOKUP(L2398,'TB mapping'!A:C,3,0),0)</f>
        <v>6.3</v>
      </c>
      <c r="D2398" s="125" t="str">
        <f t="shared" si="244"/>
        <v>LIC860</v>
      </c>
      <c r="E2398" s="125" t="str">
        <f t="shared" si="245"/>
        <v>LIC866.3</v>
      </c>
      <c r="F2398" s="158" t="str">
        <f>+VLOOKUP(H2398,'code mapping'!A:C,3,0)</f>
        <v>LIC86</v>
      </c>
      <c r="G2398" s="127" t="s">
        <v>453</v>
      </c>
      <c r="H2398" s="127" t="s">
        <v>764</v>
      </c>
      <c r="I2398" s="127" t="s">
        <v>765</v>
      </c>
      <c r="J2398" s="128">
        <v>550000</v>
      </c>
      <c r="K2398" s="127" t="s">
        <v>550</v>
      </c>
      <c r="L2398" s="151">
        <v>555277</v>
      </c>
      <c r="M2398" s="128">
        <v>0</v>
      </c>
      <c r="N2398" s="127" t="s">
        <v>573</v>
      </c>
      <c r="O2398" s="127" t="s">
        <v>457</v>
      </c>
      <c r="P2398" s="128">
        <v>-36228.81</v>
      </c>
      <c r="Q2398" s="128">
        <v>0</v>
      </c>
      <c r="R2398" s="128">
        <v>0</v>
      </c>
      <c r="S2398" s="128">
        <v>0</v>
      </c>
      <c r="T2398" s="128">
        <v>-36228.81</v>
      </c>
      <c r="U2398" s="128">
        <v>0</v>
      </c>
      <c r="V2398" s="128">
        <v>-36228.81</v>
      </c>
      <c r="W2398" s="128">
        <v>0</v>
      </c>
      <c r="X2398" s="128">
        <v>0</v>
      </c>
      <c r="Y2398" s="128">
        <v>0</v>
      </c>
      <c r="Z2398" s="128">
        <v>-36228.81</v>
      </c>
      <c r="AA2398" s="128">
        <v>0</v>
      </c>
      <c r="AB2398" s="126">
        <f t="shared" si="246"/>
        <v>3.6228809999999997E-3</v>
      </c>
      <c r="AC2398" s="122" t="s">
        <v>1838</v>
      </c>
      <c r="AD2398" s="123">
        <f t="shared" si="247"/>
        <v>1.8223966260000002</v>
      </c>
    </row>
    <row r="2399" spans="1:30" ht="12.75" hidden="1" customHeight="1">
      <c r="A2399" s="125" t="str">
        <f t="shared" si="243"/>
        <v>LIC86Other Expense-Reclassfication</v>
      </c>
      <c r="B2399" s="125">
        <f>+IFERROR(VLOOKUP(L2399,'TB mapping'!A:D,4,0),0)</f>
        <v>0</v>
      </c>
      <c r="C2399" s="125">
        <f>+IFERROR(VLOOKUP(L2399,'TB mapping'!A:C,3,0),0)</f>
        <v>0</v>
      </c>
      <c r="D2399" s="125" t="str">
        <f t="shared" si="244"/>
        <v>LIC860</v>
      </c>
      <c r="E2399" s="125" t="str">
        <f t="shared" si="245"/>
        <v>LIC860</v>
      </c>
      <c r="F2399" s="158" t="str">
        <f>+VLOOKUP(H2399,'code mapping'!A:C,3,0)</f>
        <v>LIC86</v>
      </c>
      <c r="G2399" s="127" t="s">
        <v>453</v>
      </c>
      <c r="H2399" s="127" t="s">
        <v>764</v>
      </c>
      <c r="I2399" s="127" t="s">
        <v>765</v>
      </c>
      <c r="J2399" s="128">
        <v>550000</v>
      </c>
      <c r="K2399" s="127" t="s">
        <v>550</v>
      </c>
      <c r="L2399" s="151">
        <v>555280</v>
      </c>
      <c r="M2399" s="128">
        <v>0</v>
      </c>
      <c r="N2399" s="127" t="s">
        <v>1590</v>
      </c>
      <c r="O2399" s="127" t="s">
        <v>457</v>
      </c>
      <c r="P2399" s="128">
        <v>0</v>
      </c>
      <c r="Q2399" s="128">
        <v>75000</v>
      </c>
      <c r="R2399" s="128">
        <v>0</v>
      </c>
      <c r="S2399" s="128">
        <v>0</v>
      </c>
      <c r="T2399" s="128">
        <v>0</v>
      </c>
      <c r="U2399" s="128">
        <v>75000</v>
      </c>
      <c r="V2399" s="128">
        <v>0</v>
      </c>
      <c r="W2399" s="128">
        <v>75000</v>
      </c>
      <c r="X2399" s="128">
        <v>0</v>
      </c>
      <c r="Y2399" s="128">
        <v>0</v>
      </c>
      <c r="Z2399" s="128">
        <v>0</v>
      </c>
      <c r="AA2399" s="128">
        <v>75000</v>
      </c>
      <c r="AB2399" s="126">
        <f t="shared" si="246"/>
        <v>-7.4999999999999997E-3</v>
      </c>
      <c r="AC2399" s="122" t="s">
        <v>1838</v>
      </c>
      <c r="AD2399" s="123">
        <f>SUMIF(C:C,C2399,AB:AB)</f>
        <v>1983.9723217250009</v>
      </c>
    </row>
    <row r="2400" spans="1:30" ht="12.75" hidden="1" customHeight="1">
      <c r="A2400" s="125" t="str">
        <f t="shared" si="243"/>
        <v>LIC86CGST on Mfees</v>
      </c>
      <c r="B2400" s="125">
        <f>+IFERROR(VLOOKUP(L2400,'TB mapping'!A:D,4,0),0)</f>
        <v>6.1</v>
      </c>
      <c r="C2400" s="125">
        <f>+IFERROR(VLOOKUP(L2400,'TB mapping'!A:C,3,0),0)</f>
        <v>6.3</v>
      </c>
      <c r="D2400" s="125" t="str">
        <f t="shared" si="244"/>
        <v>LIC866.1</v>
      </c>
      <c r="E2400" s="125" t="str">
        <f t="shared" si="245"/>
        <v>LIC866.3</v>
      </c>
      <c r="F2400" s="158" t="str">
        <f>+VLOOKUP(H2400,'code mapping'!A:C,3,0)</f>
        <v>LIC86</v>
      </c>
      <c r="G2400" s="127" t="s">
        <v>453</v>
      </c>
      <c r="H2400" s="127" t="s">
        <v>764</v>
      </c>
      <c r="I2400" s="127" t="s">
        <v>765</v>
      </c>
      <c r="J2400" s="128">
        <v>550000</v>
      </c>
      <c r="K2400" s="127" t="s">
        <v>550</v>
      </c>
      <c r="L2400" s="151">
        <v>555597</v>
      </c>
      <c r="M2400" s="128">
        <v>0</v>
      </c>
      <c r="N2400" s="127" t="s">
        <v>574</v>
      </c>
      <c r="O2400" s="127" t="s">
        <v>457</v>
      </c>
      <c r="P2400" s="128">
        <v>-695346.5</v>
      </c>
      <c r="Q2400" s="128">
        <v>0</v>
      </c>
      <c r="R2400" s="128">
        <v>0</v>
      </c>
      <c r="S2400" s="128">
        <v>0</v>
      </c>
      <c r="T2400" s="128">
        <v>-695346.5</v>
      </c>
      <c r="U2400" s="128">
        <v>0</v>
      </c>
      <c r="V2400" s="128">
        <v>-695346.5</v>
      </c>
      <c r="W2400" s="128">
        <v>0</v>
      </c>
      <c r="X2400" s="128">
        <v>0</v>
      </c>
      <c r="Y2400" s="128">
        <v>0</v>
      </c>
      <c r="Z2400" s="128">
        <v>-695346.5</v>
      </c>
      <c r="AA2400" s="128">
        <v>0</v>
      </c>
      <c r="AB2400" s="126">
        <f t="shared" si="246"/>
        <v>6.9534650000000003E-2</v>
      </c>
      <c r="AC2400" s="122" t="s">
        <v>1838</v>
      </c>
      <c r="AD2400" s="123">
        <f t="shared" ref="AD2400:AD2409" si="248">SUMIF(E:E,E2400,AB:AB)</f>
        <v>1.8223966260000002</v>
      </c>
    </row>
    <row r="2401" spans="1:30" ht="12.75" hidden="1" customHeight="1">
      <c r="A2401" s="125" t="str">
        <f t="shared" si="243"/>
        <v>LIC86SGST on Mfees</v>
      </c>
      <c r="B2401" s="125">
        <f>+IFERROR(VLOOKUP(L2401,'TB mapping'!A:D,4,0),0)</f>
        <v>6.1</v>
      </c>
      <c r="C2401" s="125">
        <f>+IFERROR(VLOOKUP(L2401,'TB mapping'!A:C,3,0),0)</f>
        <v>6.3</v>
      </c>
      <c r="D2401" s="125" t="str">
        <f t="shared" si="244"/>
        <v>LIC866.1</v>
      </c>
      <c r="E2401" s="125" t="str">
        <f t="shared" si="245"/>
        <v>LIC866.3</v>
      </c>
      <c r="F2401" s="158" t="str">
        <f>+VLOOKUP(H2401,'code mapping'!A:C,3,0)</f>
        <v>LIC86</v>
      </c>
      <c r="G2401" s="127" t="s">
        <v>453</v>
      </c>
      <c r="H2401" s="127" t="s">
        <v>764</v>
      </c>
      <c r="I2401" s="127" t="s">
        <v>765</v>
      </c>
      <c r="J2401" s="128">
        <v>550000</v>
      </c>
      <c r="K2401" s="127" t="s">
        <v>550</v>
      </c>
      <c r="L2401" s="151">
        <v>555598</v>
      </c>
      <c r="M2401" s="128">
        <v>0</v>
      </c>
      <c r="N2401" s="127" t="s">
        <v>575</v>
      </c>
      <c r="O2401" s="127" t="s">
        <v>457</v>
      </c>
      <c r="P2401" s="128">
        <v>-695346.39</v>
      </c>
      <c r="Q2401" s="128">
        <v>0</v>
      </c>
      <c r="R2401" s="128">
        <v>0</v>
      </c>
      <c r="S2401" s="128">
        <v>0</v>
      </c>
      <c r="T2401" s="128">
        <v>-695346.39</v>
      </c>
      <c r="U2401" s="128">
        <v>0</v>
      </c>
      <c r="V2401" s="128">
        <v>-695346.39</v>
      </c>
      <c r="W2401" s="128">
        <v>0</v>
      </c>
      <c r="X2401" s="128">
        <v>0</v>
      </c>
      <c r="Y2401" s="128">
        <v>0</v>
      </c>
      <c r="Z2401" s="128">
        <v>-695346.39</v>
      </c>
      <c r="AA2401" s="128">
        <v>0</v>
      </c>
      <c r="AB2401" s="126">
        <f t="shared" si="246"/>
        <v>6.9534638999999995E-2</v>
      </c>
      <c r="AC2401" s="122" t="s">
        <v>1838</v>
      </c>
      <c r="AD2401" s="123">
        <f t="shared" si="248"/>
        <v>1.8223966260000002</v>
      </c>
    </row>
    <row r="2402" spans="1:30" ht="12.75" hidden="1" customHeight="1">
      <c r="A2402" s="125" t="str">
        <f t="shared" si="243"/>
        <v>LIC86CGST on Mfees -GDP</v>
      </c>
      <c r="B2402" s="125">
        <f>+IFERROR(VLOOKUP(L2402,'TB mapping'!A:D,4,0),0)</f>
        <v>6.1</v>
      </c>
      <c r="C2402" s="125">
        <f>+IFERROR(VLOOKUP(L2402,'TB mapping'!A:C,3,0),0)</f>
        <v>6.3</v>
      </c>
      <c r="D2402" s="125" t="str">
        <f t="shared" si="244"/>
        <v>LIC866.1</v>
      </c>
      <c r="E2402" s="125" t="str">
        <f t="shared" si="245"/>
        <v>LIC866.3</v>
      </c>
      <c r="F2402" s="158" t="str">
        <f>+VLOOKUP(H2402,'code mapping'!A:C,3,0)</f>
        <v>LIC86</v>
      </c>
      <c r="G2402" s="127" t="s">
        <v>453</v>
      </c>
      <c r="H2402" s="127" t="s">
        <v>764</v>
      </c>
      <c r="I2402" s="127" t="s">
        <v>765</v>
      </c>
      <c r="J2402" s="128">
        <v>550000</v>
      </c>
      <c r="K2402" s="127" t="s">
        <v>550</v>
      </c>
      <c r="L2402" s="151">
        <v>555599</v>
      </c>
      <c r="M2402" s="128">
        <v>0</v>
      </c>
      <c r="N2402" s="127" t="s">
        <v>576</v>
      </c>
      <c r="O2402" s="127" t="s">
        <v>457</v>
      </c>
      <c r="P2402" s="128">
        <v>0</v>
      </c>
      <c r="Q2402" s="128">
        <v>3160.16</v>
      </c>
      <c r="R2402" s="128">
        <v>0</v>
      </c>
      <c r="S2402" s="128">
        <v>0</v>
      </c>
      <c r="T2402" s="128">
        <v>0</v>
      </c>
      <c r="U2402" s="128">
        <v>3160.16</v>
      </c>
      <c r="V2402" s="128">
        <v>0</v>
      </c>
      <c r="W2402" s="128">
        <v>3160.16</v>
      </c>
      <c r="X2402" s="128">
        <v>0</v>
      </c>
      <c r="Y2402" s="128">
        <v>0</v>
      </c>
      <c r="Z2402" s="128">
        <v>0</v>
      </c>
      <c r="AA2402" s="128">
        <v>3160.16</v>
      </c>
      <c r="AB2402" s="126">
        <f t="shared" si="246"/>
        <v>-3.1601599999999996E-4</v>
      </c>
      <c r="AC2402" s="122" t="s">
        <v>1838</v>
      </c>
      <c r="AD2402" s="123">
        <f t="shared" si="248"/>
        <v>1.8223966260000002</v>
      </c>
    </row>
    <row r="2403" spans="1:30" ht="12.75" hidden="1" customHeight="1">
      <c r="A2403" s="125" t="str">
        <f t="shared" si="243"/>
        <v>LIC86SGST on Mfees -GDP</v>
      </c>
      <c r="B2403" s="125">
        <f>+IFERROR(VLOOKUP(L2403,'TB mapping'!A:D,4,0),0)</f>
        <v>6.1</v>
      </c>
      <c r="C2403" s="125">
        <f>+IFERROR(VLOOKUP(L2403,'TB mapping'!A:C,3,0),0)</f>
        <v>6.3</v>
      </c>
      <c r="D2403" s="125" t="str">
        <f t="shared" si="244"/>
        <v>LIC866.1</v>
      </c>
      <c r="E2403" s="125" t="str">
        <f t="shared" si="245"/>
        <v>LIC866.3</v>
      </c>
      <c r="F2403" s="158" t="str">
        <f>+VLOOKUP(H2403,'code mapping'!A:C,3,0)</f>
        <v>LIC86</v>
      </c>
      <c r="G2403" s="127" t="s">
        <v>453</v>
      </c>
      <c r="H2403" s="127" t="s">
        <v>764</v>
      </c>
      <c r="I2403" s="127" t="s">
        <v>765</v>
      </c>
      <c r="J2403" s="128">
        <v>550000</v>
      </c>
      <c r="K2403" s="127" t="s">
        <v>550</v>
      </c>
      <c r="L2403" s="151">
        <v>555600</v>
      </c>
      <c r="M2403" s="128">
        <v>0</v>
      </c>
      <c r="N2403" s="127" t="s">
        <v>577</v>
      </c>
      <c r="O2403" s="127" t="s">
        <v>457</v>
      </c>
      <c r="P2403" s="128">
        <v>0</v>
      </c>
      <c r="Q2403" s="128">
        <v>3160.05</v>
      </c>
      <c r="R2403" s="128">
        <v>0</v>
      </c>
      <c r="S2403" s="128">
        <v>0</v>
      </c>
      <c r="T2403" s="128">
        <v>0</v>
      </c>
      <c r="U2403" s="128">
        <v>3160.05</v>
      </c>
      <c r="V2403" s="128">
        <v>0</v>
      </c>
      <c r="W2403" s="128">
        <v>3160.05</v>
      </c>
      <c r="X2403" s="128">
        <v>0</v>
      </c>
      <c r="Y2403" s="128">
        <v>0</v>
      </c>
      <c r="Z2403" s="128">
        <v>0</v>
      </c>
      <c r="AA2403" s="128">
        <v>3160.05</v>
      </c>
      <c r="AB2403" s="126">
        <f t="shared" si="246"/>
        <v>-3.1600500000000001E-4</v>
      </c>
      <c r="AC2403" s="122" t="s">
        <v>1838</v>
      </c>
      <c r="AD2403" s="123">
        <f t="shared" si="248"/>
        <v>1.8223966260000002</v>
      </c>
    </row>
    <row r="2404" spans="1:30" ht="12.75" hidden="1" customHeight="1">
      <c r="A2404" s="125" t="str">
        <f t="shared" si="243"/>
        <v>LIC86Operating Expenses</v>
      </c>
      <c r="B2404" s="125">
        <f>+IFERROR(VLOOKUP(L2404,'TB mapping'!A:D,4,0),0)</f>
        <v>0</v>
      </c>
      <c r="C2404" s="125">
        <f>+IFERROR(VLOOKUP(L2404,'TB mapping'!A:C,3,0),0)</f>
        <v>6.3</v>
      </c>
      <c r="D2404" s="125" t="str">
        <f t="shared" si="244"/>
        <v>LIC860</v>
      </c>
      <c r="E2404" s="125" t="str">
        <f t="shared" si="245"/>
        <v>LIC866.3</v>
      </c>
      <c r="F2404" s="158" t="str">
        <f>+VLOOKUP(H2404,'code mapping'!A:C,3,0)</f>
        <v>LIC86</v>
      </c>
      <c r="G2404" s="127" t="s">
        <v>453</v>
      </c>
      <c r="H2404" s="127" t="s">
        <v>764</v>
      </c>
      <c r="I2404" s="127" t="s">
        <v>765</v>
      </c>
      <c r="J2404" s="128">
        <v>550000</v>
      </c>
      <c r="K2404" s="127" t="s">
        <v>550</v>
      </c>
      <c r="L2404" s="151">
        <v>556421</v>
      </c>
      <c r="M2404" s="128">
        <v>0</v>
      </c>
      <c r="N2404" s="127" t="s">
        <v>578</v>
      </c>
      <c r="O2404" s="127" t="s">
        <v>457</v>
      </c>
      <c r="P2404" s="128">
        <v>-16669.91</v>
      </c>
      <c r="Q2404" s="128">
        <v>0</v>
      </c>
      <c r="R2404" s="128">
        <v>0</v>
      </c>
      <c r="S2404" s="128">
        <v>0</v>
      </c>
      <c r="T2404" s="128">
        <v>-16669.91</v>
      </c>
      <c r="U2404" s="128">
        <v>0</v>
      </c>
      <c r="V2404" s="128">
        <v>-16669.91</v>
      </c>
      <c r="W2404" s="128">
        <v>0</v>
      </c>
      <c r="X2404" s="128">
        <v>0</v>
      </c>
      <c r="Y2404" s="128">
        <v>0</v>
      </c>
      <c r="Z2404" s="128">
        <v>-16669.91</v>
      </c>
      <c r="AA2404" s="128">
        <v>0</v>
      </c>
      <c r="AB2404" s="126">
        <f t="shared" si="246"/>
        <v>1.666991E-3</v>
      </c>
      <c r="AC2404" s="122" t="s">
        <v>1838</v>
      </c>
      <c r="AD2404" s="123">
        <f t="shared" si="248"/>
        <v>1.8223966260000002</v>
      </c>
    </row>
    <row r="2405" spans="1:30" ht="12.75" hidden="1" customHeight="1">
      <c r="A2405" s="125" t="str">
        <f t="shared" si="243"/>
        <v>LIC86Management Fee</v>
      </c>
      <c r="B2405" s="125">
        <f>+IFERROR(VLOOKUP(L2405,'TB mapping'!A:D,4,0),0)</f>
        <v>6.1</v>
      </c>
      <c r="C2405" s="125">
        <f>+IFERROR(VLOOKUP(L2405,'TB mapping'!A:C,3,0),0)</f>
        <v>6.3</v>
      </c>
      <c r="D2405" s="125" t="str">
        <f t="shared" si="244"/>
        <v>LIC866.1</v>
      </c>
      <c r="E2405" s="125" t="str">
        <f t="shared" si="245"/>
        <v>LIC866.3</v>
      </c>
      <c r="F2405" s="158" t="str">
        <f>+VLOOKUP(H2405,'code mapping'!A:C,3,0)</f>
        <v>LIC86</v>
      </c>
      <c r="G2405" s="127" t="s">
        <v>453</v>
      </c>
      <c r="H2405" s="127" t="s">
        <v>764</v>
      </c>
      <c r="I2405" s="127" t="s">
        <v>765</v>
      </c>
      <c r="J2405" s="128">
        <v>555100</v>
      </c>
      <c r="K2405" s="127" t="s">
        <v>579</v>
      </c>
      <c r="L2405" s="151">
        <v>555100</v>
      </c>
      <c r="M2405" s="128">
        <v>0</v>
      </c>
      <c r="N2405" s="127" t="s">
        <v>580</v>
      </c>
      <c r="O2405" s="127" t="s">
        <v>457</v>
      </c>
      <c r="P2405" s="128">
        <v>-3827051.01</v>
      </c>
      <c r="Q2405" s="128">
        <v>0</v>
      </c>
      <c r="R2405" s="128">
        <v>0</v>
      </c>
      <c r="S2405" s="128">
        <v>0</v>
      </c>
      <c r="T2405" s="128">
        <v>-3827051.01</v>
      </c>
      <c r="U2405" s="128">
        <v>0</v>
      </c>
      <c r="V2405" s="128">
        <v>-3827051.01</v>
      </c>
      <c r="W2405" s="128">
        <v>0</v>
      </c>
      <c r="X2405" s="128">
        <v>0</v>
      </c>
      <c r="Y2405" s="128">
        <v>0</v>
      </c>
      <c r="Z2405" s="128">
        <v>-3827051.01</v>
      </c>
      <c r="AA2405" s="128">
        <v>0</v>
      </c>
      <c r="AB2405" s="126">
        <f t="shared" si="246"/>
        <v>0.38270510099999999</v>
      </c>
      <c r="AC2405" s="122" t="s">
        <v>1838</v>
      </c>
      <c r="AD2405" s="123">
        <f t="shared" si="248"/>
        <v>1.8223966260000002</v>
      </c>
    </row>
    <row r="2406" spans="1:30" ht="12.75" hidden="1" customHeight="1">
      <c r="A2406" s="125" t="str">
        <f t="shared" si="243"/>
        <v>LIC86Management Fees-RG</v>
      </c>
      <c r="B2406" s="125">
        <f>+IFERROR(VLOOKUP(L2406,'TB mapping'!A:D,4,0),0)</f>
        <v>6.1</v>
      </c>
      <c r="C2406" s="125">
        <f>+IFERROR(VLOOKUP(L2406,'TB mapping'!A:C,3,0),0)</f>
        <v>6.3</v>
      </c>
      <c r="D2406" s="125" t="str">
        <f t="shared" si="244"/>
        <v>LIC866.1</v>
      </c>
      <c r="E2406" s="125" t="str">
        <f t="shared" si="245"/>
        <v>LIC866.3</v>
      </c>
      <c r="F2406" s="158" t="str">
        <f>+VLOOKUP(H2406,'code mapping'!A:C,3,0)</f>
        <v>LIC86</v>
      </c>
      <c r="G2406" s="127" t="s">
        <v>453</v>
      </c>
      <c r="H2406" s="127" t="s">
        <v>764</v>
      </c>
      <c r="I2406" s="127" t="s">
        <v>765</v>
      </c>
      <c r="J2406" s="128">
        <v>555100</v>
      </c>
      <c r="K2406" s="127" t="s">
        <v>579</v>
      </c>
      <c r="L2406" s="151">
        <v>555191</v>
      </c>
      <c r="M2406" s="128">
        <v>0</v>
      </c>
      <c r="N2406" s="127" t="s">
        <v>581</v>
      </c>
      <c r="O2406" s="127" t="s">
        <v>457</v>
      </c>
      <c r="P2406" s="128">
        <v>-3742507.94</v>
      </c>
      <c r="Q2406" s="128">
        <v>0</v>
      </c>
      <c r="R2406" s="128">
        <v>0</v>
      </c>
      <c r="S2406" s="128">
        <v>0</v>
      </c>
      <c r="T2406" s="128">
        <v>-3742507.94</v>
      </c>
      <c r="U2406" s="128">
        <v>0</v>
      </c>
      <c r="V2406" s="128">
        <v>-3742507.94</v>
      </c>
      <c r="W2406" s="128">
        <v>0</v>
      </c>
      <c r="X2406" s="128">
        <v>0</v>
      </c>
      <c r="Y2406" s="128">
        <v>0</v>
      </c>
      <c r="Z2406" s="128">
        <v>-3742507.94</v>
      </c>
      <c r="AA2406" s="128">
        <v>0</v>
      </c>
      <c r="AB2406" s="126">
        <f t="shared" si="246"/>
        <v>0.374250794</v>
      </c>
      <c r="AC2406" s="122" t="s">
        <v>1838</v>
      </c>
      <c r="AD2406" s="123">
        <f t="shared" si="248"/>
        <v>1.8223966260000002</v>
      </c>
    </row>
    <row r="2407" spans="1:30" ht="12.75" hidden="1" customHeight="1">
      <c r="A2407" s="125" t="str">
        <f t="shared" si="243"/>
        <v>LIC86Management Fees-RD</v>
      </c>
      <c r="B2407" s="125">
        <f>+IFERROR(VLOOKUP(L2407,'TB mapping'!A:D,4,0),0)</f>
        <v>6.1</v>
      </c>
      <c r="C2407" s="125">
        <f>+IFERROR(VLOOKUP(L2407,'TB mapping'!A:C,3,0),0)</f>
        <v>6.3</v>
      </c>
      <c r="D2407" s="125" t="str">
        <f t="shared" si="244"/>
        <v>LIC866.1</v>
      </c>
      <c r="E2407" s="125" t="str">
        <f t="shared" si="245"/>
        <v>LIC866.3</v>
      </c>
      <c r="F2407" s="158" t="str">
        <f>+VLOOKUP(H2407,'code mapping'!A:C,3,0)</f>
        <v>LIC86</v>
      </c>
      <c r="G2407" s="127" t="s">
        <v>453</v>
      </c>
      <c r="H2407" s="127" t="s">
        <v>764</v>
      </c>
      <c r="I2407" s="127" t="s">
        <v>765</v>
      </c>
      <c r="J2407" s="128">
        <v>555100</v>
      </c>
      <c r="K2407" s="127" t="s">
        <v>579</v>
      </c>
      <c r="L2407" s="151">
        <v>555192</v>
      </c>
      <c r="M2407" s="128">
        <v>0</v>
      </c>
      <c r="N2407" s="127" t="s">
        <v>582</v>
      </c>
      <c r="O2407" s="127" t="s">
        <v>457</v>
      </c>
      <c r="P2407" s="128">
        <v>-388466.58</v>
      </c>
      <c r="Q2407" s="128">
        <v>0</v>
      </c>
      <c r="R2407" s="128">
        <v>0</v>
      </c>
      <c r="S2407" s="128">
        <v>0</v>
      </c>
      <c r="T2407" s="128">
        <v>-388466.58</v>
      </c>
      <c r="U2407" s="128">
        <v>0</v>
      </c>
      <c r="V2407" s="128">
        <v>-388466.58</v>
      </c>
      <c r="W2407" s="128">
        <v>0</v>
      </c>
      <c r="X2407" s="128">
        <v>0</v>
      </c>
      <c r="Y2407" s="128">
        <v>0</v>
      </c>
      <c r="Z2407" s="128">
        <v>-388466.58</v>
      </c>
      <c r="AA2407" s="128">
        <v>0</v>
      </c>
      <c r="AB2407" s="126">
        <f t="shared" si="246"/>
        <v>3.8846657999999999E-2</v>
      </c>
      <c r="AC2407" s="122" t="s">
        <v>1838</v>
      </c>
      <c r="AD2407" s="123">
        <f t="shared" si="248"/>
        <v>1.8223966260000002</v>
      </c>
    </row>
    <row r="2408" spans="1:30" ht="12.75" hidden="1" customHeight="1">
      <c r="A2408" s="125" t="str">
        <f t="shared" si="243"/>
        <v>LIC86Management Fees-GDP</v>
      </c>
      <c r="B2408" s="125">
        <f>+IFERROR(VLOOKUP(L2408,'TB mapping'!A:D,4,0),0)</f>
        <v>6.1</v>
      </c>
      <c r="C2408" s="125">
        <f>+IFERROR(VLOOKUP(L2408,'TB mapping'!A:C,3,0),0)</f>
        <v>6.3</v>
      </c>
      <c r="D2408" s="125" t="str">
        <f t="shared" si="244"/>
        <v>LIC866.1</v>
      </c>
      <c r="E2408" s="125" t="str">
        <f t="shared" si="245"/>
        <v>LIC866.3</v>
      </c>
      <c r="F2408" s="158" t="str">
        <f>+VLOOKUP(H2408,'code mapping'!A:C,3,0)</f>
        <v>LIC86</v>
      </c>
      <c r="G2408" s="127" t="s">
        <v>453</v>
      </c>
      <c r="H2408" s="127" t="s">
        <v>764</v>
      </c>
      <c r="I2408" s="127" t="s">
        <v>765</v>
      </c>
      <c r="J2408" s="128">
        <v>555100</v>
      </c>
      <c r="K2408" s="127" t="s">
        <v>579</v>
      </c>
      <c r="L2408" s="151">
        <v>555329</v>
      </c>
      <c r="M2408" s="128">
        <v>0</v>
      </c>
      <c r="N2408" s="127" t="s">
        <v>584</v>
      </c>
      <c r="O2408" s="127" t="s">
        <v>457</v>
      </c>
      <c r="P2408" s="128">
        <v>-869521.99</v>
      </c>
      <c r="Q2408" s="128">
        <v>0</v>
      </c>
      <c r="R2408" s="128">
        <v>0</v>
      </c>
      <c r="S2408" s="128">
        <v>0</v>
      </c>
      <c r="T2408" s="128">
        <v>-869521.99</v>
      </c>
      <c r="U2408" s="128">
        <v>0</v>
      </c>
      <c r="V2408" s="128">
        <v>-869521.99</v>
      </c>
      <c r="W2408" s="128">
        <v>0</v>
      </c>
      <c r="X2408" s="128">
        <v>0</v>
      </c>
      <c r="Y2408" s="128">
        <v>0</v>
      </c>
      <c r="Z2408" s="128">
        <v>-869521.99</v>
      </c>
      <c r="AA2408" s="128">
        <v>0</v>
      </c>
      <c r="AB2408" s="126">
        <f t="shared" si="246"/>
        <v>8.6952198999999994E-2</v>
      </c>
      <c r="AC2408" s="122" t="s">
        <v>1838</v>
      </c>
      <c r="AD2408" s="123">
        <f t="shared" si="248"/>
        <v>1.8223966260000002</v>
      </c>
    </row>
    <row r="2409" spans="1:30" ht="12.75" hidden="1" customHeight="1">
      <c r="A2409" s="125" t="str">
        <f t="shared" si="243"/>
        <v>LIC86Management Fees-DDP</v>
      </c>
      <c r="B2409" s="125">
        <f>+IFERROR(VLOOKUP(L2409,'TB mapping'!A:D,4,0),0)</f>
        <v>6.1</v>
      </c>
      <c r="C2409" s="125">
        <f>+IFERROR(VLOOKUP(L2409,'TB mapping'!A:C,3,0),0)</f>
        <v>6.3</v>
      </c>
      <c r="D2409" s="125" t="str">
        <f t="shared" si="244"/>
        <v>LIC866.1</v>
      </c>
      <c r="E2409" s="125" t="str">
        <f t="shared" si="245"/>
        <v>LIC866.3</v>
      </c>
      <c r="F2409" s="158" t="str">
        <f>+VLOOKUP(H2409,'code mapping'!A:C,3,0)</f>
        <v>LIC86</v>
      </c>
      <c r="G2409" s="127" t="s">
        <v>453</v>
      </c>
      <c r="H2409" s="127" t="s">
        <v>764</v>
      </c>
      <c r="I2409" s="127" t="s">
        <v>765</v>
      </c>
      <c r="J2409" s="128">
        <v>555100</v>
      </c>
      <c r="K2409" s="127" t="s">
        <v>579</v>
      </c>
      <c r="L2409" s="151">
        <v>555330</v>
      </c>
      <c r="M2409" s="128">
        <v>0</v>
      </c>
      <c r="N2409" s="127" t="s">
        <v>585</v>
      </c>
      <c r="O2409" s="127" t="s">
        <v>457</v>
      </c>
      <c r="P2409" s="128">
        <v>-3022.9</v>
      </c>
      <c r="Q2409" s="128">
        <v>0</v>
      </c>
      <c r="R2409" s="128">
        <v>0</v>
      </c>
      <c r="S2409" s="128">
        <v>0</v>
      </c>
      <c r="T2409" s="128">
        <v>-3022.9</v>
      </c>
      <c r="U2409" s="128">
        <v>0</v>
      </c>
      <c r="V2409" s="128">
        <v>-3022.9</v>
      </c>
      <c r="W2409" s="128">
        <v>0</v>
      </c>
      <c r="X2409" s="128">
        <v>0</v>
      </c>
      <c r="Y2409" s="128">
        <v>0</v>
      </c>
      <c r="Z2409" s="128">
        <v>-3022.9</v>
      </c>
      <c r="AA2409" s="128">
        <v>0</v>
      </c>
      <c r="AB2409" s="126">
        <f t="shared" si="246"/>
        <v>3.0229000000000003E-4</v>
      </c>
      <c r="AC2409" s="122" t="s">
        <v>1838</v>
      </c>
      <c r="AD2409" s="123">
        <f t="shared" si="248"/>
        <v>1.8223966260000002</v>
      </c>
    </row>
    <row r="2410" spans="1:30" ht="12.75" hidden="1" customHeight="1">
      <c r="A2410" s="125" t="str">
        <f t="shared" si="243"/>
        <v>LIC38Investment - Equities</v>
      </c>
      <c r="B2410" s="125">
        <f>+IFERROR(VLOOKUP(L2410,'TB mapping'!A:D,4,0),0)</f>
        <v>0</v>
      </c>
      <c r="C2410" s="125">
        <f>+IFERROR(VLOOKUP(L2410,'TB mapping'!A:C,3,0),0)</f>
        <v>0</v>
      </c>
      <c r="D2410" s="125" t="str">
        <f t="shared" si="244"/>
        <v>LIC380</v>
      </c>
      <c r="E2410" s="125" t="str">
        <f t="shared" si="245"/>
        <v>LIC380</v>
      </c>
      <c r="F2410" s="158" t="str">
        <f>+VLOOKUP(H2410,'code mapping'!A:C,3,0)</f>
        <v>LIC38</v>
      </c>
      <c r="G2410" s="127" t="s">
        <v>453</v>
      </c>
      <c r="H2410" s="127" t="s">
        <v>766</v>
      </c>
      <c r="I2410" s="127" t="s">
        <v>767</v>
      </c>
      <c r="J2410" s="128">
        <v>101000</v>
      </c>
      <c r="K2410" s="127" t="s">
        <v>591</v>
      </c>
      <c r="L2410" s="151">
        <v>101100</v>
      </c>
      <c r="M2410" s="128">
        <v>0</v>
      </c>
      <c r="N2410" s="127" t="s">
        <v>592</v>
      </c>
      <c r="O2410" s="127" t="s">
        <v>457</v>
      </c>
      <c r="P2410" s="128">
        <v>-167286763.36000001</v>
      </c>
      <c r="Q2410" s="128">
        <v>0</v>
      </c>
      <c r="R2410" s="128">
        <v>0</v>
      </c>
      <c r="S2410" s="128">
        <v>0</v>
      </c>
      <c r="T2410" s="128">
        <v>-167286763.36000001</v>
      </c>
      <c r="U2410" s="128">
        <v>0</v>
      </c>
      <c r="V2410" s="128">
        <v>-167286763.36000001</v>
      </c>
      <c r="W2410" s="128">
        <v>0</v>
      </c>
      <c r="X2410" s="128">
        <v>0</v>
      </c>
      <c r="Y2410" s="128">
        <v>0</v>
      </c>
      <c r="Z2410" s="128">
        <v>-167286763.36000001</v>
      </c>
      <c r="AA2410" s="128">
        <v>0</v>
      </c>
      <c r="AB2410" s="126">
        <f t="shared" si="246"/>
        <v>16.728676336000003</v>
      </c>
      <c r="AC2410" s="122" t="s">
        <v>1838</v>
      </c>
      <c r="AD2410" s="123">
        <f t="shared" ref="AD2410:AD2451" si="249">SUMIF(C:C,C2410,AB:AB)</f>
        <v>1983.9723217250009</v>
      </c>
    </row>
    <row r="2411" spans="1:30" ht="12.75" hidden="1" customHeight="1">
      <c r="A2411" s="125" t="str">
        <f t="shared" si="243"/>
        <v>LIC38Investment - CBLO</v>
      </c>
      <c r="B2411" s="125">
        <f>+IFERROR(VLOOKUP(L2411,'TB mapping'!A:D,4,0),0)</f>
        <v>0</v>
      </c>
      <c r="C2411" s="125">
        <f>+IFERROR(VLOOKUP(L2411,'TB mapping'!A:C,3,0),0)</f>
        <v>0</v>
      </c>
      <c r="D2411" s="125" t="str">
        <f t="shared" si="244"/>
        <v>LIC380</v>
      </c>
      <c r="E2411" s="125" t="str">
        <f t="shared" si="245"/>
        <v>LIC380</v>
      </c>
      <c r="F2411" s="158" t="str">
        <f>+VLOOKUP(H2411,'code mapping'!A:C,3,0)</f>
        <v>LIC38</v>
      </c>
      <c r="G2411" s="127" t="s">
        <v>453</v>
      </c>
      <c r="H2411" s="127" t="s">
        <v>766</v>
      </c>
      <c r="I2411" s="127" t="s">
        <v>767</v>
      </c>
      <c r="J2411" s="128">
        <v>110000</v>
      </c>
      <c r="K2411" s="127" t="s">
        <v>462</v>
      </c>
      <c r="L2411" s="151">
        <v>110100</v>
      </c>
      <c r="M2411" s="128">
        <v>0</v>
      </c>
      <c r="N2411" s="127" t="s">
        <v>463</v>
      </c>
      <c r="O2411" s="127" t="s">
        <v>457</v>
      </c>
      <c r="P2411" s="128">
        <v>-2294967.91</v>
      </c>
      <c r="Q2411" s="128">
        <v>0</v>
      </c>
      <c r="R2411" s="128">
        <v>0</v>
      </c>
      <c r="S2411" s="128">
        <v>0</v>
      </c>
      <c r="T2411" s="128">
        <v>-2294967.91</v>
      </c>
      <c r="U2411" s="128">
        <v>0</v>
      </c>
      <c r="V2411" s="128">
        <v>-2294967.91</v>
      </c>
      <c r="W2411" s="128">
        <v>0</v>
      </c>
      <c r="X2411" s="128">
        <v>0</v>
      </c>
      <c r="Y2411" s="128">
        <v>0</v>
      </c>
      <c r="Z2411" s="128">
        <v>-2294967.91</v>
      </c>
      <c r="AA2411" s="128">
        <v>0</v>
      </c>
      <c r="AB2411" s="126">
        <f t="shared" si="246"/>
        <v>0.22949679100000001</v>
      </c>
      <c r="AC2411" s="122" t="s">
        <v>1838</v>
      </c>
      <c r="AD2411" s="123">
        <f t="shared" si="249"/>
        <v>1983.9723217250009</v>
      </c>
    </row>
    <row r="2412" spans="1:30" ht="12.75" hidden="1" customHeight="1">
      <c r="A2412" s="125" t="str">
        <f t="shared" si="243"/>
        <v>LIC38Dividend Receivable</v>
      </c>
      <c r="B2412" s="125">
        <f>+IFERROR(VLOOKUP(L2412,'TB mapping'!A:D,4,0),0)</f>
        <v>0</v>
      </c>
      <c r="C2412" s="125">
        <f>+IFERROR(VLOOKUP(L2412,'TB mapping'!A:C,3,0),0)</f>
        <v>0</v>
      </c>
      <c r="D2412" s="125" t="str">
        <f t="shared" si="244"/>
        <v>LIC380</v>
      </c>
      <c r="E2412" s="125" t="str">
        <f t="shared" si="245"/>
        <v>LIC380</v>
      </c>
      <c r="F2412" s="158" t="str">
        <f>+VLOOKUP(H2412,'code mapping'!A:C,3,0)</f>
        <v>LIC38</v>
      </c>
      <c r="G2412" s="127" t="s">
        <v>453</v>
      </c>
      <c r="H2412" s="127" t="s">
        <v>766</v>
      </c>
      <c r="I2412" s="127" t="s">
        <v>767</v>
      </c>
      <c r="J2412" s="128">
        <v>132000</v>
      </c>
      <c r="K2412" s="127" t="s">
        <v>466</v>
      </c>
      <c r="L2412" s="151">
        <v>132100</v>
      </c>
      <c r="M2412" s="128">
        <v>0</v>
      </c>
      <c r="N2412" s="127" t="s">
        <v>593</v>
      </c>
      <c r="O2412" s="127" t="s">
        <v>457</v>
      </c>
      <c r="P2412" s="128">
        <v>-29998.5</v>
      </c>
      <c r="Q2412" s="128">
        <v>0</v>
      </c>
      <c r="R2412" s="128">
        <v>0</v>
      </c>
      <c r="S2412" s="128">
        <v>0</v>
      </c>
      <c r="T2412" s="128">
        <v>-29998.5</v>
      </c>
      <c r="U2412" s="128">
        <v>0</v>
      </c>
      <c r="V2412" s="128">
        <v>-29998.5</v>
      </c>
      <c r="W2412" s="128">
        <v>0</v>
      </c>
      <c r="X2412" s="128">
        <v>0</v>
      </c>
      <c r="Y2412" s="128">
        <v>0</v>
      </c>
      <c r="Z2412" s="128">
        <v>-29998.5</v>
      </c>
      <c r="AA2412" s="128">
        <v>0</v>
      </c>
      <c r="AB2412" s="126">
        <f t="shared" si="246"/>
        <v>2.9998500000000001E-3</v>
      </c>
      <c r="AC2412" s="122" t="s">
        <v>1838</v>
      </c>
      <c r="AD2412" s="123">
        <f t="shared" si="249"/>
        <v>1983.9723217250009</v>
      </c>
    </row>
    <row r="2413" spans="1:30" ht="12.75" hidden="1" customHeight="1">
      <c r="A2413" s="125" t="str">
        <f t="shared" si="243"/>
        <v>LIC38Sub. Rec. Control Account</v>
      </c>
      <c r="B2413" s="125">
        <f>+IFERROR(VLOOKUP(L2413,'TB mapping'!A:D,4,0),0)</f>
        <v>0</v>
      </c>
      <c r="C2413" s="125">
        <f>+IFERROR(VLOOKUP(L2413,'TB mapping'!A:C,3,0),0)</f>
        <v>0</v>
      </c>
      <c r="D2413" s="125" t="str">
        <f t="shared" si="244"/>
        <v>LIC380</v>
      </c>
      <c r="E2413" s="125" t="str">
        <f t="shared" si="245"/>
        <v>LIC380</v>
      </c>
      <c r="F2413" s="158" t="str">
        <f>+VLOOKUP(H2413,'code mapping'!A:C,3,0)</f>
        <v>LIC38</v>
      </c>
      <c r="G2413" s="127" t="s">
        <v>453</v>
      </c>
      <c r="H2413" s="127" t="s">
        <v>766</v>
      </c>
      <c r="I2413" s="127" t="s">
        <v>767</v>
      </c>
      <c r="J2413" s="128">
        <v>132000</v>
      </c>
      <c r="K2413" s="127" t="s">
        <v>466</v>
      </c>
      <c r="L2413" s="151">
        <v>132121</v>
      </c>
      <c r="M2413" s="128">
        <v>0</v>
      </c>
      <c r="N2413" s="127" t="s">
        <v>467</v>
      </c>
      <c r="O2413" s="127" t="s">
        <v>457</v>
      </c>
      <c r="P2413" s="128">
        <v>-555952.24</v>
      </c>
      <c r="Q2413" s="128">
        <v>0</v>
      </c>
      <c r="R2413" s="128">
        <v>0</v>
      </c>
      <c r="S2413" s="128">
        <v>0</v>
      </c>
      <c r="T2413" s="128">
        <v>-555952.24</v>
      </c>
      <c r="U2413" s="128">
        <v>0</v>
      </c>
      <c r="V2413" s="128">
        <v>-555952.24</v>
      </c>
      <c r="W2413" s="128">
        <v>0</v>
      </c>
      <c r="X2413" s="128">
        <v>0</v>
      </c>
      <c r="Y2413" s="128">
        <v>0</v>
      </c>
      <c r="Z2413" s="128">
        <v>-555952.24</v>
      </c>
      <c r="AA2413" s="128">
        <v>0</v>
      </c>
      <c r="AB2413" s="126">
        <f t="shared" si="246"/>
        <v>5.5595223999999999E-2</v>
      </c>
      <c r="AC2413" s="122" t="s">
        <v>1838</v>
      </c>
      <c r="AD2413" s="123">
        <f t="shared" si="249"/>
        <v>1983.9723217250009</v>
      </c>
    </row>
    <row r="2414" spans="1:30" ht="12.75" hidden="1" customHeight="1">
      <c r="A2414" s="125" t="str">
        <f t="shared" si="243"/>
        <v>LIC38Switch in Receivable Ct</v>
      </c>
      <c r="B2414" s="125">
        <f>+IFERROR(VLOOKUP(L2414,'TB mapping'!A:D,4,0),0)</f>
        <v>0</v>
      </c>
      <c r="C2414" s="125">
        <f>+IFERROR(VLOOKUP(L2414,'TB mapping'!A:C,3,0),0)</f>
        <v>0</v>
      </c>
      <c r="D2414" s="125" t="str">
        <f t="shared" si="244"/>
        <v>LIC380</v>
      </c>
      <c r="E2414" s="125" t="str">
        <f t="shared" si="245"/>
        <v>LIC380</v>
      </c>
      <c r="F2414" s="158" t="str">
        <f>+VLOOKUP(H2414,'code mapping'!A:C,3,0)</f>
        <v>LIC38</v>
      </c>
      <c r="G2414" s="127" t="s">
        <v>453</v>
      </c>
      <c r="H2414" s="127" t="s">
        <v>766</v>
      </c>
      <c r="I2414" s="127" t="s">
        <v>767</v>
      </c>
      <c r="J2414" s="128">
        <v>132000</v>
      </c>
      <c r="K2414" s="127" t="s">
        <v>466</v>
      </c>
      <c r="L2414" s="151">
        <v>132124</v>
      </c>
      <c r="M2414" s="128">
        <v>0</v>
      </c>
      <c r="N2414" s="127" t="s">
        <v>468</v>
      </c>
      <c r="O2414" s="127" t="s">
        <v>457</v>
      </c>
      <c r="P2414" s="128">
        <v>-437.57</v>
      </c>
      <c r="Q2414" s="128">
        <v>0</v>
      </c>
      <c r="R2414" s="128">
        <v>0</v>
      </c>
      <c r="S2414" s="128">
        <v>0</v>
      </c>
      <c r="T2414" s="128">
        <v>-437.57</v>
      </c>
      <c r="U2414" s="128">
        <v>0</v>
      </c>
      <c r="V2414" s="128">
        <v>-437.57</v>
      </c>
      <c r="W2414" s="128">
        <v>0</v>
      </c>
      <c r="X2414" s="128">
        <v>0</v>
      </c>
      <c r="Y2414" s="128">
        <v>0</v>
      </c>
      <c r="Z2414" s="128">
        <v>-437.57</v>
      </c>
      <c r="AA2414" s="128">
        <v>0</v>
      </c>
      <c r="AB2414" s="126">
        <f t="shared" si="246"/>
        <v>4.3757000000000001E-5</v>
      </c>
      <c r="AC2414" s="122" t="s">
        <v>1838</v>
      </c>
      <c r="AD2414" s="123">
        <f t="shared" si="249"/>
        <v>1983.9723217250009</v>
      </c>
    </row>
    <row r="2415" spans="1:30" ht="12.75" hidden="1" customHeight="1">
      <c r="A2415" s="125" t="str">
        <f t="shared" si="243"/>
        <v>LIC38Due From Broker - Equities</v>
      </c>
      <c r="B2415" s="125">
        <f>+IFERROR(VLOOKUP(L2415,'TB mapping'!A:D,4,0),0)</f>
        <v>0</v>
      </c>
      <c r="C2415" s="125">
        <f>+IFERROR(VLOOKUP(L2415,'TB mapping'!A:C,3,0),0)</f>
        <v>0</v>
      </c>
      <c r="D2415" s="125" t="str">
        <f t="shared" si="244"/>
        <v>LIC380</v>
      </c>
      <c r="E2415" s="125" t="str">
        <f t="shared" si="245"/>
        <v>LIC380</v>
      </c>
      <c r="F2415" s="158" t="str">
        <f>+VLOOKUP(H2415,'code mapping'!A:C,3,0)</f>
        <v>LIC38</v>
      </c>
      <c r="G2415" s="127" t="s">
        <v>453</v>
      </c>
      <c r="H2415" s="127" t="s">
        <v>766</v>
      </c>
      <c r="I2415" s="127" t="s">
        <v>767</v>
      </c>
      <c r="J2415" s="128">
        <v>132000</v>
      </c>
      <c r="K2415" s="127" t="s">
        <v>466</v>
      </c>
      <c r="L2415" s="151">
        <v>132150</v>
      </c>
      <c r="M2415" s="128">
        <v>0</v>
      </c>
      <c r="N2415" s="127" t="s">
        <v>594</v>
      </c>
      <c r="O2415" s="127" t="s">
        <v>457</v>
      </c>
      <c r="P2415" s="128">
        <v>-2692268.16</v>
      </c>
      <c r="Q2415" s="128">
        <v>0</v>
      </c>
      <c r="R2415" s="128">
        <v>0</v>
      </c>
      <c r="S2415" s="128">
        <v>0</v>
      </c>
      <c r="T2415" s="128">
        <v>-2692268.16</v>
      </c>
      <c r="U2415" s="128">
        <v>0</v>
      </c>
      <c r="V2415" s="128">
        <v>-2692268.16</v>
      </c>
      <c r="W2415" s="128">
        <v>0</v>
      </c>
      <c r="X2415" s="128">
        <v>0</v>
      </c>
      <c r="Y2415" s="128">
        <v>0</v>
      </c>
      <c r="Z2415" s="128">
        <v>-2692268.16</v>
      </c>
      <c r="AA2415" s="128">
        <v>0</v>
      </c>
      <c r="AB2415" s="126">
        <f t="shared" si="246"/>
        <v>0.26922681600000004</v>
      </c>
      <c r="AC2415" s="122" t="s">
        <v>1838</v>
      </c>
      <c r="AD2415" s="123">
        <f t="shared" si="249"/>
        <v>1983.9723217250009</v>
      </c>
    </row>
    <row r="2416" spans="1:30" ht="12.75" hidden="1" customHeight="1">
      <c r="A2416" s="125" t="str">
        <f t="shared" si="243"/>
        <v>LIC38Receivable from AMC</v>
      </c>
      <c r="B2416" s="125">
        <f>+IFERROR(VLOOKUP(L2416,'TB mapping'!A:D,4,0),0)</f>
        <v>0</v>
      </c>
      <c r="C2416" s="125">
        <f>+IFERROR(VLOOKUP(L2416,'TB mapping'!A:C,3,0),0)</f>
        <v>0</v>
      </c>
      <c r="D2416" s="125" t="str">
        <f t="shared" si="244"/>
        <v>LIC380</v>
      </c>
      <c r="E2416" s="125" t="str">
        <f t="shared" si="245"/>
        <v>LIC380</v>
      </c>
      <c r="F2416" s="158" t="str">
        <f>+VLOOKUP(H2416,'code mapping'!A:C,3,0)</f>
        <v>LIC38</v>
      </c>
      <c r="G2416" s="127" t="s">
        <v>453</v>
      </c>
      <c r="H2416" s="127" t="s">
        <v>766</v>
      </c>
      <c r="I2416" s="127" t="s">
        <v>767</v>
      </c>
      <c r="J2416" s="128">
        <v>132000</v>
      </c>
      <c r="K2416" s="127" t="s">
        <v>466</v>
      </c>
      <c r="L2416" s="151">
        <v>152400</v>
      </c>
      <c r="M2416" s="128">
        <v>0</v>
      </c>
      <c r="N2416" s="127" t="s">
        <v>471</v>
      </c>
      <c r="O2416" s="127" t="s">
        <v>457</v>
      </c>
      <c r="P2416" s="128">
        <v>-47.15</v>
      </c>
      <c r="Q2416" s="128">
        <v>0</v>
      </c>
      <c r="R2416" s="128">
        <v>0</v>
      </c>
      <c r="S2416" s="128">
        <v>0</v>
      </c>
      <c r="T2416" s="128">
        <v>-47.15</v>
      </c>
      <c r="U2416" s="128">
        <v>0</v>
      </c>
      <c r="V2416" s="128">
        <v>-47.15</v>
      </c>
      <c r="W2416" s="128">
        <v>0</v>
      </c>
      <c r="X2416" s="128">
        <v>0</v>
      </c>
      <c r="Y2416" s="128">
        <v>0</v>
      </c>
      <c r="Z2416" s="128">
        <v>-47.15</v>
      </c>
      <c r="AA2416" s="128">
        <v>0</v>
      </c>
      <c r="AB2416" s="126">
        <f t="shared" si="246"/>
        <v>4.7149999999999997E-6</v>
      </c>
      <c r="AC2416" s="122" t="s">
        <v>1838</v>
      </c>
      <c r="AD2416" s="123">
        <f t="shared" si="249"/>
        <v>1983.9723217250009</v>
      </c>
    </row>
    <row r="2417" spans="1:30" ht="12.75" hidden="1" customHeight="1">
      <c r="A2417" s="125" t="str">
        <f t="shared" si="243"/>
        <v>LIC38CCIL Settlement A/C</v>
      </c>
      <c r="B2417" s="125">
        <f>+IFERROR(VLOOKUP(L2417,'TB mapping'!A:D,4,0),0)</f>
        <v>0</v>
      </c>
      <c r="C2417" s="125">
        <f>+IFERROR(VLOOKUP(L2417,'TB mapping'!A:C,3,0),0)</f>
        <v>0</v>
      </c>
      <c r="D2417" s="125" t="str">
        <f t="shared" si="244"/>
        <v>LIC380</v>
      </c>
      <c r="E2417" s="125" t="str">
        <f t="shared" si="245"/>
        <v>LIC380</v>
      </c>
      <c r="F2417" s="158" t="str">
        <f>+VLOOKUP(H2417,'code mapping'!A:C,3,0)</f>
        <v>LIC38</v>
      </c>
      <c r="G2417" s="127" t="s">
        <v>453</v>
      </c>
      <c r="H2417" s="127" t="s">
        <v>766</v>
      </c>
      <c r="I2417" s="127" t="s">
        <v>767</v>
      </c>
      <c r="J2417" s="128">
        <v>140000</v>
      </c>
      <c r="K2417" s="127" t="s">
        <v>472</v>
      </c>
      <c r="L2417" s="151">
        <v>132237</v>
      </c>
      <c r="M2417" s="128">
        <v>0</v>
      </c>
      <c r="N2417" s="127" t="s">
        <v>473</v>
      </c>
      <c r="O2417" s="127" t="s">
        <v>457</v>
      </c>
      <c r="P2417" s="128">
        <v>0</v>
      </c>
      <c r="Q2417" s="128">
        <v>0.03</v>
      </c>
      <c r="R2417" s="128">
        <v>0</v>
      </c>
      <c r="S2417" s="128">
        <v>0</v>
      </c>
      <c r="T2417" s="128">
        <v>0</v>
      </c>
      <c r="U2417" s="128">
        <v>0.03</v>
      </c>
      <c r="V2417" s="128">
        <v>0</v>
      </c>
      <c r="W2417" s="128">
        <v>0.03</v>
      </c>
      <c r="X2417" s="128">
        <v>0</v>
      </c>
      <c r="Y2417" s="128">
        <v>0</v>
      </c>
      <c r="Z2417" s="128">
        <v>0</v>
      </c>
      <c r="AA2417" s="128">
        <v>0.03</v>
      </c>
      <c r="AB2417" s="126">
        <f t="shared" si="246"/>
        <v>-3E-9</v>
      </c>
      <c r="AC2417" s="122" t="s">
        <v>1838</v>
      </c>
      <c r="AD2417" s="123">
        <f t="shared" si="249"/>
        <v>1983.9723217250009</v>
      </c>
    </row>
    <row r="2418" spans="1:30" ht="12.75" hidden="1" customHeight="1">
      <c r="A2418" s="125" t="str">
        <f t="shared" si="243"/>
        <v>LIC38HDFC Current Account</v>
      </c>
      <c r="B2418" s="125">
        <f>+IFERROR(VLOOKUP(L2418,'TB mapping'!A:D,4,0),0)</f>
        <v>0</v>
      </c>
      <c r="C2418" s="125">
        <f>+IFERROR(VLOOKUP(L2418,'TB mapping'!A:C,3,0),0)</f>
        <v>0</v>
      </c>
      <c r="D2418" s="125" t="str">
        <f t="shared" si="244"/>
        <v>LIC380</v>
      </c>
      <c r="E2418" s="125" t="str">
        <f t="shared" si="245"/>
        <v>LIC380</v>
      </c>
      <c r="F2418" s="158" t="str">
        <f>+VLOOKUP(H2418,'code mapping'!A:C,3,0)</f>
        <v>LIC38</v>
      </c>
      <c r="G2418" s="127" t="s">
        <v>453</v>
      </c>
      <c r="H2418" s="127" t="s">
        <v>766</v>
      </c>
      <c r="I2418" s="127" t="s">
        <v>767</v>
      </c>
      <c r="J2418" s="128">
        <v>140000</v>
      </c>
      <c r="K2418" s="127" t="s">
        <v>472</v>
      </c>
      <c r="L2418" s="151">
        <v>140330</v>
      </c>
      <c r="M2418" s="128">
        <v>0</v>
      </c>
      <c r="N2418" s="127" t="s">
        <v>475</v>
      </c>
      <c r="O2418" s="127" t="s">
        <v>457</v>
      </c>
      <c r="P2418" s="128">
        <v>-0.55000000000000004</v>
      </c>
      <c r="Q2418" s="128">
        <v>0</v>
      </c>
      <c r="R2418" s="128">
        <v>0</v>
      </c>
      <c r="S2418" s="128">
        <v>0</v>
      </c>
      <c r="T2418" s="128">
        <v>-0.55000000000000004</v>
      </c>
      <c r="U2418" s="128">
        <v>0</v>
      </c>
      <c r="V2418" s="128">
        <v>-0.55000000000000004</v>
      </c>
      <c r="W2418" s="128">
        <v>0</v>
      </c>
      <c r="X2418" s="128">
        <v>0</v>
      </c>
      <c r="Y2418" s="128">
        <v>0</v>
      </c>
      <c r="Z2418" s="128">
        <v>-0.55000000000000004</v>
      </c>
      <c r="AA2418" s="128">
        <v>0</v>
      </c>
      <c r="AB2418" s="126">
        <f t="shared" si="246"/>
        <v>5.5000000000000003E-8</v>
      </c>
      <c r="AC2418" s="122" t="s">
        <v>1838</v>
      </c>
      <c r="AD2418" s="123">
        <f t="shared" si="249"/>
        <v>1983.9723217250009</v>
      </c>
    </row>
    <row r="2419" spans="1:30" ht="12.75" hidden="1" customHeight="1">
      <c r="A2419" s="125" t="str">
        <f t="shared" si="243"/>
        <v>LIC38HDFC Bank Ltd</v>
      </c>
      <c r="B2419" s="125">
        <f>+IFERROR(VLOOKUP(L2419,'TB mapping'!A:D,4,0),0)</f>
        <v>0</v>
      </c>
      <c r="C2419" s="125">
        <f>+IFERROR(VLOOKUP(L2419,'TB mapping'!A:C,3,0),0)</f>
        <v>0</v>
      </c>
      <c r="D2419" s="125" t="str">
        <f t="shared" si="244"/>
        <v>LIC380</v>
      </c>
      <c r="E2419" s="125" t="str">
        <f t="shared" si="245"/>
        <v>LIC380</v>
      </c>
      <c r="F2419" s="158" t="str">
        <f>+VLOOKUP(H2419,'code mapping'!A:C,3,0)</f>
        <v>LIC38</v>
      </c>
      <c r="G2419" s="127" t="s">
        <v>453</v>
      </c>
      <c r="H2419" s="127" t="s">
        <v>766</v>
      </c>
      <c r="I2419" s="127" t="s">
        <v>767</v>
      </c>
      <c r="J2419" s="128">
        <v>140000</v>
      </c>
      <c r="K2419" s="127" t="s">
        <v>472</v>
      </c>
      <c r="L2419" s="151">
        <v>140372</v>
      </c>
      <c r="M2419" s="128">
        <v>0</v>
      </c>
      <c r="N2419" s="127" t="s">
        <v>476</v>
      </c>
      <c r="O2419" s="127" t="s">
        <v>457</v>
      </c>
      <c r="P2419" s="128">
        <v>0</v>
      </c>
      <c r="Q2419" s="128">
        <v>7.2</v>
      </c>
      <c r="R2419" s="128">
        <v>0</v>
      </c>
      <c r="S2419" s="128">
        <v>0</v>
      </c>
      <c r="T2419" s="128">
        <v>0</v>
      </c>
      <c r="U2419" s="128">
        <v>7.2</v>
      </c>
      <c r="V2419" s="128">
        <v>0</v>
      </c>
      <c r="W2419" s="128">
        <v>7.2</v>
      </c>
      <c r="X2419" s="128">
        <v>0</v>
      </c>
      <c r="Y2419" s="128">
        <v>0</v>
      </c>
      <c r="Z2419" s="128">
        <v>0</v>
      </c>
      <c r="AA2419" s="128">
        <v>7.2</v>
      </c>
      <c r="AB2419" s="126">
        <f t="shared" si="246"/>
        <v>-7.1999999999999999E-7</v>
      </c>
      <c r="AC2419" s="122" t="s">
        <v>1838</v>
      </c>
      <c r="AD2419" s="123">
        <f t="shared" si="249"/>
        <v>1983.9723217250009</v>
      </c>
    </row>
    <row r="2420" spans="1:30" ht="12.75" hidden="1" customHeight="1">
      <c r="A2420" s="125" t="str">
        <f t="shared" si="243"/>
        <v>LIC38Standard Chartered Bank- India</v>
      </c>
      <c r="B2420" s="125">
        <f>+IFERROR(VLOOKUP(L2420,'TB mapping'!A:D,4,0),0)</f>
        <v>0</v>
      </c>
      <c r="C2420" s="125">
        <f>+IFERROR(VLOOKUP(L2420,'TB mapping'!A:C,3,0),0)</f>
        <v>0</v>
      </c>
      <c r="D2420" s="125" t="str">
        <f t="shared" si="244"/>
        <v>LIC380</v>
      </c>
      <c r="E2420" s="125" t="str">
        <f t="shared" si="245"/>
        <v>LIC380</v>
      </c>
      <c r="F2420" s="158" t="str">
        <f>+VLOOKUP(H2420,'code mapping'!A:C,3,0)</f>
        <v>LIC38</v>
      </c>
      <c r="G2420" s="127" t="s">
        <v>453</v>
      </c>
      <c r="H2420" s="127" t="s">
        <v>766</v>
      </c>
      <c r="I2420" s="127" t="s">
        <v>767</v>
      </c>
      <c r="J2420" s="128">
        <v>140000</v>
      </c>
      <c r="K2420" s="127" t="s">
        <v>472</v>
      </c>
      <c r="L2420" s="151">
        <v>140500</v>
      </c>
      <c r="M2420" s="128">
        <v>0</v>
      </c>
      <c r="N2420" s="127" t="s">
        <v>477</v>
      </c>
      <c r="O2420" s="127" t="s">
        <v>457</v>
      </c>
      <c r="P2420" s="128">
        <v>-1538.31</v>
      </c>
      <c r="Q2420" s="128">
        <v>0</v>
      </c>
      <c r="R2420" s="128">
        <v>0</v>
      </c>
      <c r="S2420" s="128">
        <v>0</v>
      </c>
      <c r="T2420" s="128">
        <v>-1538.31</v>
      </c>
      <c r="U2420" s="128">
        <v>0</v>
      </c>
      <c r="V2420" s="128">
        <v>-1538.31</v>
      </c>
      <c r="W2420" s="128">
        <v>0</v>
      </c>
      <c r="X2420" s="128">
        <v>0</v>
      </c>
      <c r="Y2420" s="128">
        <v>0</v>
      </c>
      <c r="Z2420" s="128">
        <v>-1538.31</v>
      </c>
      <c r="AA2420" s="128">
        <v>0</v>
      </c>
      <c r="AB2420" s="126">
        <f t="shared" si="246"/>
        <v>1.53831E-4</v>
      </c>
      <c r="AC2420" s="122" t="s">
        <v>1838</v>
      </c>
      <c r="AD2420" s="123">
        <f t="shared" si="249"/>
        <v>1983.9723217250009</v>
      </c>
    </row>
    <row r="2421" spans="1:30" ht="12.75" hidden="1" customHeight="1">
      <c r="A2421" s="125" t="str">
        <f t="shared" si="243"/>
        <v>LIC38Amort Receivable - CBLO</v>
      </c>
      <c r="B2421" s="125">
        <f>+IFERROR(VLOOKUP(L2421,'TB mapping'!A:D,4,0),0)</f>
        <v>0</v>
      </c>
      <c r="C2421" s="125">
        <f>+IFERROR(VLOOKUP(L2421,'TB mapping'!A:C,3,0),0)</f>
        <v>0</v>
      </c>
      <c r="D2421" s="125" t="str">
        <f t="shared" si="244"/>
        <v>LIC380</v>
      </c>
      <c r="E2421" s="125" t="str">
        <f t="shared" si="245"/>
        <v>LIC380</v>
      </c>
      <c r="F2421" s="158" t="str">
        <f>+VLOOKUP(H2421,'code mapping'!A:C,3,0)</f>
        <v>LIC38</v>
      </c>
      <c r="G2421" s="127" t="s">
        <v>453</v>
      </c>
      <c r="H2421" s="127" t="s">
        <v>766</v>
      </c>
      <c r="I2421" s="127" t="s">
        <v>767</v>
      </c>
      <c r="J2421" s="128">
        <v>152000</v>
      </c>
      <c r="K2421" s="127" t="s">
        <v>478</v>
      </c>
      <c r="L2421" s="151">
        <v>152232</v>
      </c>
      <c r="M2421" s="128">
        <v>0</v>
      </c>
      <c r="N2421" s="127" t="s">
        <v>482</v>
      </c>
      <c r="O2421" s="127" t="s">
        <v>457</v>
      </c>
      <c r="P2421" s="128">
        <v>-1026.7</v>
      </c>
      <c r="Q2421" s="128">
        <v>0</v>
      </c>
      <c r="R2421" s="128">
        <v>0</v>
      </c>
      <c r="S2421" s="128">
        <v>0</v>
      </c>
      <c r="T2421" s="128">
        <v>-1026.7</v>
      </c>
      <c r="U2421" s="128">
        <v>0</v>
      </c>
      <c r="V2421" s="128">
        <v>-1026.7</v>
      </c>
      <c r="W2421" s="128">
        <v>0</v>
      </c>
      <c r="X2421" s="128">
        <v>0</v>
      </c>
      <c r="Y2421" s="128">
        <v>0</v>
      </c>
      <c r="Z2421" s="128">
        <v>-1026.7</v>
      </c>
      <c r="AA2421" s="128">
        <v>0</v>
      </c>
      <c r="AB2421" s="126">
        <f t="shared" si="246"/>
        <v>1.0267E-4</v>
      </c>
      <c r="AC2421" s="122" t="s">
        <v>1838</v>
      </c>
      <c r="AD2421" s="123">
        <f t="shared" si="249"/>
        <v>1983.9723217250009</v>
      </c>
    </row>
    <row r="2422" spans="1:30" ht="12.75" hidden="1" customHeight="1">
      <c r="A2422" s="125" t="str">
        <f t="shared" si="243"/>
        <v>LIC38Prov Unr P/L - Equities</v>
      </c>
      <c r="B2422" s="125">
        <f>+IFERROR(VLOOKUP(L2422,'TB mapping'!A:D,4,0),0)</f>
        <v>0</v>
      </c>
      <c r="C2422" s="125">
        <f>+IFERROR(VLOOKUP(L2422,'TB mapping'!A:C,3,0),0)</f>
        <v>0</v>
      </c>
      <c r="D2422" s="125" t="str">
        <f t="shared" si="244"/>
        <v>LIC380</v>
      </c>
      <c r="E2422" s="125" t="str">
        <f t="shared" si="245"/>
        <v>LIC380</v>
      </c>
      <c r="F2422" s="158" t="str">
        <f>+VLOOKUP(H2422,'code mapping'!A:C,3,0)</f>
        <v>LIC38</v>
      </c>
      <c r="G2422" s="127" t="s">
        <v>453</v>
      </c>
      <c r="H2422" s="127" t="s">
        <v>766</v>
      </c>
      <c r="I2422" s="127" t="s">
        <v>767</v>
      </c>
      <c r="J2422" s="128">
        <v>160000</v>
      </c>
      <c r="K2422" s="127" t="s">
        <v>483</v>
      </c>
      <c r="L2422" s="151">
        <v>161100</v>
      </c>
      <c r="M2422" s="128">
        <v>0</v>
      </c>
      <c r="N2422" s="127" t="s">
        <v>595</v>
      </c>
      <c r="O2422" s="127" t="s">
        <v>457</v>
      </c>
      <c r="P2422" s="128">
        <v>-38180371.990000002</v>
      </c>
      <c r="Q2422" s="128">
        <v>0</v>
      </c>
      <c r="R2422" s="128">
        <v>0</v>
      </c>
      <c r="S2422" s="128">
        <v>0</v>
      </c>
      <c r="T2422" s="128">
        <v>-38180371.990000002</v>
      </c>
      <c r="U2422" s="128">
        <v>0</v>
      </c>
      <c r="V2422" s="128">
        <v>-38180371.990000002</v>
      </c>
      <c r="W2422" s="128">
        <v>0</v>
      </c>
      <c r="X2422" s="128">
        <v>0</v>
      </c>
      <c r="Y2422" s="128">
        <v>0</v>
      </c>
      <c r="Z2422" s="128">
        <v>-38180371.990000002</v>
      </c>
      <c r="AA2422" s="128">
        <v>0</v>
      </c>
      <c r="AB2422" s="126">
        <f t="shared" si="246"/>
        <v>3.8180371990000004</v>
      </c>
      <c r="AC2422" s="122" t="s">
        <v>1838</v>
      </c>
      <c r="AD2422" s="123">
        <f t="shared" si="249"/>
        <v>1983.9723217250009</v>
      </c>
    </row>
    <row r="2423" spans="1:30" ht="12.75" hidden="1" customHeight="1">
      <c r="A2423" s="125" t="str">
        <f t="shared" si="243"/>
        <v>LIC38Payable - Withhold Brokerage</v>
      </c>
      <c r="B2423" s="125">
        <f>+IFERROR(VLOOKUP(L2423,'TB mapping'!A:D,4,0),0)</f>
        <v>0</v>
      </c>
      <c r="C2423" s="125">
        <f>+IFERROR(VLOOKUP(L2423,'TB mapping'!A:C,3,0),0)</f>
        <v>0</v>
      </c>
      <c r="D2423" s="125" t="str">
        <f t="shared" si="244"/>
        <v>LIC380</v>
      </c>
      <c r="E2423" s="125" t="str">
        <f t="shared" si="245"/>
        <v>LIC380</v>
      </c>
      <c r="F2423" s="158" t="str">
        <f>+VLOOKUP(H2423,'code mapping'!A:C,3,0)</f>
        <v>LIC38</v>
      </c>
      <c r="G2423" s="127" t="s">
        <v>453</v>
      </c>
      <c r="H2423" s="127" t="s">
        <v>766</v>
      </c>
      <c r="I2423" s="127" t="s">
        <v>767</v>
      </c>
      <c r="J2423" s="128">
        <v>212000</v>
      </c>
      <c r="K2423" s="127" t="s">
        <v>487</v>
      </c>
      <c r="L2423" s="151">
        <v>210164</v>
      </c>
      <c r="M2423" s="128">
        <v>0</v>
      </c>
      <c r="N2423" s="127" t="s">
        <v>488</v>
      </c>
      <c r="O2423" s="127" t="s">
        <v>457</v>
      </c>
      <c r="P2423" s="128">
        <v>0</v>
      </c>
      <c r="Q2423" s="128">
        <v>70483.75</v>
      </c>
      <c r="R2423" s="128">
        <v>0</v>
      </c>
      <c r="S2423" s="128">
        <v>0</v>
      </c>
      <c r="T2423" s="128">
        <v>0</v>
      </c>
      <c r="U2423" s="128">
        <v>70483.75</v>
      </c>
      <c r="V2423" s="128">
        <v>0</v>
      </c>
      <c r="W2423" s="128">
        <v>70483.75</v>
      </c>
      <c r="X2423" s="128">
        <v>0</v>
      </c>
      <c r="Y2423" s="128">
        <v>0</v>
      </c>
      <c r="Z2423" s="128">
        <v>0</v>
      </c>
      <c r="AA2423" s="128">
        <v>70483.75</v>
      </c>
      <c r="AB2423" s="126">
        <f t="shared" si="246"/>
        <v>-7.048375E-3</v>
      </c>
      <c r="AC2423" s="122" t="s">
        <v>1838</v>
      </c>
      <c r="AD2423" s="123">
        <f t="shared" si="249"/>
        <v>1983.9723217250009</v>
      </c>
    </row>
    <row r="2424" spans="1:30" ht="12.75" hidden="1" customHeight="1">
      <c r="A2424" s="125" t="str">
        <f t="shared" si="243"/>
        <v>LIC38CGST Payable</v>
      </c>
      <c r="B2424" s="125">
        <f>+IFERROR(VLOOKUP(L2424,'TB mapping'!A:D,4,0),0)</f>
        <v>0</v>
      </c>
      <c r="C2424" s="125">
        <f>+IFERROR(VLOOKUP(L2424,'TB mapping'!A:C,3,0),0)</f>
        <v>0</v>
      </c>
      <c r="D2424" s="125" t="str">
        <f t="shared" si="244"/>
        <v>LIC380</v>
      </c>
      <c r="E2424" s="125" t="str">
        <f t="shared" si="245"/>
        <v>LIC380</v>
      </c>
      <c r="F2424" s="158" t="str">
        <f>+VLOOKUP(H2424,'code mapping'!A:C,3,0)</f>
        <v>LIC38</v>
      </c>
      <c r="G2424" s="127" t="s">
        <v>453</v>
      </c>
      <c r="H2424" s="127" t="s">
        <v>766</v>
      </c>
      <c r="I2424" s="127" t="s">
        <v>767</v>
      </c>
      <c r="J2424" s="128">
        <v>212000</v>
      </c>
      <c r="K2424" s="127" t="s">
        <v>487</v>
      </c>
      <c r="L2424" s="151">
        <v>212112</v>
      </c>
      <c r="M2424" s="128">
        <v>0</v>
      </c>
      <c r="N2424" s="127" t="s">
        <v>490</v>
      </c>
      <c r="O2424" s="127" t="s">
        <v>457</v>
      </c>
      <c r="P2424" s="128">
        <v>0</v>
      </c>
      <c r="Q2424" s="128">
        <v>1.39</v>
      </c>
      <c r="R2424" s="128">
        <v>0</v>
      </c>
      <c r="S2424" s="128">
        <v>0</v>
      </c>
      <c r="T2424" s="128">
        <v>0</v>
      </c>
      <c r="U2424" s="128">
        <v>1.39</v>
      </c>
      <c r="V2424" s="128">
        <v>0</v>
      </c>
      <c r="W2424" s="128">
        <v>1.39</v>
      </c>
      <c r="X2424" s="128">
        <v>0</v>
      </c>
      <c r="Y2424" s="128">
        <v>0</v>
      </c>
      <c r="Z2424" s="128">
        <v>0</v>
      </c>
      <c r="AA2424" s="128">
        <v>1.39</v>
      </c>
      <c r="AB2424" s="126">
        <f t="shared" si="246"/>
        <v>-1.3899999999999999E-7</v>
      </c>
      <c r="AC2424" s="122" t="s">
        <v>1838</v>
      </c>
      <c r="AD2424" s="123">
        <f t="shared" si="249"/>
        <v>1983.9723217250009</v>
      </c>
    </row>
    <row r="2425" spans="1:30" ht="12.75" hidden="1" customHeight="1">
      <c r="A2425" s="125" t="str">
        <f t="shared" ref="A2425:A2488" si="250">+F2425&amp;N2425</f>
        <v>LIC38SGST Payable</v>
      </c>
      <c r="B2425" s="125">
        <f>+IFERROR(VLOOKUP(L2425,'TB mapping'!A:D,4,0),0)</f>
        <v>0</v>
      </c>
      <c r="C2425" s="125">
        <f>+IFERROR(VLOOKUP(L2425,'TB mapping'!A:C,3,0),0)</f>
        <v>0</v>
      </c>
      <c r="D2425" s="125" t="str">
        <f t="shared" ref="D2425:D2488" si="251">+F2425&amp;B2425</f>
        <v>LIC380</v>
      </c>
      <c r="E2425" s="125" t="str">
        <f t="shared" ref="E2425:E2488" si="252">+F2425&amp;C2425</f>
        <v>LIC380</v>
      </c>
      <c r="F2425" s="158" t="str">
        <f>+VLOOKUP(H2425,'code mapping'!A:C,3,0)</f>
        <v>LIC38</v>
      </c>
      <c r="G2425" s="127" t="s">
        <v>453</v>
      </c>
      <c r="H2425" s="127" t="s">
        <v>766</v>
      </c>
      <c r="I2425" s="127" t="s">
        <v>767</v>
      </c>
      <c r="J2425" s="128">
        <v>212000</v>
      </c>
      <c r="K2425" s="127" t="s">
        <v>487</v>
      </c>
      <c r="L2425" s="151">
        <v>212113</v>
      </c>
      <c r="M2425" s="128">
        <v>0</v>
      </c>
      <c r="N2425" s="127" t="s">
        <v>491</v>
      </c>
      <c r="O2425" s="127" t="s">
        <v>457</v>
      </c>
      <c r="P2425" s="128">
        <v>0</v>
      </c>
      <c r="Q2425" s="128">
        <v>1.25</v>
      </c>
      <c r="R2425" s="128">
        <v>0</v>
      </c>
      <c r="S2425" s="128">
        <v>0</v>
      </c>
      <c r="T2425" s="128">
        <v>0</v>
      </c>
      <c r="U2425" s="128">
        <v>1.25</v>
      </c>
      <c r="V2425" s="128">
        <v>0</v>
      </c>
      <c r="W2425" s="128">
        <v>1.25</v>
      </c>
      <c r="X2425" s="128">
        <v>0</v>
      </c>
      <c r="Y2425" s="128">
        <v>0</v>
      </c>
      <c r="Z2425" s="128">
        <v>0</v>
      </c>
      <c r="AA2425" s="128">
        <v>1.25</v>
      </c>
      <c r="AB2425" s="126">
        <f t="shared" ref="AB2425:AB2488" si="253">SUM(-Z2425-AA2425)/10^7</f>
        <v>-1.2499999999999999E-7</v>
      </c>
      <c r="AC2425" s="122" t="s">
        <v>1838</v>
      </c>
      <c r="AD2425" s="123">
        <f t="shared" si="249"/>
        <v>1983.9723217250009</v>
      </c>
    </row>
    <row r="2426" spans="1:30" ht="12.75" hidden="1" customHeight="1">
      <c r="A2426" s="125" t="str">
        <f t="shared" si="250"/>
        <v>LIC38IGST Payable</v>
      </c>
      <c r="B2426" s="125">
        <f>+IFERROR(VLOOKUP(L2426,'TB mapping'!A:D,4,0),0)</f>
        <v>0</v>
      </c>
      <c r="C2426" s="125">
        <f>+IFERROR(VLOOKUP(L2426,'TB mapping'!A:C,3,0),0)</f>
        <v>0</v>
      </c>
      <c r="D2426" s="125" t="str">
        <f t="shared" si="251"/>
        <v>LIC380</v>
      </c>
      <c r="E2426" s="125" t="str">
        <f t="shared" si="252"/>
        <v>LIC380</v>
      </c>
      <c r="F2426" s="158" t="str">
        <f>+VLOOKUP(H2426,'code mapping'!A:C,3,0)</f>
        <v>LIC38</v>
      </c>
      <c r="G2426" s="127" t="s">
        <v>453</v>
      </c>
      <c r="H2426" s="127" t="s">
        <v>766</v>
      </c>
      <c r="I2426" s="127" t="s">
        <v>767</v>
      </c>
      <c r="J2426" s="128">
        <v>212000</v>
      </c>
      <c r="K2426" s="127" t="s">
        <v>487</v>
      </c>
      <c r="L2426" s="151">
        <v>212114</v>
      </c>
      <c r="M2426" s="128">
        <v>0</v>
      </c>
      <c r="N2426" s="127" t="s">
        <v>492</v>
      </c>
      <c r="O2426" s="127" t="s">
        <v>457</v>
      </c>
      <c r="P2426" s="128">
        <v>0</v>
      </c>
      <c r="Q2426" s="128">
        <v>107.78</v>
      </c>
      <c r="R2426" s="128">
        <v>0</v>
      </c>
      <c r="S2426" s="128">
        <v>0</v>
      </c>
      <c r="T2426" s="128">
        <v>0</v>
      </c>
      <c r="U2426" s="128">
        <v>107.78</v>
      </c>
      <c r="V2426" s="128">
        <v>0</v>
      </c>
      <c r="W2426" s="128">
        <v>107.78</v>
      </c>
      <c r="X2426" s="128">
        <v>0</v>
      </c>
      <c r="Y2426" s="128">
        <v>0</v>
      </c>
      <c r="Z2426" s="128">
        <v>0</v>
      </c>
      <c r="AA2426" s="128">
        <v>107.78</v>
      </c>
      <c r="AB2426" s="126">
        <f t="shared" si="253"/>
        <v>-1.0778000000000001E-5</v>
      </c>
      <c r="AC2426" s="122" t="s">
        <v>1838</v>
      </c>
      <c r="AD2426" s="123">
        <f t="shared" si="249"/>
        <v>1983.9723217250009</v>
      </c>
    </row>
    <row r="2427" spans="1:30" ht="12.75" hidden="1" customHeight="1">
      <c r="A2427" s="125" t="str">
        <f t="shared" si="250"/>
        <v>LIC38Redemption Payable Ct</v>
      </c>
      <c r="B2427" s="125">
        <f>+IFERROR(VLOOKUP(L2427,'TB mapping'!A:D,4,0),0)</f>
        <v>0</v>
      </c>
      <c r="C2427" s="125">
        <f>+IFERROR(VLOOKUP(L2427,'TB mapping'!A:C,3,0),0)</f>
        <v>0</v>
      </c>
      <c r="D2427" s="125" t="str">
        <f t="shared" si="251"/>
        <v>LIC380</v>
      </c>
      <c r="E2427" s="125" t="str">
        <f t="shared" si="252"/>
        <v>LIC380</v>
      </c>
      <c r="F2427" s="158" t="str">
        <f>+VLOOKUP(H2427,'code mapping'!A:C,3,0)</f>
        <v>LIC38</v>
      </c>
      <c r="G2427" s="127" t="s">
        <v>453</v>
      </c>
      <c r="H2427" s="127" t="s">
        <v>766</v>
      </c>
      <c r="I2427" s="127" t="s">
        <v>767</v>
      </c>
      <c r="J2427" s="128">
        <v>212000</v>
      </c>
      <c r="K2427" s="127" t="s">
        <v>487</v>
      </c>
      <c r="L2427" s="151">
        <v>212121</v>
      </c>
      <c r="M2427" s="128">
        <v>0</v>
      </c>
      <c r="N2427" s="127" t="s">
        <v>493</v>
      </c>
      <c r="O2427" s="127" t="s">
        <v>457</v>
      </c>
      <c r="P2427" s="128">
        <v>0</v>
      </c>
      <c r="Q2427" s="128">
        <v>373085.07</v>
      </c>
      <c r="R2427" s="128">
        <v>0</v>
      </c>
      <c r="S2427" s="128">
        <v>0</v>
      </c>
      <c r="T2427" s="128">
        <v>0</v>
      </c>
      <c r="U2427" s="128">
        <v>373085.07</v>
      </c>
      <c r="V2427" s="128">
        <v>0</v>
      </c>
      <c r="W2427" s="128">
        <v>373085.07</v>
      </c>
      <c r="X2427" s="128">
        <v>0</v>
      </c>
      <c r="Y2427" s="128">
        <v>0</v>
      </c>
      <c r="Z2427" s="128">
        <v>0</v>
      </c>
      <c r="AA2427" s="128">
        <v>373085.07</v>
      </c>
      <c r="AB2427" s="126">
        <f t="shared" si="253"/>
        <v>-3.7308506999999998E-2</v>
      </c>
      <c r="AC2427" s="122" t="s">
        <v>1838</v>
      </c>
      <c r="AD2427" s="123">
        <f t="shared" si="249"/>
        <v>1983.9723217250009</v>
      </c>
    </row>
    <row r="2428" spans="1:30" ht="12.75" hidden="1" customHeight="1">
      <c r="A2428" s="125" t="str">
        <f t="shared" si="250"/>
        <v>LIC38Switch Out Payable Ct</v>
      </c>
      <c r="B2428" s="125">
        <f>+IFERROR(VLOOKUP(L2428,'TB mapping'!A:D,4,0),0)</f>
        <v>0</v>
      </c>
      <c r="C2428" s="125">
        <f>+IFERROR(VLOOKUP(L2428,'TB mapping'!A:C,3,0),0)</f>
        <v>0</v>
      </c>
      <c r="D2428" s="125" t="str">
        <f t="shared" si="251"/>
        <v>LIC380</v>
      </c>
      <c r="E2428" s="125" t="str">
        <f t="shared" si="252"/>
        <v>LIC380</v>
      </c>
      <c r="F2428" s="158" t="str">
        <f>+VLOOKUP(H2428,'code mapping'!A:C,3,0)</f>
        <v>LIC38</v>
      </c>
      <c r="G2428" s="127" t="s">
        <v>453</v>
      </c>
      <c r="H2428" s="127" t="s">
        <v>766</v>
      </c>
      <c r="I2428" s="127" t="s">
        <v>767</v>
      </c>
      <c r="J2428" s="128">
        <v>212000</v>
      </c>
      <c r="K2428" s="127" t="s">
        <v>487</v>
      </c>
      <c r="L2428" s="151">
        <v>212124</v>
      </c>
      <c r="M2428" s="128">
        <v>0</v>
      </c>
      <c r="N2428" s="127" t="s">
        <v>494</v>
      </c>
      <c r="O2428" s="127" t="s">
        <v>457</v>
      </c>
      <c r="P2428" s="128">
        <v>0</v>
      </c>
      <c r="Q2428" s="128">
        <v>97831.17</v>
      </c>
      <c r="R2428" s="128">
        <v>0</v>
      </c>
      <c r="S2428" s="128">
        <v>0</v>
      </c>
      <c r="T2428" s="128">
        <v>0</v>
      </c>
      <c r="U2428" s="128">
        <v>97831.17</v>
      </c>
      <c r="V2428" s="128">
        <v>0</v>
      </c>
      <c r="W2428" s="128">
        <v>97831.17</v>
      </c>
      <c r="X2428" s="128">
        <v>0</v>
      </c>
      <c r="Y2428" s="128">
        <v>0</v>
      </c>
      <c r="Z2428" s="128">
        <v>0</v>
      </c>
      <c r="AA2428" s="128">
        <v>97831.17</v>
      </c>
      <c r="AB2428" s="126">
        <f t="shared" si="253"/>
        <v>-9.7831169999999992E-3</v>
      </c>
      <c r="AC2428" s="122" t="s">
        <v>1838</v>
      </c>
      <c r="AD2428" s="123">
        <f t="shared" si="249"/>
        <v>1983.9723217250009</v>
      </c>
    </row>
    <row r="2429" spans="1:30" ht="12.75" hidden="1" customHeight="1">
      <c r="A2429" s="125" t="str">
        <f t="shared" si="250"/>
        <v>LIC38Audit Fee-Payable</v>
      </c>
      <c r="B2429" s="125">
        <f>+IFERROR(VLOOKUP(L2429,'TB mapping'!A:D,4,0),0)</f>
        <v>0</v>
      </c>
      <c r="C2429" s="125">
        <f>+IFERROR(VLOOKUP(L2429,'TB mapping'!A:C,3,0),0)</f>
        <v>0</v>
      </c>
      <c r="D2429" s="125" t="str">
        <f t="shared" si="251"/>
        <v>LIC380</v>
      </c>
      <c r="E2429" s="125" t="str">
        <f t="shared" si="252"/>
        <v>LIC380</v>
      </c>
      <c r="F2429" s="158" t="str">
        <f>+VLOOKUP(H2429,'code mapping'!A:C,3,0)</f>
        <v>LIC38</v>
      </c>
      <c r="G2429" s="127" t="s">
        <v>453</v>
      </c>
      <c r="H2429" s="127" t="s">
        <v>766</v>
      </c>
      <c r="I2429" s="127" t="s">
        <v>767</v>
      </c>
      <c r="J2429" s="128">
        <v>212000</v>
      </c>
      <c r="K2429" s="127" t="s">
        <v>487</v>
      </c>
      <c r="L2429" s="151">
        <v>212194</v>
      </c>
      <c r="M2429" s="128">
        <v>0</v>
      </c>
      <c r="N2429" s="127" t="s">
        <v>496</v>
      </c>
      <c r="O2429" s="127" t="s">
        <v>457</v>
      </c>
      <c r="P2429" s="128">
        <v>-366.71</v>
      </c>
      <c r="Q2429" s="128">
        <v>0</v>
      </c>
      <c r="R2429" s="128">
        <v>0</v>
      </c>
      <c r="S2429" s="128">
        <v>0</v>
      </c>
      <c r="T2429" s="128">
        <v>-366.71</v>
      </c>
      <c r="U2429" s="128">
        <v>0</v>
      </c>
      <c r="V2429" s="128">
        <v>-366.71</v>
      </c>
      <c r="W2429" s="128">
        <v>0</v>
      </c>
      <c r="X2429" s="128">
        <v>0</v>
      </c>
      <c r="Y2429" s="128">
        <v>0</v>
      </c>
      <c r="Z2429" s="128">
        <v>-366.71</v>
      </c>
      <c r="AA2429" s="128">
        <v>0</v>
      </c>
      <c r="AB2429" s="126">
        <f t="shared" si="253"/>
        <v>3.6670999999999995E-5</v>
      </c>
      <c r="AC2429" s="122" t="s">
        <v>1838</v>
      </c>
      <c r="AD2429" s="123">
        <f t="shared" si="249"/>
        <v>1983.9723217250009</v>
      </c>
    </row>
    <row r="2430" spans="1:30" ht="12.75" hidden="1" customHeight="1">
      <c r="A2430" s="125" t="str">
        <f t="shared" si="250"/>
        <v>LIC38Other Exp- Payable</v>
      </c>
      <c r="B2430" s="125">
        <f>+IFERROR(VLOOKUP(L2430,'TB mapping'!A:D,4,0),0)</f>
        <v>0</v>
      </c>
      <c r="C2430" s="125">
        <f>+IFERROR(VLOOKUP(L2430,'TB mapping'!A:C,3,0),0)</f>
        <v>0</v>
      </c>
      <c r="D2430" s="125" t="str">
        <f t="shared" si="251"/>
        <v>LIC380</v>
      </c>
      <c r="E2430" s="125" t="str">
        <f t="shared" si="252"/>
        <v>LIC380</v>
      </c>
      <c r="F2430" s="158" t="str">
        <f>+VLOOKUP(H2430,'code mapping'!A:C,3,0)</f>
        <v>LIC38</v>
      </c>
      <c r="G2430" s="127" t="s">
        <v>453</v>
      </c>
      <c r="H2430" s="127" t="s">
        <v>766</v>
      </c>
      <c r="I2430" s="127" t="s">
        <v>767</v>
      </c>
      <c r="J2430" s="128">
        <v>212000</v>
      </c>
      <c r="K2430" s="127" t="s">
        <v>487</v>
      </c>
      <c r="L2430" s="151">
        <v>212220</v>
      </c>
      <c r="M2430" s="128">
        <v>0</v>
      </c>
      <c r="N2430" s="127" t="s">
        <v>497</v>
      </c>
      <c r="O2430" s="127" t="s">
        <v>457</v>
      </c>
      <c r="P2430" s="128">
        <v>0</v>
      </c>
      <c r="Q2430" s="128">
        <v>396465.7</v>
      </c>
      <c r="R2430" s="128">
        <v>0</v>
      </c>
      <c r="S2430" s="128">
        <v>0</v>
      </c>
      <c r="T2430" s="128">
        <v>0</v>
      </c>
      <c r="U2430" s="128">
        <v>396465.7</v>
      </c>
      <c r="V2430" s="128">
        <v>0</v>
      </c>
      <c r="W2430" s="128">
        <v>396465.7</v>
      </c>
      <c r="X2430" s="128">
        <v>0</v>
      </c>
      <c r="Y2430" s="128">
        <v>0</v>
      </c>
      <c r="Z2430" s="128">
        <v>0</v>
      </c>
      <c r="AA2430" s="128">
        <v>396465.7</v>
      </c>
      <c r="AB2430" s="126">
        <f t="shared" si="253"/>
        <v>-3.9646569999999999E-2</v>
      </c>
      <c r="AC2430" s="122" t="s">
        <v>1838</v>
      </c>
      <c r="AD2430" s="123">
        <f t="shared" si="249"/>
        <v>1983.9723217250009</v>
      </c>
    </row>
    <row r="2431" spans="1:30" ht="12.75" hidden="1" customHeight="1">
      <c r="A2431" s="125" t="str">
        <f t="shared" si="250"/>
        <v>LIC38Expense Allocation-Liab'ity Ac</v>
      </c>
      <c r="B2431" s="125">
        <f>+IFERROR(VLOOKUP(L2431,'TB mapping'!A:D,4,0),0)</f>
        <v>0</v>
      </c>
      <c r="C2431" s="125">
        <f>+IFERROR(VLOOKUP(L2431,'TB mapping'!A:C,3,0),0)</f>
        <v>0</v>
      </c>
      <c r="D2431" s="125" t="str">
        <f t="shared" si="251"/>
        <v>LIC380</v>
      </c>
      <c r="E2431" s="125" t="str">
        <f t="shared" si="252"/>
        <v>LIC380</v>
      </c>
      <c r="F2431" s="158" t="str">
        <f>+VLOOKUP(H2431,'code mapping'!A:C,3,0)</f>
        <v>LIC38</v>
      </c>
      <c r="G2431" s="127" t="s">
        <v>453</v>
      </c>
      <c r="H2431" s="127" t="s">
        <v>766</v>
      </c>
      <c r="I2431" s="127" t="s">
        <v>767</v>
      </c>
      <c r="J2431" s="128">
        <v>212000</v>
      </c>
      <c r="K2431" s="127" t="s">
        <v>487</v>
      </c>
      <c r="L2431" s="151">
        <v>212223</v>
      </c>
      <c r="M2431" s="128">
        <v>0</v>
      </c>
      <c r="N2431" s="127" t="s">
        <v>498</v>
      </c>
      <c r="O2431" s="127" t="s">
        <v>457</v>
      </c>
      <c r="P2431" s="128">
        <v>-133908.63</v>
      </c>
      <c r="Q2431" s="128">
        <v>0</v>
      </c>
      <c r="R2431" s="128">
        <v>0</v>
      </c>
      <c r="S2431" s="128">
        <v>0</v>
      </c>
      <c r="T2431" s="128">
        <v>-133908.63</v>
      </c>
      <c r="U2431" s="128">
        <v>0</v>
      </c>
      <c r="V2431" s="128">
        <v>-133908.63</v>
      </c>
      <c r="W2431" s="128">
        <v>0</v>
      </c>
      <c r="X2431" s="128">
        <v>0</v>
      </c>
      <c r="Y2431" s="128">
        <v>0</v>
      </c>
      <c r="Z2431" s="128">
        <v>-133908.63</v>
      </c>
      <c r="AA2431" s="128">
        <v>0</v>
      </c>
      <c r="AB2431" s="126">
        <f t="shared" si="253"/>
        <v>1.3390863000000001E-2</v>
      </c>
      <c r="AC2431" s="122" t="s">
        <v>1838</v>
      </c>
      <c r="AD2431" s="123">
        <f t="shared" si="249"/>
        <v>1983.9723217250009</v>
      </c>
    </row>
    <row r="2432" spans="1:30" ht="12.75" hidden="1" customHeight="1">
      <c r="A2432" s="125" t="str">
        <f t="shared" si="250"/>
        <v>LIC38STT Payable</v>
      </c>
      <c r="B2432" s="125">
        <f>+IFERROR(VLOOKUP(L2432,'TB mapping'!A:D,4,0),0)</f>
        <v>0</v>
      </c>
      <c r="C2432" s="125">
        <f>+IFERROR(VLOOKUP(L2432,'TB mapping'!A:C,3,0),0)</f>
        <v>0</v>
      </c>
      <c r="D2432" s="125" t="str">
        <f t="shared" si="251"/>
        <v>LIC380</v>
      </c>
      <c r="E2432" s="125" t="str">
        <f t="shared" si="252"/>
        <v>LIC380</v>
      </c>
      <c r="F2432" s="158" t="str">
        <f>+VLOOKUP(H2432,'code mapping'!A:C,3,0)</f>
        <v>LIC38</v>
      </c>
      <c r="G2432" s="127" t="s">
        <v>453</v>
      </c>
      <c r="H2432" s="127" t="s">
        <v>766</v>
      </c>
      <c r="I2432" s="127" t="s">
        <v>767</v>
      </c>
      <c r="J2432" s="128">
        <v>212000</v>
      </c>
      <c r="K2432" s="127" t="s">
        <v>487</v>
      </c>
      <c r="L2432" s="151">
        <v>212231</v>
      </c>
      <c r="M2432" s="128">
        <v>0</v>
      </c>
      <c r="N2432" s="127" t="s">
        <v>748</v>
      </c>
      <c r="O2432" s="127" t="s">
        <v>457</v>
      </c>
      <c r="P2432" s="128">
        <v>0</v>
      </c>
      <c r="Q2432" s="128">
        <v>19.809999999999999</v>
      </c>
      <c r="R2432" s="128">
        <v>0</v>
      </c>
      <c r="S2432" s="128">
        <v>0</v>
      </c>
      <c r="T2432" s="128">
        <v>0</v>
      </c>
      <c r="U2432" s="128">
        <v>19.809999999999999</v>
      </c>
      <c r="V2432" s="128">
        <v>0</v>
      </c>
      <c r="W2432" s="128">
        <v>19.809999999999999</v>
      </c>
      <c r="X2432" s="128">
        <v>0</v>
      </c>
      <c r="Y2432" s="128">
        <v>0</v>
      </c>
      <c r="Z2432" s="128">
        <v>0</v>
      </c>
      <c r="AA2432" s="128">
        <v>19.809999999999999</v>
      </c>
      <c r="AB2432" s="126">
        <f t="shared" si="253"/>
        <v>-1.9809999999999998E-6</v>
      </c>
      <c r="AC2432" s="122" t="s">
        <v>1838</v>
      </c>
      <c r="AD2432" s="123">
        <f t="shared" si="249"/>
        <v>1983.9723217250009</v>
      </c>
    </row>
    <row r="2433" spans="1:30" ht="12.75" hidden="1" customHeight="1">
      <c r="A2433" s="125" t="str">
        <f t="shared" si="250"/>
        <v>LIC38Load Payable</v>
      </c>
      <c r="B2433" s="125">
        <f>+IFERROR(VLOOKUP(L2433,'TB mapping'!A:D,4,0),0)</f>
        <v>0</v>
      </c>
      <c r="C2433" s="125">
        <f>+IFERROR(VLOOKUP(L2433,'TB mapping'!A:C,3,0),0)</f>
        <v>0</v>
      </c>
      <c r="D2433" s="125" t="str">
        <f t="shared" si="251"/>
        <v>LIC380</v>
      </c>
      <c r="E2433" s="125" t="str">
        <f t="shared" si="252"/>
        <v>LIC380</v>
      </c>
      <c r="F2433" s="158" t="str">
        <f>+VLOOKUP(H2433,'code mapping'!A:C,3,0)</f>
        <v>LIC38</v>
      </c>
      <c r="G2433" s="127" t="s">
        <v>453</v>
      </c>
      <c r="H2433" s="127" t="s">
        <v>766</v>
      </c>
      <c r="I2433" s="127" t="s">
        <v>767</v>
      </c>
      <c r="J2433" s="128">
        <v>212000</v>
      </c>
      <c r="K2433" s="127" t="s">
        <v>487</v>
      </c>
      <c r="L2433" s="151">
        <v>212232</v>
      </c>
      <c r="M2433" s="128">
        <v>0</v>
      </c>
      <c r="N2433" s="127" t="s">
        <v>749</v>
      </c>
      <c r="O2433" s="127" t="s">
        <v>457</v>
      </c>
      <c r="P2433" s="128">
        <v>0</v>
      </c>
      <c r="Q2433" s="128">
        <v>1381.31</v>
      </c>
      <c r="R2433" s="128">
        <v>0</v>
      </c>
      <c r="S2433" s="128">
        <v>0</v>
      </c>
      <c r="T2433" s="128">
        <v>0</v>
      </c>
      <c r="U2433" s="128">
        <v>1381.31</v>
      </c>
      <c r="V2433" s="128">
        <v>0</v>
      </c>
      <c r="W2433" s="128">
        <v>1381.31</v>
      </c>
      <c r="X2433" s="128">
        <v>0</v>
      </c>
      <c r="Y2433" s="128">
        <v>0</v>
      </c>
      <c r="Z2433" s="128">
        <v>0</v>
      </c>
      <c r="AA2433" s="128">
        <v>1381.31</v>
      </c>
      <c r="AB2433" s="126">
        <f t="shared" si="253"/>
        <v>-1.38131E-4</v>
      </c>
      <c r="AC2433" s="122" t="s">
        <v>1838</v>
      </c>
      <c r="AD2433" s="123">
        <f t="shared" si="249"/>
        <v>1983.9723217250009</v>
      </c>
    </row>
    <row r="2434" spans="1:30" ht="12.75" hidden="1" customHeight="1">
      <c r="A2434" s="125" t="str">
        <f t="shared" si="250"/>
        <v>LIC38Investor Education Payable</v>
      </c>
      <c r="B2434" s="125">
        <f>+IFERROR(VLOOKUP(L2434,'TB mapping'!A:D,4,0),0)</f>
        <v>0</v>
      </c>
      <c r="C2434" s="125">
        <f>+IFERROR(VLOOKUP(L2434,'TB mapping'!A:C,3,0),0)</f>
        <v>0</v>
      </c>
      <c r="D2434" s="125" t="str">
        <f t="shared" si="251"/>
        <v>LIC380</v>
      </c>
      <c r="E2434" s="125" t="str">
        <f t="shared" si="252"/>
        <v>LIC380</v>
      </c>
      <c r="F2434" s="158" t="str">
        <f>+VLOOKUP(H2434,'code mapping'!A:C,3,0)</f>
        <v>LIC38</v>
      </c>
      <c r="G2434" s="127" t="s">
        <v>453</v>
      </c>
      <c r="H2434" s="127" t="s">
        <v>766</v>
      </c>
      <c r="I2434" s="127" t="s">
        <v>767</v>
      </c>
      <c r="J2434" s="128">
        <v>212000</v>
      </c>
      <c r="K2434" s="127" t="s">
        <v>487</v>
      </c>
      <c r="L2434" s="151">
        <v>212240</v>
      </c>
      <c r="M2434" s="128">
        <v>0</v>
      </c>
      <c r="N2434" s="127" t="s">
        <v>500</v>
      </c>
      <c r="O2434" s="127" t="s">
        <v>457</v>
      </c>
      <c r="P2434" s="128">
        <v>0</v>
      </c>
      <c r="Q2434" s="128">
        <v>1715.8</v>
      </c>
      <c r="R2434" s="128">
        <v>0</v>
      </c>
      <c r="S2434" s="128">
        <v>0</v>
      </c>
      <c r="T2434" s="128">
        <v>0</v>
      </c>
      <c r="U2434" s="128">
        <v>1715.8</v>
      </c>
      <c r="V2434" s="128">
        <v>0</v>
      </c>
      <c r="W2434" s="128">
        <v>1715.8</v>
      </c>
      <c r="X2434" s="128">
        <v>0</v>
      </c>
      <c r="Y2434" s="128">
        <v>0</v>
      </c>
      <c r="Z2434" s="128">
        <v>0</v>
      </c>
      <c r="AA2434" s="128">
        <v>1715.8</v>
      </c>
      <c r="AB2434" s="126">
        <f t="shared" si="253"/>
        <v>-1.7158000000000001E-4</v>
      </c>
      <c r="AC2434" s="122" t="s">
        <v>1838</v>
      </c>
      <c r="AD2434" s="123">
        <f t="shared" si="249"/>
        <v>1983.9723217250009</v>
      </c>
    </row>
    <row r="2435" spans="1:30" ht="12.75" hidden="1" customHeight="1">
      <c r="A2435" s="125" t="str">
        <f t="shared" si="250"/>
        <v>LIC38Load Payable upto 31-07-2009</v>
      </c>
      <c r="B2435" s="125">
        <f>+IFERROR(VLOOKUP(L2435,'TB mapping'!A:D,4,0),0)</f>
        <v>0</v>
      </c>
      <c r="C2435" s="125">
        <f>+IFERROR(VLOOKUP(L2435,'TB mapping'!A:C,3,0),0)</f>
        <v>0</v>
      </c>
      <c r="D2435" s="125" t="str">
        <f t="shared" si="251"/>
        <v>LIC380</v>
      </c>
      <c r="E2435" s="125" t="str">
        <f t="shared" si="252"/>
        <v>LIC380</v>
      </c>
      <c r="F2435" s="158" t="str">
        <f>+VLOOKUP(H2435,'code mapping'!A:C,3,0)</f>
        <v>LIC38</v>
      </c>
      <c r="G2435" s="127" t="s">
        <v>453</v>
      </c>
      <c r="H2435" s="127" t="s">
        <v>766</v>
      </c>
      <c r="I2435" s="127" t="s">
        <v>767</v>
      </c>
      <c r="J2435" s="128">
        <v>212000</v>
      </c>
      <c r="K2435" s="127" t="s">
        <v>487</v>
      </c>
      <c r="L2435" s="151">
        <v>212241</v>
      </c>
      <c r="M2435" s="128">
        <v>0</v>
      </c>
      <c r="N2435" s="127" t="s">
        <v>768</v>
      </c>
      <c r="O2435" s="127" t="s">
        <v>457</v>
      </c>
      <c r="P2435" s="128">
        <v>0</v>
      </c>
      <c r="Q2435" s="128">
        <v>210247.22</v>
      </c>
      <c r="R2435" s="128">
        <v>0</v>
      </c>
      <c r="S2435" s="128">
        <v>0</v>
      </c>
      <c r="T2435" s="128">
        <v>0</v>
      </c>
      <c r="U2435" s="128">
        <v>210247.22</v>
      </c>
      <c r="V2435" s="128">
        <v>0</v>
      </c>
      <c r="W2435" s="128">
        <v>210247.22</v>
      </c>
      <c r="X2435" s="128">
        <v>0</v>
      </c>
      <c r="Y2435" s="128">
        <v>0</v>
      </c>
      <c r="Z2435" s="128">
        <v>0</v>
      </c>
      <c r="AA2435" s="128">
        <v>210247.22</v>
      </c>
      <c r="AB2435" s="126">
        <f t="shared" si="253"/>
        <v>-2.1024721999999999E-2</v>
      </c>
      <c r="AC2435" s="122" t="s">
        <v>1838</v>
      </c>
      <c r="AD2435" s="123">
        <f t="shared" si="249"/>
        <v>1983.9723217250009</v>
      </c>
    </row>
    <row r="2436" spans="1:30" ht="12.75" hidden="1" customHeight="1">
      <c r="A2436" s="125" t="str">
        <f t="shared" si="250"/>
        <v>LIC38Transaction Charges Payable</v>
      </c>
      <c r="B2436" s="125">
        <f>+IFERROR(VLOOKUP(L2436,'TB mapping'!A:D,4,0),0)</f>
        <v>0</v>
      </c>
      <c r="C2436" s="125">
        <f>+IFERROR(VLOOKUP(L2436,'TB mapping'!A:C,3,0),0)</f>
        <v>0</v>
      </c>
      <c r="D2436" s="125" t="str">
        <f t="shared" si="251"/>
        <v>LIC380</v>
      </c>
      <c r="E2436" s="125" t="str">
        <f t="shared" si="252"/>
        <v>LIC380</v>
      </c>
      <c r="F2436" s="158" t="str">
        <f>+VLOOKUP(H2436,'code mapping'!A:C,3,0)</f>
        <v>LIC38</v>
      </c>
      <c r="G2436" s="127" t="s">
        <v>453</v>
      </c>
      <c r="H2436" s="127" t="s">
        <v>766</v>
      </c>
      <c r="I2436" s="127" t="s">
        <v>767</v>
      </c>
      <c r="J2436" s="128">
        <v>212000</v>
      </c>
      <c r="K2436" s="127" t="s">
        <v>487</v>
      </c>
      <c r="L2436" s="151">
        <v>212247</v>
      </c>
      <c r="M2436" s="128">
        <v>0</v>
      </c>
      <c r="N2436" s="127" t="s">
        <v>501</v>
      </c>
      <c r="O2436" s="127" t="s">
        <v>457</v>
      </c>
      <c r="P2436" s="128">
        <v>0</v>
      </c>
      <c r="Q2436" s="128">
        <v>727</v>
      </c>
      <c r="R2436" s="128">
        <v>0</v>
      </c>
      <c r="S2436" s="128">
        <v>0</v>
      </c>
      <c r="T2436" s="128">
        <v>0</v>
      </c>
      <c r="U2436" s="128">
        <v>727</v>
      </c>
      <c r="V2436" s="128">
        <v>0</v>
      </c>
      <c r="W2436" s="128">
        <v>727</v>
      </c>
      <c r="X2436" s="128">
        <v>0</v>
      </c>
      <c r="Y2436" s="128">
        <v>0</v>
      </c>
      <c r="Z2436" s="128">
        <v>0</v>
      </c>
      <c r="AA2436" s="128">
        <v>727</v>
      </c>
      <c r="AB2436" s="126">
        <f t="shared" si="253"/>
        <v>-7.2700000000000005E-5</v>
      </c>
      <c r="AC2436" s="122" t="s">
        <v>1838</v>
      </c>
      <c r="AD2436" s="123">
        <f t="shared" si="249"/>
        <v>1983.9723217250009</v>
      </c>
    </row>
    <row r="2437" spans="1:30" ht="12.75" hidden="1" customHeight="1">
      <c r="A2437" s="125" t="str">
        <f t="shared" si="250"/>
        <v>LIC38Brokerage &amp; Dist Exp Payable</v>
      </c>
      <c r="B2437" s="125">
        <f>+IFERROR(VLOOKUP(L2437,'TB mapping'!A:D,4,0),0)</f>
        <v>0</v>
      </c>
      <c r="C2437" s="125">
        <f>+IFERROR(VLOOKUP(L2437,'TB mapping'!A:C,3,0),0)</f>
        <v>0</v>
      </c>
      <c r="D2437" s="125" t="str">
        <f t="shared" si="251"/>
        <v>LIC380</v>
      </c>
      <c r="E2437" s="125" t="str">
        <f t="shared" si="252"/>
        <v>LIC380</v>
      </c>
      <c r="F2437" s="158" t="str">
        <f>+VLOOKUP(H2437,'code mapping'!A:C,3,0)</f>
        <v>LIC38</v>
      </c>
      <c r="G2437" s="127" t="s">
        <v>453</v>
      </c>
      <c r="H2437" s="127" t="s">
        <v>766</v>
      </c>
      <c r="I2437" s="127" t="s">
        <v>767</v>
      </c>
      <c r="J2437" s="128">
        <v>212000</v>
      </c>
      <c r="K2437" s="127" t="s">
        <v>487</v>
      </c>
      <c r="L2437" s="151">
        <v>212255</v>
      </c>
      <c r="M2437" s="128">
        <v>0</v>
      </c>
      <c r="N2437" s="127" t="s">
        <v>503</v>
      </c>
      <c r="O2437" s="127" t="s">
        <v>457</v>
      </c>
      <c r="P2437" s="128">
        <v>0</v>
      </c>
      <c r="Q2437" s="128">
        <v>198859.21</v>
      </c>
      <c r="R2437" s="128">
        <v>0</v>
      </c>
      <c r="S2437" s="128">
        <v>0</v>
      </c>
      <c r="T2437" s="128">
        <v>0</v>
      </c>
      <c r="U2437" s="128">
        <v>198859.21</v>
      </c>
      <c r="V2437" s="128">
        <v>0</v>
      </c>
      <c r="W2437" s="128">
        <v>198859.21</v>
      </c>
      <c r="X2437" s="128">
        <v>0</v>
      </c>
      <c r="Y2437" s="128">
        <v>0</v>
      </c>
      <c r="Z2437" s="128">
        <v>0</v>
      </c>
      <c r="AA2437" s="128">
        <v>198859.21</v>
      </c>
      <c r="AB2437" s="126">
        <f t="shared" si="253"/>
        <v>-1.9885921000000001E-2</v>
      </c>
      <c r="AC2437" s="122" t="s">
        <v>1838</v>
      </c>
      <c r="AD2437" s="123">
        <f t="shared" si="249"/>
        <v>1983.9723217250009</v>
      </c>
    </row>
    <row r="2438" spans="1:30" ht="12.75" hidden="1" customHeight="1">
      <c r="A2438" s="125" t="str">
        <f t="shared" si="250"/>
        <v>LIC38Upfront Brk &amp; Trail Paid-Liab</v>
      </c>
      <c r="B2438" s="125">
        <f>+IFERROR(VLOOKUP(L2438,'TB mapping'!A:D,4,0),0)</f>
        <v>0</v>
      </c>
      <c r="C2438" s="125">
        <f>+IFERROR(VLOOKUP(L2438,'TB mapping'!A:C,3,0),0)</f>
        <v>0</v>
      </c>
      <c r="D2438" s="125" t="str">
        <f t="shared" si="251"/>
        <v>LIC380</v>
      </c>
      <c r="E2438" s="125" t="str">
        <f t="shared" si="252"/>
        <v>LIC380</v>
      </c>
      <c r="F2438" s="158" t="str">
        <f>+VLOOKUP(H2438,'code mapping'!A:C,3,0)</f>
        <v>LIC38</v>
      </c>
      <c r="G2438" s="127" t="s">
        <v>453</v>
      </c>
      <c r="H2438" s="127" t="s">
        <v>766</v>
      </c>
      <c r="I2438" s="127" t="s">
        <v>767</v>
      </c>
      <c r="J2438" s="128">
        <v>212000</v>
      </c>
      <c r="K2438" s="127" t="s">
        <v>487</v>
      </c>
      <c r="L2438" s="151">
        <v>212257</v>
      </c>
      <c r="M2438" s="128">
        <v>0</v>
      </c>
      <c r="N2438" s="127" t="s">
        <v>504</v>
      </c>
      <c r="O2438" s="127" t="s">
        <v>457</v>
      </c>
      <c r="P2438" s="128">
        <v>0</v>
      </c>
      <c r="Q2438" s="128">
        <v>1145.69</v>
      </c>
      <c r="R2438" s="128">
        <v>0</v>
      </c>
      <c r="S2438" s="128">
        <v>0</v>
      </c>
      <c r="T2438" s="128">
        <v>0</v>
      </c>
      <c r="U2438" s="128">
        <v>1145.69</v>
      </c>
      <c r="V2438" s="128">
        <v>0</v>
      </c>
      <c r="W2438" s="128">
        <v>1145.69</v>
      </c>
      <c r="X2438" s="128">
        <v>0</v>
      </c>
      <c r="Y2438" s="128">
        <v>0</v>
      </c>
      <c r="Z2438" s="128">
        <v>0</v>
      </c>
      <c r="AA2438" s="128">
        <v>1145.69</v>
      </c>
      <c r="AB2438" s="126">
        <f t="shared" si="253"/>
        <v>-1.1456900000000001E-4</v>
      </c>
      <c r="AC2438" s="122" t="s">
        <v>1838</v>
      </c>
      <c r="AD2438" s="123">
        <f t="shared" si="249"/>
        <v>1983.9723217250009</v>
      </c>
    </row>
    <row r="2439" spans="1:30" ht="12.75" hidden="1" customHeight="1">
      <c r="A2439" s="125" t="str">
        <f t="shared" si="250"/>
        <v>LIC38Payable CGST on Mfees</v>
      </c>
      <c r="B2439" s="125">
        <f>+IFERROR(VLOOKUP(L2439,'TB mapping'!A:D,4,0),0)</f>
        <v>0</v>
      </c>
      <c r="C2439" s="125">
        <f>+IFERROR(VLOOKUP(L2439,'TB mapping'!A:C,3,0),0)</f>
        <v>0</v>
      </c>
      <c r="D2439" s="125" t="str">
        <f t="shared" si="251"/>
        <v>LIC380</v>
      </c>
      <c r="E2439" s="125" t="str">
        <f t="shared" si="252"/>
        <v>LIC380</v>
      </c>
      <c r="F2439" s="158" t="str">
        <f>+VLOOKUP(H2439,'code mapping'!A:C,3,0)</f>
        <v>LIC38</v>
      </c>
      <c r="G2439" s="127" t="s">
        <v>453</v>
      </c>
      <c r="H2439" s="127" t="s">
        <v>766</v>
      </c>
      <c r="I2439" s="127" t="s">
        <v>767</v>
      </c>
      <c r="J2439" s="128">
        <v>212000</v>
      </c>
      <c r="K2439" s="127" t="s">
        <v>487</v>
      </c>
      <c r="L2439" s="151">
        <v>212271</v>
      </c>
      <c r="M2439" s="128">
        <v>0</v>
      </c>
      <c r="N2439" s="127" t="s">
        <v>505</v>
      </c>
      <c r="O2439" s="127" t="s">
        <v>457</v>
      </c>
      <c r="P2439" s="128">
        <v>0</v>
      </c>
      <c r="Q2439" s="128">
        <v>639.48</v>
      </c>
      <c r="R2439" s="128">
        <v>0</v>
      </c>
      <c r="S2439" s="128">
        <v>0</v>
      </c>
      <c r="T2439" s="128">
        <v>0</v>
      </c>
      <c r="U2439" s="128">
        <v>639.48</v>
      </c>
      <c r="V2439" s="128">
        <v>0</v>
      </c>
      <c r="W2439" s="128">
        <v>639.48</v>
      </c>
      <c r="X2439" s="128">
        <v>0</v>
      </c>
      <c r="Y2439" s="128">
        <v>0</v>
      </c>
      <c r="Z2439" s="128">
        <v>0</v>
      </c>
      <c r="AA2439" s="128">
        <v>639.48</v>
      </c>
      <c r="AB2439" s="126">
        <f t="shared" si="253"/>
        <v>-6.3948000000000005E-5</v>
      </c>
      <c r="AC2439" s="122" t="s">
        <v>1838</v>
      </c>
      <c r="AD2439" s="123">
        <f t="shared" si="249"/>
        <v>1983.9723217250009</v>
      </c>
    </row>
    <row r="2440" spans="1:30" ht="12.75" hidden="1" customHeight="1">
      <c r="A2440" s="125" t="str">
        <f t="shared" si="250"/>
        <v>LIC38Payable SGST on Mfees</v>
      </c>
      <c r="B2440" s="125">
        <f>+IFERROR(VLOOKUP(L2440,'TB mapping'!A:D,4,0),0)</f>
        <v>0</v>
      </c>
      <c r="C2440" s="125">
        <f>+IFERROR(VLOOKUP(L2440,'TB mapping'!A:C,3,0),0)</f>
        <v>0</v>
      </c>
      <c r="D2440" s="125" t="str">
        <f t="shared" si="251"/>
        <v>LIC380</v>
      </c>
      <c r="E2440" s="125" t="str">
        <f t="shared" si="252"/>
        <v>LIC380</v>
      </c>
      <c r="F2440" s="158" t="str">
        <f>+VLOOKUP(H2440,'code mapping'!A:C,3,0)</f>
        <v>LIC38</v>
      </c>
      <c r="G2440" s="127" t="s">
        <v>453</v>
      </c>
      <c r="H2440" s="127" t="s">
        <v>766</v>
      </c>
      <c r="I2440" s="127" t="s">
        <v>767</v>
      </c>
      <c r="J2440" s="128">
        <v>212000</v>
      </c>
      <c r="K2440" s="127" t="s">
        <v>487</v>
      </c>
      <c r="L2440" s="151">
        <v>212272</v>
      </c>
      <c r="M2440" s="128">
        <v>0</v>
      </c>
      <c r="N2440" s="127" t="s">
        <v>506</v>
      </c>
      <c r="O2440" s="127" t="s">
        <v>457</v>
      </c>
      <c r="P2440" s="128">
        <v>0</v>
      </c>
      <c r="Q2440" s="128">
        <v>639.48</v>
      </c>
      <c r="R2440" s="128">
        <v>0</v>
      </c>
      <c r="S2440" s="128">
        <v>0</v>
      </c>
      <c r="T2440" s="128">
        <v>0</v>
      </c>
      <c r="U2440" s="128">
        <v>639.48</v>
      </c>
      <c r="V2440" s="128">
        <v>0</v>
      </c>
      <c r="W2440" s="128">
        <v>639.48</v>
      </c>
      <c r="X2440" s="128">
        <v>0</v>
      </c>
      <c r="Y2440" s="128">
        <v>0</v>
      </c>
      <c r="Z2440" s="128">
        <v>0</v>
      </c>
      <c r="AA2440" s="128">
        <v>639.48</v>
      </c>
      <c r="AB2440" s="126">
        <f t="shared" si="253"/>
        <v>-6.3948000000000005E-5</v>
      </c>
      <c r="AC2440" s="122" t="s">
        <v>1838</v>
      </c>
      <c r="AD2440" s="123">
        <f t="shared" si="249"/>
        <v>1983.9723217250009</v>
      </c>
    </row>
    <row r="2441" spans="1:30" ht="12.75" hidden="1" customHeight="1">
      <c r="A2441" s="125" t="str">
        <f t="shared" si="250"/>
        <v>LIC38Payable -Inv Educ Fund-AMFI</v>
      </c>
      <c r="B2441" s="125">
        <f>+IFERROR(VLOOKUP(L2441,'TB mapping'!A:D,4,0),0)</f>
        <v>0</v>
      </c>
      <c r="C2441" s="125">
        <f>+IFERROR(VLOOKUP(L2441,'TB mapping'!A:C,3,0),0)</f>
        <v>0</v>
      </c>
      <c r="D2441" s="125" t="str">
        <f t="shared" si="251"/>
        <v>LIC380</v>
      </c>
      <c r="E2441" s="125" t="str">
        <f t="shared" si="252"/>
        <v>LIC380</v>
      </c>
      <c r="F2441" s="158" t="str">
        <f>+VLOOKUP(H2441,'code mapping'!A:C,3,0)</f>
        <v>LIC38</v>
      </c>
      <c r="G2441" s="127" t="s">
        <v>453</v>
      </c>
      <c r="H2441" s="127" t="s">
        <v>766</v>
      </c>
      <c r="I2441" s="127" t="s">
        <v>767</v>
      </c>
      <c r="J2441" s="128">
        <v>212000</v>
      </c>
      <c r="K2441" s="127" t="s">
        <v>487</v>
      </c>
      <c r="L2441" s="151">
        <v>213166</v>
      </c>
      <c r="M2441" s="128">
        <v>0</v>
      </c>
      <c r="N2441" s="127" t="s">
        <v>507</v>
      </c>
      <c r="O2441" s="127" t="s">
        <v>457</v>
      </c>
      <c r="P2441" s="128">
        <v>0</v>
      </c>
      <c r="Q2441" s="128">
        <v>1715.8</v>
      </c>
      <c r="R2441" s="128">
        <v>0</v>
      </c>
      <c r="S2441" s="128">
        <v>0</v>
      </c>
      <c r="T2441" s="128">
        <v>0</v>
      </c>
      <c r="U2441" s="128">
        <v>1715.8</v>
      </c>
      <c r="V2441" s="128">
        <v>0</v>
      </c>
      <c r="W2441" s="128">
        <v>1715.8</v>
      </c>
      <c r="X2441" s="128">
        <v>0</v>
      </c>
      <c r="Y2441" s="128">
        <v>0</v>
      </c>
      <c r="Z2441" s="128">
        <v>0</v>
      </c>
      <c r="AA2441" s="128">
        <v>1715.8</v>
      </c>
      <c r="AB2441" s="126">
        <f t="shared" si="253"/>
        <v>-1.7158000000000001E-4</v>
      </c>
      <c r="AC2441" s="122" t="s">
        <v>1838</v>
      </c>
      <c r="AD2441" s="123">
        <f t="shared" si="249"/>
        <v>1983.9723217250009</v>
      </c>
    </row>
    <row r="2442" spans="1:30" ht="12.75" hidden="1" customHeight="1">
      <c r="A2442" s="125" t="str">
        <f t="shared" si="250"/>
        <v>LIC38Management Fee Payable</v>
      </c>
      <c r="B2442" s="125">
        <f>+IFERROR(VLOOKUP(L2442,'TB mapping'!A:D,4,0),0)</f>
        <v>0</v>
      </c>
      <c r="C2442" s="125">
        <f>+IFERROR(VLOOKUP(L2442,'TB mapping'!A:C,3,0),0)</f>
        <v>0</v>
      </c>
      <c r="D2442" s="125" t="str">
        <f t="shared" si="251"/>
        <v>LIC380</v>
      </c>
      <c r="E2442" s="125" t="str">
        <f t="shared" si="252"/>
        <v>LIC380</v>
      </c>
      <c r="F2442" s="158" t="str">
        <f>+VLOOKUP(H2442,'code mapping'!A:C,3,0)</f>
        <v>LIC38</v>
      </c>
      <c r="G2442" s="127" t="s">
        <v>453</v>
      </c>
      <c r="H2442" s="127" t="s">
        <v>766</v>
      </c>
      <c r="I2442" s="127" t="s">
        <v>767</v>
      </c>
      <c r="J2442" s="128">
        <v>213000</v>
      </c>
      <c r="K2442" s="127" t="s">
        <v>508</v>
      </c>
      <c r="L2442" s="151">
        <v>213500</v>
      </c>
      <c r="M2442" s="128">
        <v>0</v>
      </c>
      <c r="N2442" s="127" t="s">
        <v>509</v>
      </c>
      <c r="O2442" s="127" t="s">
        <v>457</v>
      </c>
      <c r="P2442" s="128">
        <v>0</v>
      </c>
      <c r="Q2442" s="128">
        <v>7106.32</v>
      </c>
      <c r="R2442" s="128">
        <v>0</v>
      </c>
      <c r="S2442" s="128">
        <v>0</v>
      </c>
      <c r="T2442" s="128">
        <v>0</v>
      </c>
      <c r="U2442" s="128">
        <v>7106.32</v>
      </c>
      <c r="V2442" s="128">
        <v>0</v>
      </c>
      <c r="W2442" s="128">
        <v>7106.32</v>
      </c>
      <c r="X2442" s="128">
        <v>0</v>
      </c>
      <c r="Y2442" s="128">
        <v>0</v>
      </c>
      <c r="Z2442" s="128">
        <v>0</v>
      </c>
      <c r="AA2442" s="128">
        <v>7106.32</v>
      </c>
      <c r="AB2442" s="126">
        <f t="shared" si="253"/>
        <v>-7.10632E-4</v>
      </c>
      <c r="AC2442" s="122" t="s">
        <v>1838</v>
      </c>
      <c r="AD2442" s="123">
        <f t="shared" si="249"/>
        <v>1983.9723217250009</v>
      </c>
    </row>
    <row r="2443" spans="1:30" ht="12.75" hidden="1" customHeight="1">
      <c r="A2443" s="125" t="str">
        <f t="shared" si="250"/>
        <v>LIC38Other Adjustment A/c.</v>
      </c>
      <c r="B2443" s="125">
        <f>+IFERROR(VLOOKUP(L2443,'TB mapping'!A:D,4,0),0)</f>
        <v>0</v>
      </c>
      <c r="C2443" s="125">
        <f>+IFERROR(VLOOKUP(L2443,'TB mapping'!A:C,3,0),0)</f>
        <v>0</v>
      </c>
      <c r="D2443" s="125" t="str">
        <f t="shared" si="251"/>
        <v>LIC380</v>
      </c>
      <c r="E2443" s="125" t="str">
        <f t="shared" si="252"/>
        <v>LIC380</v>
      </c>
      <c r="F2443" s="158" t="str">
        <f>+VLOOKUP(H2443,'code mapping'!A:C,3,0)</f>
        <v>LIC38</v>
      </c>
      <c r="G2443" s="127" t="s">
        <v>453</v>
      </c>
      <c r="H2443" s="127" t="s">
        <v>766</v>
      </c>
      <c r="I2443" s="127" t="s">
        <v>767</v>
      </c>
      <c r="J2443" s="128">
        <v>220000</v>
      </c>
      <c r="K2443" s="127" t="s">
        <v>510</v>
      </c>
      <c r="L2443" s="151">
        <v>190000</v>
      </c>
      <c r="M2443" s="128">
        <v>0</v>
      </c>
      <c r="N2443" s="127" t="s">
        <v>511</v>
      </c>
      <c r="O2443" s="127" t="s">
        <v>457</v>
      </c>
      <c r="P2443" s="128">
        <v>0</v>
      </c>
      <c r="Q2443" s="128">
        <v>0.09</v>
      </c>
      <c r="R2443" s="128">
        <v>0</v>
      </c>
      <c r="S2443" s="128">
        <v>0</v>
      </c>
      <c r="T2443" s="128">
        <v>0</v>
      </c>
      <c r="U2443" s="128">
        <v>0.09</v>
      </c>
      <c r="V2443" s="128">
        <v>0</v>
      </c>
      <c r="W2443" s="128">
        <v>0.09</v>
      </c>
      <c r="X2443" s="128">
        <v>0</v>
      </c>
      <c r="Y2443" s="128">
        <v>0</v>
      </c>
      <c r="Z2443" s="128">
        <v>0</v>
      </c>
      <c r="AA2443" s="128">
        <v>0.09</v>
      </c>
      <c r="AB2443" s="126">
        <f t="shared" si="253"/>
        <v>-8.9999999999999995E-9</v>
      </c>
      <c r="AC2443" s="122" t="s">
        <v>1838</v>
      </c>
      <c r="AD2443" s="123">
        <f t="shared" si="249"/>
        <v>1983.9723217250009</v>
      </c>
    </row>
    <row r="2444" spans="1:30" ht="12.75" hidden="1" customHeight="1">
      <c r="A2444" s="125" t="str">
        <f t="shared" si="250"/>
        <v>LIC38Prov For Withholding Brokerage</v>
      </c>
      <c r="B2444" s="125">
        <f>+IFERROR(VLOOKUP(L2444,'TB mapping'!A:D,4,0),0)</f>
        <v>0</v>
      </c>
      <c r="C2444" s="125">
        <f>+IFERROR(VLOOKUP(L2444,'TB mapping'!A:C,3,0),0)</f>
        <v>0</v>
      </c>
      <c r="D2444" s="125" t="str">
        <f t="shared" si="251"/>
        <v>LIC380</v>
      </c>
      <c r="E2444" s="125" t="str">
        <f t="shared" si="252"/>
        <v>LIC380</v>
      </c>
      <c r="F2444" s="158" t="str">
        <f>+VLOOKUP(H2444,'code mapping'!A:C,3,0)</f>
        <v>LIC38</v>
      </c>
      <c r="G2444" s="127" t="s">
        <v>453</v>
      </c>
      <c r="H2444" s="127" t="s">
        <v>766</v>
      </c>
      <c r="I2444" s="127" t="s">
        <v>767</v>
      </c>
      <c r="J2444" s="128">
        <v>220000</v>
      </c>
      <c r="K2444" s="127" t="s">
        <v>510</v>
      </c>
      <c r="L2444" s="151">
        <v>210162</v>
      </c>
      <c r="M2444" s="128">
        <v>0</v>
      </c>
      <c r="N2444" s="127" t="s">
        <v>512</v>
      </c>
      <c r="O2444" s="127" t="s">
        <v>457</v>
      </c>
      <c r="P2444" s="128">
        <v>0</v>
      </c>
      <c r="Q2444" s="128">
        <v>67432.009999999995</v>
      </c>
      <c r="R2444" s="128">
        <v>0</v>
      </c>
      <c r="S2444" s="128">
        <v>0</v>
      </c>
      <c r="T2444" s="128">
        <v>0</v>
      </c>
      <c r="U2444" s="128">
        <v>67432.009999999995</v>
      </c>
      <c r="V2444" s="128">
        <v>0</v>
      </c>
      <c r="W2444" s="128">
        <v>67432.009999999995</v>
      </c>
      <c r="X2444" s="128">
        <v>0</v>
      </c>
      <c r="Y2444" s="128">
        <v>0</v>
      </c>
      <c r="Z2444" s="128">
        <v>0</v>
      </c>
      <c r="AA2444" s="128">
        <v>67432.009999999995</v>
      </c>
      <c r="AB2444" s="126">
        <f t="shared" si="253"/>
        <v>-6.7432009999999999E-3</v>
      </c>
      <c r="AC2444" s="122" t="s">
        <v>1838</v>
      </c>
      <c r="AD2444" s="123">
        <f t="shared" si="249"/>
        <v>1983.9723217250009</v>
      </c>
    </row>
    <row r="2445" spans="1:30" ht="12.75" hidden="1" customHeight="1">
      <c r="A2445" s="125" t="str">
        <f t="shared" si="250"/>
        <v>LIC38Prov  Withholding Brok 2016-17</v>
      </c>
      <c r="B2445" s="125">
        <f>+IFERROR(VLOOKUP(L2445,'TB mapping'!A:D,4,0),0)</f>
        <v>0</v>
      </c>
      <c r="C2445" s="125">
        <f>+IFERROR(VLOOKUP(L2445,'TB mapping'!A:C,3,0),0)</f>
        <v>0</v>
      </c>
      <c r="D2445" s="125" t="str">
        <f t="shared" si="251"/>
        <v>LIC380</v>
      </c>
      <c r="E2445" s="125" t="str">
        <f t="shared" si="252"/>
        <v>LIC380</v>
      </c>
      <c r="F2445" s="158" t="str">
        <f>+VLOOKUP(H2445,'code mapping'!A:C,3,0)</f>
        <v>LIC38</v>
      </c>
      <c r="G2445" s="127" t="s">
        <v>453</v>
      </c>
      <c r="H2445" s="127" t="s">
        <v>766</v>
      </c>
      <c r="I2445" s="127" t="s">
        <v>767</v>
      </c>
      <c r="J2445" s="128">
        <v>220000</v>
      </c>
      <c r="K2445" s="127" t="s">
        <v>510</v>
      </c>
      <c r="L2445" s="151">
        <v>210163</v>
      </c>
      <c r="M2445" s="128">
        <v>0</v>
      </c>
      <c r="N2445" s="127" t="s">
        <v>513</v>
      </c>
      <c r="O2445" s="127" t="s">
        <v>457</v>
      </c>
      <c r="P2445" s="128">
        <v>0</v>
      </c>
      <c r="Q2445" s="128">
        <v>72288.36</v>
      </c>
      <c r="R2445" s="128">
        <v>0</v>
      </c>
      <c r="S2445" s="128">
        <v>0</v>
      </c>
      <c r="T2445" s="128">
        <v>0</v>
      </c>
      <c r="U2445" s="128">
        <v>72288.36</v>
      </c>
      <c r="V2445" s="128">
        <v>0</v>
      </c>
      <c r="W2445" s="128">
        <v>72288.36</v>
      </c>
      <c r="X2445" s="128">
        <v>0</v>
      </c>
      <c r="Y2445" s="128">
        <v>0</v>
      </c>
      <c r="Z2445" s="128">
        <v>0</v>
      </c>
      <c r="AA2445" s="128">
        <v>72288.36</v>
      </c>
      <c r="AB2445" s="126">
        <f t="shared" si="253"/>
        <v>-7.2288359999999998E-3</v>
      </c>
      <c r="AC2445" s="122" t="s">
        <v>1838</v>
      </c>
      <c r="AD2445" s="123">
        <f t="shared" si="249"/>
        <v>1983.9723217250009</v>
      </c>
    </row>
    <row r="2446" spans="1:30" ht="12.75" hidden="1" customHeight="1">
      <c r="A2446" s="125" t="str">
        <f t="shared" si="250"/>
        <v>LIC38Unit Capital</v>
      </c>
      <c r="B2446" s="125">
        <f>+IFERROR(VLOOKUP(L2446,'TB mapping'!A:D,4,0),0)</f>
        <v>0</v>
      </c>
      <c r="C2446" s="125">
        <f>+IFERROR(VLOOKUP(L2446,'TB mapping'!A:C,3,0),0)</f>
        <v>0</v>
      </c>
      <c r="D2446" s="125" t="str">
        <f t="shared" si="251"/>
        <v>LIC380</v>
      </c>
      <c r="E2446" s="125" t="str">
        <f t="shared" si="252"/>
        <v>LIC380</v>
      </c>
      <c r="F2446" s="158" t="str">
        <f>+VLOOKUP(H2446,'code mapping'!A:C,3,0)</f>
        <v>LIC38</v>
      </c>
      <c r="G2446" s="127" t="s">
        <v>453</v>
      </c>
      <c r="H2446" s="127" t="s">
        <v>766</v>
      </c>
      <c r="I2446" s="127" t="s">
        <v>767</v>
      </c>
      <c r="J2446" s="128">
        <v>301000</v>
      </c>
      <c r="K2446" s="127" t="s">
        <v>514</v>
      </c>
      <c r="L2446" s="151">
        <v>310000</v>
      </c>
      <c r="M2446" s="128">
        <v>0</v>
      </c>
      <c r="N2446" s="127" t="s">
        <v>515</v>
      </c>
      <c r="O2446" s="127" t="s">
        <v>457</v>
      </c>
      <c r="P2446" s="128">
        <v>0</v>
      </c>
      <c r="Q2446" s="128">
        <v>43240400.979999997</v>
      </c>
      <c r="R2446" s="128">
        <v>0</v>
      </c>
      <c r="S2446" s="128">
        <v>0</v>
      </c>
      <c r="T2446" s="128">
        <v>0</v>
      </c>
      <c r="U2446" s="128">
        <v>43240400.979999997</v>
      </c>
      <c r="V2446" s="128">
        <v>0</v>
      </c>
      <c r="W2446" s="128">
        <v>43240400.979999997</v>
      </c>
      <c r="X2446" s="128">
        <v>0</v>
      </c>
      <c r="Y2446" s="128">
        <v>0</v>
      </c>
      <c r="Z2446" s="128">
        <v>0</v>
      </c>
      <c r="AA2446" s="128">
        <v>43240400.979999997</v>
      </c>
      <c r="AB2446" s="126">
        <f t="shared" si="253"/>
        <v>-4.3240400979999993</v>
      </c>
      <c r="AC2446" s="122" t="s">
        <v>1838</v>
      </c>
      <c r="AD2446" s="123">
        <f t="shared" si="249"/>
        <v>1983.9723217250009</v>
      </c>
    </row>
    <row r="2447" spans="1:30" ht="12.75" hidden="1" customHeight="1">
      <c r="A2447" s="125" t="str">
        <f t="shared" si="250"/>
        <v>LIC38Unit Premium Reserve- RG</v>
      </c>
      <c r="B2447" s="125">
        <f>+IFERROR(VLOOKUP(L2447,'TB mapping'!A:D,4,0),0)</f>
        <v>0</v>
      </c>
      <c r="C2447" s="125">
        <f>+IFERROR(VLOOKUP(L2447,'TB mapping'!A:C,3,0),0)</f>
        <v>0</v>
      </c>
      <c r="D2447" s="125" t="str">
        <f t="shared" si="251"/>
        <v>LIC380</v>
      </c>
      <c r="E2447" s="125" t="str">
        <f t="shared" si="252"/>
        <v>LIC380</v>
      </c>
      <c r="F2447" s="158" t="str">
        <f>+VLOOKUP(H2447,'code mapping'!A:C,3,0)</f>
        <v>LIC38</v>
      </c>
      <c r="G2447" s="127" t="s">
        <v>453</v>
      </c>
      <c r="H2447" s="127" t="s">
        <v>766</v>
      </c>
      <c r="I2447" s="127" t="s">
        <v>767</v>
      </c>
      <c r="J2447" s="128">
        <v>303000</v>
      </c>
      <c r="K2447" s="127" t="s">
        <v>516</v>
      </c>
      <c r="L2447" s="151">
        <v>303201</v>
      </c>
      <c r="M2447" s="128">
        <v>0</v>
      </c>
      <c r="N2447" s="127" t="s">
        <v>517</v>
      </c>
      <c r="O2447" s="127" t="s">
        <v>457</v>
      </c>
      <c r="P2447" s="128">
        <v>-85485696.010000005</v>
      </c>
      <c r="Q2447" s="128">
        <v>0</v>
      </c>
      <c r="R2447" s="128">
        <v>0</v>
      </c>
      <c r="S2447" s="128">
        <v>0</v>
      </c>
      <c r="T2447" s="128">
        <v>-85485696.010000005</v>
      </c>
      <c r="U2447" s="128">
        <v>0</v>
      </c>
      <c r="V2447" s="128">
        <v>-85485696.010000005</v>
      </c>
      <c r="W2447" s="128">
        <v>0</v>
      </c>
      <c r="X2447" s="128">
        <v>0</v>
      </c>
      <c r="Y2447" s="128">
        <v>0</v>
      </c>
      <c r="Z2447" s="128">
        <v>-85485696.010000005</v>
      </c>
      <c r="AA2447" s="128">
        <v>0</v>
      </c>
      <c r="AB2447" s="126">
        <f t="shared" si="253"/>
        <v>8.5485696010000005</v>
      </c>
      <c r="AC2447" s="122" t="s">
        <v>1838</v>
      </c>
      <c r="AD2447" s="123">
        <f t="shared" si="249"/>
        <v>1983.9723217250009</v>
      </c>
    </row>
    <row r="2448" spans="1:30" ht="12.75" hidden="1" customHeight="1">
      <c r="A2448" s="125" t="str">
        <f t="shared" si="250"/>
        <v>LIC38Unit Premium Reserve- RD</v>
      </c>
      <c r="B2448" s="125">
        <f>+IFERROR(VLOOKUP(L2448,'TB mapping'!A:D,4,0),0)</f>
        <v>0</v>
      </c>
      <c r="C2448" s="125">
        <f>+IFERROR(VLOOKUP(L2448,'TB mapping'!A:C,3,0),0)</f>
        <v>0</v>
      </c>
      <c r="D2448" s="125" t="str">
        <f t="shared" si="251"/>
        <v>LIC380</v>
      </c>
      <c r="E2448" s="125" t="str">
        <f t="shared" si="252"/>
        <v>LIC380</v>
      </c>
      <c r="F2448" s="158" t="str">
        <f>+VLOOKUP(H2448,'code mapping'!A:C,3,0)</f>
        <v>LIC38</v>
      </c>
      <c r="G2448" s="127" t="s">
        <v>453</v>
      </c>
      <c r="H2448" s="127" t="s">
        <v>766</v>
      </c>
      <c r="I2448" s="127" t="s">
        <v>767</v>
      </c>
      <c r="J2448" s="128">
        <v>303000</v>
      </c>
      <c r="K2448" s="127" t="s">
        <v>516</v>
      </c>
      <c r="L2448" s="151">
        <v>303202</v>
      </c>
      <c r="M2448" s="128">
        <v>0</v>
      </c>
      <c r="N2448" s="127" t="s">
        <v>518</v>
      </c>
      <c r="O2448" s="127" t="s">
        <v>457</v>
      </c>
      <c r="P2448" s="128">
        <v>-99368911.689999998</v>
      </c>
      <c r="Q2448" s="128">
        <v>0</v>
      </c>
      <c r="R2448" s="128">
        <v>0</v>
      </c>
      <c r="S2448" s="128">
        <v>0</v>
      </c>
      <c r="T2448" s="128">
        <v>-99368911.689999998</v>
      </c>
      <c r="U2448" s="128">
        <v>0</v>
      </c>
      <c r="V2448" s="128">
        <v>-99368911.689999998</v>
      </c>
      <c r="W2448" s="128">
        <v>0</v>
      </c>
      <c r="X2448" s="128">
        <v>0</v>
      </c>
      <c r="Y2448" s="128">
        <v>0</v>
      </c>
      <c r="Z2448" s="128">
        <v>-99368911.689999998</v>
      </c>
      <c r="AA2448" s="128">
        <v>0</v>
      </c>
      <c r="AB2448" s="126">
        <f t="shared" si="253"/>
        <v>9.936891168999999</v>
      </c>
      <c r="AC2448" s="122" t="s">
        <v>1838</v>
      </c>
      <c r="AD2448" s="123">
        <f t="shared" si="249"/>
        <v>1983.9723217250009</v>
      </c>
    </row>
    <row r="2449" spans="1:30" ht="12.75" hidden="1" customHeight="1">
      <c r="A2449" s="125" t="str">
        <f t="shared" si="250"/>
        <v>LIC38Unit Premium Reserve-GDP</v>
      </c>
      <c r="B2449" s="125">
        <f>+IFERROR(VLOOKUP(L2449,'TB mapping'!A:D,4,0),0)</f>
        <v>0</v>
      </c>
      <c r="C2449" s="125">
        <f>+IFERROR(VLOOKUP(L2449,'TB mapping'!A:C,3,0),0)</f>
        <v>0</v>
      </c>
      <c r="D2449" s="125" t="str">
        <f t="shared" si="251"/>
        <v>LIC380</v>
      </c>
      <c r="E2449" s="125" t="str">
        <f t="shared" si="252"/>
        <v>LIC380</v>
      </c>
      <c r="F2449" s="158" t="str">
        <f>+VLOOKUP(H2449,'code mapping'!A:C,3,0)</f>
        <v>LIC38</v>
      </c>
      <c r="G2449" s="127" t="s">
        <v>453</v>
      </c>
      <c r="H2449" s="127" t="s">
        <v>766</v>
      </c>
      <c r="I2449" s="127" t="s">
        <v>767</v>
      </c>
      <c r="J2449" s="128">
        <v>303000</v>
      </c>
      <c r="K2449" s="127" t="s">
        <v>516</v>
      </c>
      <c r="L2449" s="151">
        <v>303245</v>
      </c>
      <c r="M2449" s="128">
        <v>0</v>
      </c>
      <c r="N2449" s="127" t="s">
        <v>519</v>
      </c>
      <c r="O2449" s="127" t="s">
        <v>457</v>
      </c>
      <c r="P2449" s="128">
        <v>0</v>
      </c>
      <c r="Q2449" s="128">
        <v>14201976.67</v>
      </c>
      <c r="R2449" s="128">
        <v>0</v>
      </c>
      <c r="S2449" s="128">
        <v>0</v>
      </c>
      <c r="T2449" s="128">
        <v>0</v>
      </c>
      <c r="U2449" s="128">
        <v>14201976.67</v>
      </c>
      <c r="V2449" s="128">
        <v>0</v>
      </c>
      <c r="W2449" s="128">
        <v>14201976.67</v>
      </c>
      <c r="X2449" s="128">
        <v>0</v>
      </c>
      <c r="Y2449" s="128">
        <v>0</v>
      </c>
      <c r="Z2449" s="128">
        <v>0</v>
      </c>
      <c r="AA2449" s="128">
        <v>14201976.67</v>
      </c>
      <c r="AB2449" s="126">
        <f t="shared" si="253"/>
        <v>-1.4201976670000001</v>
      </c>
      <c r="AC2449" s="122" t="s">
        <v>1838</v>
      </c>
      <c r="AD2449" s="123">
        <f t="shared" si="249"/>
        <v>1983.9723217250009</v>
      </c>
    </row>
    <row r="2450" spans="1:30" ht="12.75" hidden="1" customHeight="1">
      <c r="A2450" s="125" t="str">
        <f t="shared" si="250"/>
        <v>LIC38Unit Premium Reserve-DDP</v>
      </c>
      <c r="B2450" s="125">
        <f>+IFERROR(VLOOKUP(L2450,'TB mapping'!A:D,4,0),0)</f>
        <v>0</v>
      </c>
      <c r="C2450" s="125">
        <f>+IFERROR(VLOOKUP(L2450,'TB mapping'!A:C,3,0),0)</f>
        <v>0</v>
      </c>
      <c r="D2450" s="125" t="str">
        <f t="shared" si="251"/>
        <v>LIC380</v>
      </c>
      <c r="E2450" s="125" t="str">
        <f t="shared" si="252"/>
        <v>LIC380</v>
      </c>
      <c r="F2450" s="158" t="str">
        <f>+VLOOKUP(H2450,'code mapping'!A:C,3,0)</f>
        <v>LIC38</v>
      </c>
      <c r="G2450" s="127" t="s">
        <v>453</v>
      </c>
      <c r="H2450" s="127" t="s">
        <v>766</v>
      </c>
      <c r="I2450" s="127" t="s">
        <v>767</v>
      </c>
      <c r="J2450" s="128">
        <v>303000</v>
      </c>
      <c r="K2450" s="127" t="s">
        <v>516</v>
      </c>
      <c r="L2450" s="151">
        <v>303246</v>
      </c>
      <c r="M2450" s="128">
        <v>0</v>
      </c>
      <c r="N2450" s="127" t="s">
        <v>520</v>
      </c>
      <c r="O2450" s="127" t="s">
        <v>457</v>
      </c>
      <c r="P2450" s="128">
        <v>-149031.26999999999</v>
      </c>
      <c r="Q2450" s="128">
        <v>0</v>
      </c>
      <c r="R2450" s="128">
        <v>0</v>
      </c>
      <c r="S2450" s="128">
        <v>0</v>
      </c>
      <c r="T2450" s="128">
        <v>-149031.26999999999</v>
      </c>
      <c r="U2450" s="128">
        <v>0</v>
      </c>
      <c r="V2450" s="128">
        <v>-149031.26999999999</v>
      </c>
      <c r="W2450" s="128">
        <v>0</v>
      </c>
      <c r="X2450" s="128">
        <v>0</v>
      </c>
      <c r="Y2450" s="128">
        <v>0</v>
      </c>
      <c r="Z2450" s="128">
        <v>-149031.26999999999</v>
      </c>
      <c r="AA2450" s="128">
        <v>0</v>
      </c>
      <c r="AB2450" s="126">
        <f t="shared" si="253"/>
        <v>1.4903126999999999E-2</v>
      </c>
      <c r="AC2450" s="122" t="s">
        <v>1838</v>
      </c>
      <c r="AD2450" s="123">
        <f t="shared" si="249"/>
        <v>1983.9723217250009</v>
      </c>
    </row>
    <row r="2451" spans="1:30" ht="12.75" hidden="1" customHeight="1">
      <c r="A2451" s="125" t="str">
        <f t="shared" si="250"/>
        <v>LIC38Net Earnings</v>
      </c>
      <c r="B2451" s="125">
        <f>+IFERROR(VLOOKUP(L2451,'TB mapping'!A:D,4,0),0)</f>
        <v>0</v>
      </c>
      <c r="C2451" s="125">
        <f>+IFERROR(VLOOKUP(L2451,'TB mapping'!A:C,3,0),0)</f>
        <v>0</v>
      </c>
      <c r="D2451" s="125" t="str">
        <f t="shared" si="251"/>
        <v>LIC380</v>
      </c>
      <c r="E2451" s="125" t="str">
        <f t="shared" si="252"/>
        <v>LIC380</v>
      </c>
      <c r="F2451" s="158" t="str">
        <f>+VLOOKUP(H2451,'code mapping'!A:C,3,0)</f>
        <v>LIC38</v>
      </c>
      <c r="G2451" s="127" t="s">
        <v>453</v>
      </c>
      <c r="H2451" s="127" t="s">
        <v>766</v>
      </c>
      <c r="I2451" s="127" t="s">
        <v>767</v>
      </c>
      <c r="J2451" s="128">
        <v>303000</v>
      </c>
      <c r="K2451" s="127" t="s">
        <v>516</v>
      </c>
      <c r="L2451" s="151">
        <v>390000</v>
      </c>
      <c r="M2451" s="128">
        <v>0</v>
      </c>
      <c r="N2451" s="127" t="s">
        <v>521</v>
      </c>
      <c r="O2451" s="127" t="s">
        <v>457</v>
      </c>
      <c r="P2451" s="128">
        <v>0</v>
      </c>
      <c r="Q2451" s="128">
        <v>267489249.41999999</v>
      </c>
      <c r="R2451" s="128">
        <v>0</v>
      </c>
      <c r="S2451" s="128">
        <v>0</v>
      </c>
      <c r="T2451" s="128">
        <v>0</v>
      </c>
      <c r="U2451" s="128">
        <v>267489249.41999999</v>
      </c>
      <c r="V2451" s="128">
        <v>0</v>
      </c>
      <c r="W2451" s="128">
        <v>267489249.41999999</v>
      </c>
      <c r="X2451" s="128">
        <v>0</v>
      </c>
      <c r="Y2451" s="128">
        <v>0</v>
      </c>
      <c r="Z2451" s="128">
        <v>0</v>
      </c>
      <c r="AA2451" s="128">
        <v>267489249.41999999</v>
      </c>
      <c r="AB2451" s="126">
        <f t="shared" si="253"/>
        <v>-26.748924941999999</v>
      </c>
      <c r="AC2451" s="122" t="s">
        <v>1838</v>
      </c>
      <c r="AD2451" s="123">
        <f t="shared" si="249"/>
        <v>1983.9723217250009</v>
      </c>
    </row>
    <row r="2452" spans="1:30" ht="12.75" hidden="1" customHeight="1">
      <c r="A2452" s="125" t="str">
        <f t="shared" si="250"/>
        <v>LIC38R/L G/P - Equities</v>
      </c>
      <c r="B2452" s="125">
        <f>+IFERROR(VLOOKUP(L2452,'TB mapping'!A:D,4,0),0)</f>
        <v>0</v>
      </c>
      <c r="C2452" s="125">
        <f>+IFERROR(VLOOKUP(L2452,'TB mapping'!A:C,3,0),0)</f>
        <v>5.3</v>
      </c>
      <c r="D2452" s="125" t="str">
        <f t="shared" si="251"/>
        <v>LIC380</v>
      </c>
      <c r="E2452" s="125" t="str">
        <f t="shared" si="252"/>
        <v>LIC385.3</v>
      </c>
      <c r="F2452" s="158" t="str">
        <f>+VLOOKUP(H2452,'code mapping'!A:C,3,0)</f>
        <v>LIC38</v>
      </c>
      <c r="G2452" s="127" t="s">
        <v>453</v>
      </c>
      <c r="H2452" s="127" t="s">
        <v>766</v>
      </c>
      <c r="I2452" s="127" t="s">
        <v>767</v>
      </c>
      <c r="J2452" s="128">
        <v>410000</v>
      </c>
      <c r="K2452" s="127" t="s">
        <v>522</v>
      </c>
      <c r="L2452" s="151">
        <v>411100</v>
      </c>
      <c r="M2452" s="128">
        <v>0</v>
      </c>
      <c r="N2452" s="127" t="s">
        <v>596</v>
      </c>
      <c r="O2452" s="127" t="s">
        <v>457</v>
      </c>
      <c r="P2452" s="128">
        <v>0</v>
      </c>
      <c r="Q2452" s="128">
        <v>32639317.25</v>
      </c>
      <c r="R2452" s="128">
        <v>0</v>
      </c>
      <c r="S2452" s="128">
        <v>0</v>
      </c>
      <c r="T2452" s="128">
        <v>0</v>
      </c>
      <c r="U2452" s="128">
        <v>32639317.25</v>
      </c>
      <c r="V2452" s="128">
        <v>0</v>
      </c>
      <c r="W2452" s="128">
        <v>32639317.25</v>
      </c>
      <c r="X2452" s="128">
        <v>0</v>
      </c>
      <c r="Y2452" s="128">
        <v>0</v>
      </c>
      <c r="Z2452" s="128">
        <v>0</v>
      </c>
      <c r="AA2452" s="128">
        <v>32639317.25</v>
      </c>
      <c r="AB2452" s="126">
        <f t="shared" si="253"/>
        <v>-3.263931725</v>
      </c>
      <c r="AC2452" s="122" t="s">
        <v>1838</v>
      </c>
      <c r="AD2452" s="123">
        <f>SUMIF(E:E,E2452,AB:AB)</f>
        <v>-3.06506729</v>
      </c>
    </row>
    <row r="2453" spans="1:30" ht="12.75" hidden="1" customHeight="1">
      <c r="A2453" s="125" t="str">
        <f t="shared" si="250"/>
        <v>LIC38R/L G/P - Rights</v>
      </c>
      <c r="B2453" s="125">
        <f>+IFERROR(VLOOKUP(L2453,'TB mapping'!A:D,4,0),0)</f>
        <v>0</v>
      </c>
      <c r="C2453" s="125">
        <f>+IFERROR(VLOOKUP(L2453,'TB mapping'!A:C,3,0),0)</f>
        <v>5.3</v>
      </c>
      <c r="D2453" s="125" t="str">
        <f t="shared" si="251"/>
        <v>LIC380</v>
      </c>
      <c r="E2453" s="125" t="str">
        <f t="shared" si="252"/>
        <v>LIC385.3</v>
      </c>
      <c r="F2453" s="158" t="str">
        <f>+VLOOKUP(H2453,'code mapping'!A:C,3,0)</f>
        <v>LIC38</v>
      </c>
      <c r="G2453" s="127" t="s">
        <v>453</v>
      </c>
      <c r="H2453" s="127" t="s">
        <v>766</v>
      </c>
      <c r="I2453" s="127" t="s">
        <v>767</v>
      </c>
      <c r="J2453" s="128">
        <v>410000</v>
      </c>
      <c r="K2453" s="127" t="s">
        <v>522</v>
      </c>
      <c r="L2453" s="151">
        <v>411120</v>
      </c>
      <c r="M2453" s="128">
        <v>0</v>
      </c>
      <c r="N2453" s="127" t="s">
        <v>705</v>
      </c>
      <c r="O2453" s="127" t="s">
        <v>457</v>
      </c>
      <c r="P2453" s="128">
        <v>0</v>
      </c>
      <c r="Q2453" s="128">
        <v>4204.32</v>
      </c>
      <c r="R2453" s="128">
        <v>0</v>
      </c>
      <c r="S2453" s="128">
        <v>0</v>
      </c>
      <c r="T2453" s="128">
        <v>0</v>
      </c>
      <c r="U2453" s="128">
        <v>4204.32</v>
      </c>
      <c r="V2453" s="128">
        <v>0</v>
      </c>
      <c r="W2453" s="128">
        <v>4204.32</v>
      </c>
      <c r="X2453" s="128">
        <v>0</v>
      </c>
      <c r="Y2453" s="128">
        <v>0</v>
      </c>
      <c r="Z2453" s="128">
        <v>0</v>
      </c>
      <c r="AA2453" s="128">
        <v>4204.32</v>
      </c>
      <c r="AB2453" s="126">
        <f t="shared" si="253"/>
        <v>-4.2043199999999999E-4</v>
      </c>
      <c r="AC2453" s="122" t="s">
        <v>1838</v>
      </c>
      <c r="AD2453" s="123">
        <f>SUMIF(E:E,E2453,AB:AB)</f>
        <v>-3.06506729</v>
      </c>
    </row>
    <row r="2454" spans="1:30" ht="12.75" hidden="1" customHeight="1">
      <c r="A2454" s="125" t="str">
        <f t="shared" si="250"/>
        <v>LIC38UR/L G/P - Equities</v>
      </c>
      <c r="B2454" s="125">
        <f>+IFERROR(VLOOKUP(L2454,'TB mapping'!A:D,4,0),0)</f>
        <v>0</v>
      </c>
      <c r="C2454" s="125" t="str">
        <f>+IFERROR(VLOOKUP(L2454,'TB mapping'!A:C,3,0),0)</f>
        <v>Ignore</v>
      </c>
      <c r="D2454" s="125" t="str">
        <f t="shared" si="251"/>
        <v>LIC380</v>
      </c>
      <c r="E2454" s="125" t="str">
        <f t="shared" si="252"/>
        <v>LIC38Ignore</v>
      </c>
      <c r="F2454" s="158" t="str">
        <f>+VLOOKUP(H2454,'code mapping'!A:C,3,0)</f>
        <v>LIC38</v>
      </c>
      <c r="G2454" s="127" t="s">
        <v>453</v>
      </c>
      <c r="H2454" s="127" t="s">
        <v>766</v>
      </c>
      <c r="I2454" s="127" t="s">
        <v>767</v>
      </c>
      <c r="J2454" s="128">
        <v>430000</v>
      </c>
      <c r="K2454" s="127" t="s">
        <v>528</v>
      </c>
      <c r="L2454" s="151">
        <v>431100</v>
      </c>
      <c r="M2454" s="128">
        <v>0</v>
      </c>
      <c r="N2454" s="127" t="s">
        <v>597</v>
      </c>
      <c r="O2454" s="127" t="s">
        <v>457</v>
      </c>
      <c r="P2454" s="128">
        <v>0</v>
      </c>
      <c r="Q2454" s="128">
        <v>38180371.990000002</v>
      </c>
      <c r="R2454" s="128">
        <v>0</v>
      </c>
      <c r="S2454" s="128">
        <v>0</v>
      </c>
      <c r="T2454" s="128">
        <v>0</v>
      </c>
      <c r="U2454" s="128">
        <v>38180371.990000002</v>
      </c>
      <c r="V2454" s="128">
        <v>0</v>
      </c>
      <c r="W2454" s="128">
        <v>38180371.990000002</v>
      </c>
      <c r="X2454" s="128">
        <v>0</v>
      </c>
      <c r="Y2454" s="128">
        <v>0</v>
      </c>
      <c r="Z2454" s="128">
        <v>0</v>
      </c>
      <c r="AA2454" s="128">
        <v>38180371.990000002</v>
      </c>
      <c r="AB2454" s="126">
        <f t="shared" si="253"/>
        <v>-3.8180371990000004</v>
      </c>
      <c r="AC2454" s="122" t="s">
        <v>1838</v>
      </c>
      <c r="AD2454" s="123">
        <f>SUMIF(C:C,C2454,AB:AB)</f>
        <v>-291.7660984179999</v>
      </c>
    </row>
    <row r="2455" spans="1:30" ht="12.75" hidden="1" customHeight="1">
      <c r="A2455" s="125" t="str">
        <f t="shared" si="250"/>
        <v>LIC38Dividend Income - Equities</v>
      </c>
      <c r="B2455" s="125">
        <f>+IFERROR(VLOOKUP(L2455,'TB mapping'!A:D,4,0),0)</f>
        <v>0</v>
      </c>
      <c r="C2455" s="125">
        <f>+IFERROR(VLOOKUP(L2455,'TB mapping'!A:C,3,0),0)</f>
        <v>5.0999999999999996</v>
      </c>
      <c r="D2455" s="125" t="str">
        <f t="shared" si="251"/>
        <v>LIC380</v>
      </c>
      <c r="E2455" s="125" t="str">
        <f t="shared" si="252"/>
        <v>LIC385.1</v>
      </c>
      <c r="F2455" s="158" t="str">
        <f>+VLOOKUP(H2455,'code mapping'!A:C,3,0)</f>
        <v>LIC38</v>
      </c>
      <c r="G2455" s="127" t="s">
        <v>453</v>
      </c>
      <c r="H2455" s="127" t="s">
        <v>766</v>
      </c>
      <c r="I2455" s="127" t="s">
        <v>767</v>
      </c>
      <c r="J2455" s="128">
        <v>450000</v>
      </c>
      <c r="K2455" s="127" t="s">
        <v>532</v>
      </c>
      <c r="L2455" s="151">
        <v>451100</v>
      </c>
      <c r="M2455" s="128">
        <v>0</v>
      </c>
      <c r="N2455" s="127" t="s">
        <v>598</v>
      </c>
      <c r="O2455" s="127" t="s">
        <v>457</v>
      </c>
      <c r="P2455" s="128">
        <v>0</v>
      </c>
      <c r="Q2455" s="128">
        <v>2824522.39</v>
      </c>
      <c r="R2455" s="128">
        <v>0</v>
      </c>
      <c r="S2455" s="128">
        <v>0</v>
      </c>
      <c r="T2455" s="128">
        <v>0</v>
      </c>
      <c r="U2455" s="128">
        <v>2824522.39</v>
      </c>
      <c r="V2455" s="128">
        <v>0</v>
      </c>
      <c r="W2455" s="128">
        <v>2824522.39</v>
      </c>
      <c r="X2455" s="128">
        <v>0</v>
      </c>
      <c r="Y2455" s="128">
        <v>0</v>
      </c>
      <c r="Z2455" s="128">
        <v>0</v>
      </c>
      <c r="AA2455" s="128">
        <v>2824522.39</v>
      </c>
      <c r="AB2455" s="126">
        <f t="shared" si="253"/>
        <v>-0.28245223899999999</v>
      </c>
      <c r="AC2455" s="122" t="s">
        <v>1838</v>
      </c>
      <c r="AD2455" s="123">
        <f t="shared" ref="AD2455:AD2487" si="254">SUMIF(E:E,E2455,AB:AB)</f>
        <v>-0.28245223899999999</v>
      </c>
    </row>
    <row r="2456" spans="1:30" ht="12.75" hidden="1" customHeight="1">
      <c r="A2456" s="125" t="str">
        <f t="shared" si="250"/>
        <v>LIC38Amort. Income - CBLO</v>
      </c>
      <c r="B2456" s="125">
        <f>+IFERROR(VLOOKUP(L2456,'TB mapping'!A:D,4,0),0)</f>
        <v>0</v>
      </c>
      <c r="C2456" s="125">
        <f>+IFERROR(VLOOKUP(L2456,'TB mapping'!A:C,3,0),0)</f>
        <v>5.2</v>
      </c>
      <c r="D2456" s="125" t="str">
        <f t="shared" si="251"/>
        <v>LIC380</v>
      </c>
      <c r="E2456" s="125" t="str">
        <f t="shared" si="252"/>
        <v>LIC385.2</v>
      </c>
      <c r="F2456" s="158" t="str">
        <f>+VLOOKUP(H2456,'code mapping'!A:C,3,0)</f>
        <v>LIC38</v>
      </c>
      <c r="G2456" s="127" t="s">
        <v>453</v>
      </c>
      <c r="H2456" s="127" t="s">
        <v>766</v>
      </c>
      <c r="I2456" s="127" t="s">
        <v>767</v>
      </c>
      <c r="J2456" s="128">
        <v>450000</v>
      </c>
      <c r="K2456" s="127" t="s">
        <v>532</v>
      </c>
      <c r="L2456" s="151">
        <v>452228</v>
      </c>
      <c r="M2456" s="128">
        <v>0</v>
      </c>
      <c r="N2456" s="127" t="s">
        <v>537</v>
      </c>
      <c r="O2456" s="127" t="s">
        <v>457</v>
      </c>
      <c r="P2456" s="128">
        <v>0</v>
      </c>
      <c r="Q2456" s="128">
        <v>158495.30000000002</v>
      </c>
      <c r="R2456" s="128">
        <v>0</v>
      </c>
      <c r="S2456" s="128">
        <v>0</v>
      </c>
      <c r="T2456" s="128">
        <v>0</v>
      </c>
      <c r="U2456" s="128">
        <v>158495.30000000002</v>
      </c>
      <c r="V2456" s="128">
        <v>0</v>
      </c>
      <c r="W2456" s="128">
        <v>158495.30000000002</v>
      </c>
      <c r="X2456" s="128">
        <v>0</v>
      </c>
      <c r="Y2456" s="128">
        <v>0</v>
      </c>
      <c r="Z2456" s="128">
        <v>0</v>
      </c>
      <c r="AA2456" s="128">
        <v>158495.30000000002</v>
      </c>
      <c r="AB2456" s="126">
        <f t="shared" si="253"/>
        <v>-1.5849530000000001E-2</v>
      </c>
      <c r="AC2456" s="122" t="s">
        <v>1838</v>
      </c>
      <c r="AD2456" s="123">
        <f t="shared" si="254"/>
        <v>-1.5849530000000001E-2</v>
      </c>
    </row>
    <row r="2457" spans="1:30" ht="12.75" hidden="1" customHeight="1">
      <c r="A2457" s="125" t="str">
        <f t="shared" si="250"/>
        <v>LIC38Misc Income</v>
      </c>
      <c r="B2457" s="125">
        <f>+IFERROR(VLOOKUP(L2457,'TB mapping'!A:D,4,0),0)</f>
        <v>0</v>
      </c>
      <c r="C2457" s="125">
        <f>+IFERROR(VLOOKUP(L2457,'TB mapping'!A:C,3,0),0)</f>
        <v>5.5</v>
      </c>
      <c r="D2457" s="125" t="str">
        <f t="shared" si="251"/>
        <v>LIC380</v>
      </c>
      <c r="E2457" s="125" t="str">
        <f t="shared" si="252"/>
        <v>LIC385.5</v>
      </c>
      <c r="F2457" s="158" t="str">
        <f>+VLOOKUP(H2457,'code mapping'!A:C,3,0)</f>
        <v>LIC38</v>
      </c>
      <c r="G2457" s="127" t="s">
        <v>453</v>
      </c>
      <c r="H2457" s="127" t="s">
        <v>766</v>
      </c>
      <c r="I2457" s="127" t="s">
        <v>767</v>
      </c>
      <c r="J2457" s="128">
        <v>460000</v>
      </c>
      <c r="K2457" s="127" t="s">
        <v>539</v>
      </c>
      <c r="L2457" s="151">
        <v>452233</v>
      </c>
      <c r="M2457" s="128">
        <v>0</v>
      </c>
      <c r="N2457" s="127" t="s">
        <v>706</v>
      </c>
      <c r="O2457" s="127" t="s">
        <v>457</v>
      </c>
      <c r="P2457" s="128">
        <v>0</v>
      </c>
      <c r="Q2457" s="128">
        <v>46.57</v>
      </c>
      <c r="R2457" s="128">
        <v>0</v>
      </c>
      <c r="S2457" s="128">
        <v>0</v>
      </c>
      <c r="T2457" s="128">
        <v>0</v>
      </c>
      <c r="U2457" s="128">
        <v>46.57</v>
      </c>
      <c r="V2457" s="128">
        <v>0</v>
      </c>
      <c r="W2457" s="128">
        <v>46.57</v>
      </c>
      <c r="X2457" s="128">
        <v>0</v>
      </c>
      <c r="Y2457" s="128">
        <v>0</v>
      </c>
      <c r="Z2457" s="128">
        <v>0</v>
      </c>
      <c r="AA2457" s="128">
        <v>46.57</v>
      </c>
      <c r="AB2457" s="126">
        <f t="shared" si="253"/>
        <v>-4.6569999999999996E-6</v>
      </c>
      <c r="AC2457" s="122" t="s">
        <v>1838</v>
      </c>
      <c r="AD2457" s="123">
        <f t="shared" si="254"/>
        <v>-1.9301559999999999E-3</v>
      </c>
    </row>
    <row r="2458" spans="1:30" ht="12.75" hidden="1" customHeight="1">
      <c r="A2458" s="125" t="str">
        <f t="shared" si="250"/>
        <v>LIC38Load Income</v>
      </c>
      <c r="B2458" s="125">
        <f>+IFERROR(VLOOKUP(L2458,'TB mapping'!A:D,4,0),0)</f>
        <v>0</v>
      </c>
      <c r="C2458" s="125">
        <f>+IFERROR(VLOOKUP(L2458,'TB mapping'!A:C,3,0),0)</f>
        <v>5.5</v>
      </c>
      <c r="D2458" s="125" t="str">
        <f t="shared" si="251"/>
        <v>LIC380</v>
      </c>
      <c r="E2458" s="125" t="str">
        <f t="shared" si="252"/>
        <v>LIC385.5</v>
      </c>
      <c r="F2458" s="158" t="str">
        <f>+VLOOKUP(H2458,'code mapping'!A:C,3,0)</f>
        <v>LIC38</v>
      </c>
      <c r="G2458" s="127" t="s">
        <v>453</v>
      </c>
      <c r="H2458" s="127" t="s">
        <v>766</v>
      </c>
      <c r="I2458" s="127" t="s">
        <v>767</v>
      </c>
      <c r="J2458" s="128">
        <v>460000</v>
      </c>
      <c r="K2458" s="127" t="s">
        <v>539</v>
      </c>
      <c r="L2458" s="151">
        <v>455103</v>
      </c>
      <c r="M2458" s="128">
        <v>0</v>
      </c>
      <c r="N2458" s="127" t="s">
        <v>540</v>
      </c>
      <c r="O2458" s="127" t="s">
        <v>457</v>
      </c>
      <c r="P2458" s="128">
        <v>0</v>
      </c>
      <c r="Q2458" s="128">
        <v>13991.44</v>
      </c>
      <c r="R2458" s="128">
        <v>0</v>
      </c>
      <c r="S2458" s="128">
        <v>0</v>
      </c>
      <c r="T2458" s="128">
        <v>0</v>
      </c>
      <c r="U2458" s="128">
        <v>13991.44</v>
      </c>
      <c r="V2458" s="128">
        <v>0</v>
      </c>
      <c r="W2458" s="128">
        <v>13991.44</v>
      </c>
      <c r="X2458" s="128">
        <v>0</v>
      </c>
      <c r="Y2458" s="128">
        <v>0</v>
      </c>
      <c r="Z2458" s="128">
        <v>0</v>
      </c>
      <c r="AA2458" s="128">
        <v>13991.44</v>
      </c>
      <c r="AB2458" s="126">
        <f t="shared" si="253"/>
        <v>-1.399144E-3</v>
      </c>
      <c r="AC2458" s="122" t="s">
        <v>1838</v>
      </c>
      <c r="AD2458" s="123">
        <f t="shared" si="254"/>
        <v>-1.9301559999999999E-3</v>
      </c>
    </row>
    <row r="2459" spans="1:30" ht="12.75" hidden="1" customHeight="1">
      <c r="A2459" s="125" t="str">
        <f t="shared" si="250"/>
        <v>LIC38Other Income</v>
      </c>
      <c r="B2459" s="125">
        <f>+IFERROR(VLOOKUP(L2459,'TB mapping'!A:D,4,0),0)</f>
        <v>0</v>
      </c>
      <c r="C2459" s="125">
        <f>+IFERROR(VLOOKUP(L2459,'TB mapping'!A:C,3,0),0)</f>
        <v>5.5</v>
      </c>
      <c r="D2459" s="125" t="str">
        <f t="shared" si="251"/>
        <v>LIC380</v>
      </c>
      <c r="E2459" s="125" t="str">
        <f t="shared" si="252"/>
        <v>LIC385.5</v>
      </c>
      <c r="F2459" s="158" t="str">
        <f>+VLOOKUP(H2459,'code mapping'!A:C,3,0)</f>
        <v>LIC38</v>
      </c>
      <c r="G2459" s="127" t="s">
        <v>453</v>
      </c>
      <c r="H2459" s="127" t="s">
        <v>766</v>
      </c>
      <c r="I2459" s="127" t="s">
        <v>767</v>
      </c>
      <c r="J2459" s="128">
        <v>460000</v>
      </c>
      <c r="K2459" s="127" t="s">
        <v>539</v>
      </c>
      <c r="L2459" s="151">
        <v>460000</v>
      </c>
      <c r="M2459" s="128">
        <v>0</v>
      </c>
      <c r="N2459" s="127" t="s">
        <v>541</v>
      </c>
      <c r="O2459" s="127" t="s">
        <v>457</v>
      </c>
      <c r="P2459" s="128">
        <v>0</v>
      </c>
      <c r="Q2459" s="128">
        <v>5263.55</v>
      </c>
      <c r="R2459" s="128">
        <v>0</v>
      </c>
      <c r="S2459" s="128">
        <v>0</v>
      </c>
      <c r="T2459" s="128">
        <v>0</v>
      </c>
      <c r="U2459" s="128">
        <v>5263.55</v>
      </c>
      <c r="V2459" s="128">
        <v>0</v>
      </c>
      <c r="W2459" s="128">
        <v>5263.55</v>
      </c>
      <c r="X2459" s="128">
        <v>0</v>
      </c>
      <c r="Y2459" s="128">
        <v>0</v>
      </c>
      <c r="Z2459" s="128">
        <v>0</v>
      </c>
      <c r="AA2459" s="128">
        <v>5263.55</v>
      </c>
      <c r="AB2459" s="126">
        <f t="shared" si="253"/>
        <v>-5.2635500000000005E-4</v>
      </c>
      <c r="AC2459" s="122" t="s">
        <v>1838</v>
      </c>
      <c r="AD2459" s="123">
        <f t="shared" si="254"/>
        <v>-1.9301559999999999E-3</v>
      </c>
    </row>
    <row r="2460" spans="1:30" ht="12.75" hidden="1" customHeight="1">
      <c r="A2460" s="125" t="str">
        <f t="shared" si="250"/>
        <v>LIC38Interplan Adjustment- RG</v>
      </c>
      <c r="B2460" s="125">
        <f>+IFERROR(VLOOKUP(L2460,'TB mapping'!A:D,4,0),0)</f>
        <v>0</v>
      </c>
      <c r="C2460" s="125">
        <f>+IFERROR(VLOOKUP(L2460,'TB mapping'!A:C,3,0),0)</f>
        <v>5.5</v>
      </c>
      <c r="D2460" s="125" t="str">
        <f t="shared" si="251"/>
        <v>LIC380</v>
      </c>
      <c r="E2460" s="125" t="str">
        <f t="shared" si="252"/>
        <v>LIC385.5</v>
      </c>
      <c r="F2460" s="158" t="str">
        <f>+VLOOKUP(H2460,'code mapping'!A:C,3,0)</f>
        <v>LIC38</v>
      </c>
      <c r="G2460" s="127" t="s">
        <v>453</v>
      </c>
      <c r="H2460" s="127" t="s">
        <v>766</v>
      </c>
      <c r="I2460" s="127" t="s">
        <v>767</v>
      </c>
      <c r="J2460" s="128">
        <v>460000</v>
      </c>
      <c r="K2460" s="127" t="s">
        <v>539</v>
      </c>
      <c r="L2460" s="151">
        <v>460101</v>
      </c>
      <c r="M2460" s="128">
        <v>0</v>
      </c>
      <c r="N2460" s="127" t="s">
        <v>542</v>
      </c>
      <c r="O2460" s="127" t="s">
        <v>457</v>
      </c>
      <c r="P2460" s="128">
        <v>-2.84</v>
      </c>
      <c r="Q2460" s="128">
        <v>0</v>
      </c>
      <c r="R2460" s="128">
        <v>0</v>
      </c>
      <c r="S2460" s="128">
        <v>0</v>
      </c>
      <c r="T2460" s="128">
        <v>-2.84</v>
      </c>
      <c r="U2460" s="128">
        <v>0</v>
      </c>
      <c r="V2460" s="128">
        <v>-2.84</v>
      </c>
      <c r="W2460" s="128">
        <v>0</v>
      </c>
      <c r="X2460" s="128">
        <v>0</v>
      </c>
      <c r="Y2460" s="128">
        <v>0</v>
      </c>
      <c r="Z2460" s="128">
        <v>-2.84</v>
      </c>
      <c r="AA2460" s="128">
        <v>0</v>
      </c>
      <c r="AB2460" s="126">
        <f t="shared" si="253"/>
        <v>2.84E-7</v>
      </c>
      <c r="AC2460" s="122" t="s">
        <v>1838</v>
      </c>
      <c r="AD2460" s="123">
        <f t="shared" si="254"/>
        <v>-1.9301559999999999E-3</v>
      </c>
    </row>
    <row r="2461" spans="1:30" ht="12.75" hidden="1" customHeight="1">
      <c r="A2461" s="125" t="str">
        <f t="shared" si="250"/>
        <v>LIC38Interplan Adjustment- GDP</v>
      </c>
      <c r="B2461" s="125">
        <f>+IFERROR(VLOOKUP(L2461,'TB mapping'!A:D,4,0),0)</f>
        <v>0</v>
      </c>
      <c r="C2461" s="125">
        <f>+IFERROR(VLOOKUP(L2461,'TB mapping'!A:C,3,0),0)</f>
        <v>5.5</v>
      </c>
      <c r="D2461" s="125" t="str">
        <f t="shared" si="251"/>
        <v>LIC380</v>
      </c>
      <c r="E2461" s="125" t="str">
        <f t="shared" si="252"/>
        <v>LIC385.5</v>
      </c>
      <c r="F2461" s="158" t="str">
        <f>+VLOOKUP(H2461,'code mapping'!A:C,3,0)</f>
        <v>LIC38</v>
      </c>
      <c r="G2461" s="127" t="s">
        <v>453</v>
      </c>
      <c r="H2461" s="127" t="s">
        <v>766</v>
      </c>
      <c r="I2461" s="127" t="s">
        <v>767</v>
      </c>
      <c r="J2461" s="128">
        <v>460000</v>
      </c>
      <c r="K2461" s="127" t="s">
        <v>539</v>
      </c>
      <c r="L2461" s="151">
        <v>460143</v>
      </c>
      <c r="M2461" s="128">
        <v>0</v>
      </c>
      <c r="N2461" s="127" t="s">
        <v>544</v>
      </c>
      <c r="O2461" s="127" t="s">
        <v>457</v>
      </c>
      <c r="P2461" s="128">
        <v>0</v>
      </c>
      <c r="Q2461" s="128">
        <v>2.84</v>
      </c>
      <c r="R2461" s="128">
        <v>0</v>
      </c>
      <c r="S2461" s="128">
        <v>0</v>
      </c>
      <c r="T2461" s="128">
        <v>0</v>
      </c>
      <c r="U2461" s="128">
        <v>2.84</v>
      </c>
      <c r="V2461" s="128">
        <v>0</v>
      </c>
      <c r="W2461" s="128">
        <v>2.84</v>
      </c>
      <c r="X2461" s="128">
        <v>0</v>
      </c>
      <c r="Y2461" s="128">
        <v>0</v>
      </c>
      <c r="Z2461" s="128">
        <v>0</v>
      </c>
      <c r="AA2461" s="128">
        <v>2.84</v>
      </c>
      <c r="AB2461" s="126">
        <f t="shared" si="253"/>
        <v>-2.84E-7</v>
      </c>
      <c r="AC2461" s="122" t="s">
        <v>1838</v>
      </c>
      <c r="AD2461" s="123">
        <f t="shared" si="254"/>
        <v>-1.9301559999999999E-3</v>
      </c>
    </row>
    <row r="2462" spans="1:30" ht="12.75" hidden="1" customHeight="1">
      <c r="A2462" s="125" t="str">
        <f t="shared" si="250"/>
        <v>LIC38R/L L/P - Equities</v>
      </c>
      <c r="B2462" s="125">
        <f>+IFERROR(VLOOKUP(L2462,'TB mapping'!A:D,4,0),0)</f>
        <v>0</v>
      </c>
      <c r="C2462" s="125">
        <f>+IFERROR(VLOOKUP(L2462,'TB mapping'!A:C,3,0),0)</f>
        <v>5.3</v>
      </c>
      <c r="D2462" s="125" t="str">
        <f t="shared" si="251"/>
        <v>LIC380</v>
      </c>
      <c r="E2462" s="125" t="str">
        <f t="shared" si="252"/>
        <v>LIC385.3</v>
      </c>
      <c r="F2462" s="158" t="str">
        <f>+VLOOKUP(H2462,'code mapping'!A:C,3,0)</f>
        <v>LIC38</v>
      </c>
      <c r="G2462" s="127" t="s">
        <v>453</v>
      </c>
      <c r="H2462" s="127" t="s">
        <v>766</v>
      </c>
      <c r="I2462" s="127" t="s">
        <v>767</v>
      </c>
      <c r="J2462" s="128">
        <v>510000</v>
      </c>
      <c r="K2462" s="127" t="s">
        <v>546</v>
      </c>
      <c r="L2462" s="151">
        <v>511100</v>
      </c>
      <c r="M2462" s="128">
        <v>0</v>
      </c>
      <c r="N2462" s="127" t="s">
        <v>599</v>
      </c>
      <c r="O2462" s="127" t="s">
        <v>457</v>
      </c>
      <c r="P2462" s="128">
        <v>-1992848.67</v>
      </c>
      <c r="Q2462" s="128">
        <v>0</v>
      </c>
      <c r="R2462" s="128">
        <v>0</v>
      </c>
      <c r="S2462" s="128">
        <v>0</v>
      </c>
      <c r="T2462" s="128">
        <v>-1992848.67</v>
      </c>
      <c r="U2462" s="128">
        <v>0</v>
      </c>
      <c r="V2462" s="128">
        <v>-1992848.67</v>
      </c>
      <c r="W2462" s="128">
        <v>0</v>
      </c>
      <c r="X2462" s="128">
        <v>0</v>
      </c>
      <c r="Y2462" s="128">
        <v>0</v>
      </c>
      <c r="Z2462" s="128">
        <v>-1992848.67</v>
      </c>
      <c r="AA2462" s="128">
        <v>0</v>
      </c>
      <c r="AB2462" s="126">
        <f t="shared" si="253"/>
        <v>0.199284867</v>
      </c>
      <c r="AC2462" s="122" t="s">
        <v>1838</v>
      </c>
      <c r="AD2462" s="123">
        <f t="shared" si="254"/>
        <v>-3.06506729</v>
      </c>
    </row>
    <row r="2463" spans="1:30" ht="12.75" hidden="1" customHeight="1">
      <c r="A2463" s="125" t="str">
        <f t="shared" si="250"/>
        <v>LIC38SEBI Fees</v>
      </c>
      <c r="B2463" s="125">
        <f>+IFERROR(VLOOKUP(L2463,'TB mapping'!A:D,4,0),0)</f>
        <v>0</v>
      </c>
      <c r="C2463" s="125">
        <f>+IFERROR(VLOOKUP(L2463,'TB mapping'!A:C,3,0),0)</f>
        <v>6.3</v>
      </c>
      <c r="D2463" s="125" t="str">
        <f t="shared" si="251"/>
        <v>LIC380</v>
      </c>
      <c r="E2463" s="125" t="str">
        <f t="shared" si="252"/>
        <v>LIC386.3</v>
      </c>
      <c r="F2463" s="158" t="str">
        <f>+VLOOKUP(H2463,'code mapping'!A:C,3,0)</f>
        <v>LIC38</v>
      </c>
      <c r="G2463" s="127" t="s">
        <v>453</v>
      </c>
      <c r="H2463" s="127" t="s">
        <v>766</v>
      </c>
      <c r="I2463" s="127" t="s">
        <v>767</v>
      </c>
      <c r="J2463" s="128">
        <v>550000</v>
      </c>
      <c r="K2463" s="127" t="s">
        <v>550</v>
      </c>
      <c r="L2463" s="151">
        <v>553007</v>
      </c>
      <c r="M2463" s="128">
        <v>0</v>
      </c>
      <c r="N2463" s="127" t="s">
        <v>551</v>
      </c>
      <c r="O2463" s="127" t="s">
        <v>457</v>
      </c>
      <c r="P2463" s="128">
        <v>-2356.0300000000002</v>
      </c>
      <c r="Q2463" s="128">
        <v>0</v>
      </c>
      <c r="R2463" s="128">
        <v>0</v>
      </c>
      <c r="S2463" s="128">
        <v>0</v>
      </c>
      <c r="T2463" s="128">
        <v>-2356.0300000000002</v>
      </c>
      <c r="U2463" s="128">
        <v>0</v>
      </c>
      <c r="V2463" s="128">
        <v>-2356.0300000000002</v>
      </c>
      <c r="W2463" s="128">
        <v>0</v>
      </c>
      <c r="X2463" s="128">
        <v>0</v>
      </c>
      <c r="Y2463" s="128">
        <v>0</v>
      </c>
      <c r="Z2463" s="128">
        <v>-2356.0300000000002</v>
      </c>
      <c r="AA2463" s="128">
        <v>0</v>
      </c>
      <c r="AB2463" s="126">
        <f t="shared" si="253"/>
        <v>2.3560300000000003E-4</v>
      </c>
      <c r="AC2463" s="122" t="s">
        <v>1838</v>
      </c>
      <c r="AD2463" s="123">
        <f t="shared" si="254"/>
        <v>0.21856053800000003</v>
      </c>
    </row>
    <row r="2464" spans="1:30" ht="12.75" hidden="1" customHeight="1">
      <c r="A2464" s="125" t="str">
        <f t="shared" si="250"/>
        <v>LIC38Audit Fee</v>
      </c>
      <c r="B2464" s="125">
        <f>+IFERROR(VLOOKUP(L2464,'TB mapping'!A:D,4,0),0)</f>
        <v>0</v>
      </c>
      <c r="C2464" s="125">
        <f>+IFERROR(VLOOKUP(L2464,'TB mapping'!A:C,3,0),0)</f>
        <v>6.3</v>
      </c>
      <c r="D2464" s="125" t="str">
        <f t="shared" si="251"/>
        <v>LIC380</v>
      </c>
      <c r="E2464" s="125" t="str">
        <f t="shared" si="252"/>
        <v>LIC386.3</v>
      </c>
      <c r="F2464" s="158" t="str">
        <f>+VLOOKUP(H2464,'code mapping'!A:C,3,0)</f>
        <v>LIC38</v>
      </c>
      <c r="G2464" s="127" t="s">
        <v>453</v>
      </c>
      <c r="H2464" s="127" t="s">
        <v>766</v>
      </c>
      <c r="I2464" s="127" t="s">
        <v>767</v>
      </c>
      <c r="J2464" s="128">
        <v>550000</v>
      </c>
      <c r="K2464" s="127" t="s">
        <v>550</v>
      </c>
      <c r="L2464" s="151">
        <v>553105</v>
      </c>
      <c r="M2464" s="128">
        <v>0</v>
      </c>
      <c r="N2464" s="127" t="s">
        <v>552</v>
      </c>
      <c r="O2464" s="127" t="s">
        <v>457</v>
      </c>
      <c r="P2464" s="128">
        <v>-11965.86</v>
      </c>
      <c r="Q2464" s="128">
        <v>0</v>
      </c>
      <c r="R2464" s="128">
        <v>0</v>
      </c>
      <c r="S2464" s="128">
        <v>0</v>
      </c>
      <c r="T2464" s="128">
        <v>-11965.86</v>
      </c>
      <c r="U2464" s="128">
        <v>0</v>
      </c>
      <c r="V2464" s="128">
        <v>-11965.86</v>
      </c>
      <c r="W2464" s="128">
        <v>0</v>
      </c>
      <c r="X2464" s="128">
        <v>0</v>
      </c>
      <c r="Y2464" s="128">
        <v>0</v>
      </c>
      <c r="Z2464" s="128">
        <v>-11965.86</v>
      </c>
      <c r="AA2464" s="128">
        <v>0</v>
      </c>
      <c r="AB2464" s="126">
        <f t="shared" si="253"/>
        <v>1.1965860000000001E-3</v>
      </c>
      <c r="AC2464" s="122" t="s">
        <v>1838</v>
      </c>
      <c r="AD2464" s="123">
        <f t="shared" si="254"/>
        <v>0.21856053800000003</v>
      </c>
    </row>
    <row r="2465" spans="1:30" ht="12.75" hidden="1" customHeight="1">
      <c r="A2465" s="125" t="str">
        <f t="shared" si="250"/>
        <v>LIC38Custody Fee</v>
      </c>
      <c r="B2465" s="125">
        <f>+IFERROR(VLOOKUP(L2465,'TB mapping'!A:D,4,0),0)</f>
        <v>0</v>
      </c>
      <c r="C2465" s="125">
        <f>+IFERROR(VLOOKUP(L2465,'TB mapping'!A:C,3,0),0)</f>
        <v>6.3</v>
      </c>
      <c r="D2465" s="125" t="str">
        <f t="shared" si="251"/>
        <v>LIC380</v>
      </c>
      <c r="E2465" s="125" t="str">
        <f t="shared" si="252"/>
        <v>LIC386.3</v>
      </c>
      <c r="F2465" s="158" t="str">
        <f>+VLOOKUP(H2465,'code mapping'!A:C,3,0)</f>
        <v>LIC38</v>
      </c>
      <c r="G2465" s="127" t="s">
        <v>453</v>
      </c>
      <c r="H2465" s="127" t="s">
        <v>766</v>
      </c>
      <c r="I2465" s="127" t="s">
        <v>767</v>
      </c>
      <c r="J2465" s="128">
        <v>550000</v>
      </c>
      <c r="K2465" s="127" t="s">
        <v>550</v>
      </c>
      <c r="L2465" s="151">
        <v>553107</v>
      </c>
      <c r="M2465" s="128">
        <v>0</v>
      </c>
      <c r="N2465" s="127" t="s">
        <v>553</v>
      </c>
      <c r="O2465" s="127" t="s">
        <v>457</v>
      </c>
      <c r="P2465" s="128">
        <v>-35498.94</v>
      </c>
      <c r="Q2465" s="128">
        <v>0</v>
      </c>
      <c r="R2465" s="128">
        <v>0</v>
      </c>
      <c r="S2465" s="128">
        <v>0</v>
      </c>
      <c r="T2465" s="128">
        <v>-35498.94</v>
      </c>
      <c r="U2465" s="128">
        <v>0</v>
      </c>
      <c r="V2465" s="128">
        <v>-35498.94</v>
      </c>
      <c r="W2465" s="128">
        <v>0</v>
      </c>
      <c r="X2465" s="128">
        <v>0</v>
      </c>
      <c r="Y2465" s="128">
        <v>0</v>
      </c>
      <c r="Z2465" s="128">
        <v>-35498.94</v>
      </c>
      <c r="AA2465" s="128">
        <v>0</v>
      </c>
      <c r="AB2465" s="126">
        <f t="shared" si="253"/>
        <v>3.5498940000000001E-3</v>
      </c>
      <c r="AC2465" s="122" t="s">
        <v>1838</v>
      </c>
      <c r="AD2465" s="123">
        <f t="shared" si="254"/>
        <v>0.21856053800000003</v>
      </c>
    </row>
    <row r="2466" spans="1:30" ht="12.75" hidden="1" customHeight="1">
      <c r="A2466" s="125" t="str">
        <f t="shared" si="250"/>
        <v>LIC38Expense Allocation Account</v>
      </c>
      <c r="B2466" s="125">
        <f>+IFERROR(VLOOKUP(L2466,'TB mapping'!A:D,4,0),0)</f>
        <v>0</v>
      </c>
      <c r="C2466" s="125">
        <f>+IFERROR(VLOOKUP(L2466,'TB mapping'!A:C,3,0),0)</f>
        <v>6.3</v>
      </c>
      <c r="D2466" s="125" t="str">
        <f t="shared" si="251"/>
        <v>LIC380</v>
      </c>
      <c r="E2466" s="125" t="str">
        <f t="shared" si="252"/>
        <v>LIC386.3</v>
      </c>
      <c r="F2466" s="158" t="str">
        <f>+VLOOKUP(H2466,'code mapping'!A:C,3,0)</f>
        <v>LIC38</v>
      </c>
      <c r="G2466" s="127" t="s">
        <v>453</v>
      </c>
      <c r="H2466" s="127" t="s">
        <v>766</v>
      </c>
      <c r="I2466" s="127" t="s">
        <v>767</v>
      </c>
      <c r="J2466" s="128">
        <v>550000</v>
      </c>
      <c r="K2466" s="127" t="s">
        <v>550</v>
      </c>
      <c r="L2466" s="151">
        <v>553111</v>
      </c>
      <c r="M2466" s="128">
        <v>0</v>
      </c>
      <c r="N2466" s="127" t="s">
        <v>554</v>
      </c>
      <c r="O2466" s="127" t="s">
        <v>457</v>
      </c>
      <c r="P2466" s="128">
        <v>0</v>
      </c>
      <c r="Q2466" s="128">
        <v>133907.72</v>
      </c>
      <c r="R2466" s="128">
        <v>0</v>
      </c>
      <c r="S2466" s="128">
        <v>0</v>
      </c>
      <c r="T2466" s="128">
        <v>0</v>
      </c>
      <c r="U2466" s="128">
        <v>133907.72</v>
      </c>
      <c r="V2466" s="128">
        <v>0</v>
      </c>
      <c r="W2466" s="128">
        <v>133907.72</v>
      </c>
      <c r="X2466" s="128">
        <v>0</v>
      </c>
      <c r="Y2466" s="128">
        <v>0</v>
      </c>
      <c r="Z2466" s="128">
        <v>0</v>
      </c>
      <c r="AA2466" s="128">
        <v>133907.72</v>
      </c>
      <c r="AB2466" s="126">
        <f t="shared" si="253"/>
        <v>-1.3390772E-2</v>
      </c>
      <c r="AC2466" s="122" t="s">
        <v>1838</v>
      </c>
      <c r="AD2466" s="123">
        <f t="shared" si="254"/>
        <v>0.21856053800000003</v>
      </c>
    </row>
    <row r="2467" spans="1:30" ht="12.75" hidden="1" customHeight="1">
      <c r="A2467" s="125" t="str">
        <f t="shared" si="250"/>
        <v>LIC38Trustee Fee</v>
      </c>
      <c r="B2467" s="125">
        <f>+IFERROR(VLOOKUP(L2467,'TB mapping'!A:D,4,0),0)</f>
        <v>6.2</v>
      </c>
      <c r="C2467" s="125">
        <f>+IFERROR(VLOOKUP(L2467,'TB mapping'!A:C,3,0),0)</f>
        <v>6.3</v>
      </c>
      <c r="D2467" s="125" t="str">
        <f t="shared" si="251"/>
        <v>LIC386.2</v>
      </c>
      <c r="E2467" s="125" t="str">
        <f t="shared" si="252"/>
        <v>LIC386.3</v>
      </c>
      <c r="F2467" s="158" t="str">
        <f>+VLOOKUP(H2467,'code mapping'!A:C,3,0)</f>
        <v>LIC38</v>
      </c>
      <c r="G2467" s="127" t="s">
        <v>453</v>
      </c>
      <c r="H2467" s="127" t="s">
        <v>766</v>
      </c>
      <c r="I2467" s="127" t="s">
        <v>767</v>
      </c>
      <c r="J2467" s="128">
        <v>550000</v>
      </c>
      <c r="K2467" s="127" t="s">
        <v>550</v>
      </c>
      <c r="L2467" s="151">
        <v>553131</v>
      </c>
      <c r="M2467" s="128">
        <v>0</v>
      </c>
      <c r="N2467" s="127" t="s">
        <v>555</v>
      </c>
      <c r="O2467" s="127" t="s">
        <v>457</v>
      </c>
      <c r="P2467" s="128">
        <v>-2073.4700000000003</v>
      </c>
      <c r="Q2467" s="128">
        <v>0</v>
      </c>
      <c r="R2467" s="128">
        <v>0</v>
      </c>
      <c r="S2467" s="128">
        <v>0</v>
      </c>
      <c r="T2467" s="128">
        <v>-2073.4700000000003</v>
      </c>
      <c r="U2467" s="128">
        <v>0</v>
      </c>
      <c r="V2467" s="128">
        <v>-2073.4700000000003</v>
      </c>
      <c r="W2467" s="128">
        <v>0</v>
      </c>
      <c r="X2467" s="128">
        <v>0</v>
      </c>
      <c r="Y2467" s="128">
        <v>0</v>
      </c>
      <c r="Z2467" s="128">
        <v>-2073.4700000000003</v>
      </c>
      <c r="AA2467" s="128">
        <v>0</v>
      </c>
      <c r="AB2467" s="126">
        <f t="shared" si="253"/>
        <v>2.0734700000000003E-4</v>
      </c>
      <c r="AC2467" s="122" t="s">
        <v>1838</v>
      </c>
      <c r="AD2467" s="123">
        <f t="shared" si="254"/>
        <v>0.21856053800000003</v>
      </c>
    </row>
    <row r="2468" spans="1:30" ht="12.75" hidden="1" customHeight="1">
      <c r="A2468" s="125" t="str">
        <f t="shared" si="250"/>
        <v>LIC38Bank Charges</v>
      </c>
      <c r="B2468" s="125">
        <f>+IFERROR(VLOOKUP(L2468,'TB mapping'!A:D,4,0),0)</f>
        <v>0</v>
      </c>
      <c r="C2468" s="125">
        <f>+IFERROR(VLOOKUP(L2468,'TB mapping'!A:C,3,0),0)</f>
        <v>6.3</v>
      </c>
      <c r="D2468" s="125" t="str">
        <f t="shared" si="251"/>
        <v>LIC380</v>
      </c>
      <c r="E2468" s="125" t="str">
        <f t="shared" si="252"/>
        <v>LIC386.3</v>
      </c>
      <c r="F2468" s="158" t="str">
        <f>+VLOOKUP(H2468,'code mapping'!A:C,3,0)</f>
        <v>LIC38</v>
      </c>
      <c r="G2468" s="127" t="s">
        <v>453</v>
      </c>
      <c r="H2468" s="127" t="s">
        <v>766</v>
      </c>
      <c r="I2468" s="127" t="s">
        <v>767</v>
      </c>
      <c r="J2468" s="128">
        <v>550000</v>
      </c>
      <c r="K2468" s="127" t="s">
        <v>550</v>
      </c>
      <c r="L2468" s="151">
        <v>553141</v>
      </c>
      <c r="M2468" s="128">
        <v>0</v>
      </c>
      <c r="N2468" s="127" t="s">
        <v>556</v>
      </c>
      <c r="O2468" s="127" t="s">
        <v>457</v>
      </c>
      <c r="P2468" s="128">
        <v>-13283.56</v>
      </c>
      <c r="Q2468" s="128">
        <v>0</v>
      </c>
      <c r="R2468" s="128">
        <v>0</v>
      </c>
      <c r="S2468" s="128">
        <v>0</v>
      </c>
      <c r="T2468" s="128">
        <v>-13283.56</v>
      </c>
      <c r="U2468" s="128">
        <v>0</v>
      </c>
      <c r="V2468" s="128">
        <v>-13283.56</v>
      </c>
      <c r="W2468" s="128">
        <v>0</v>
      </c>
      <c r="X2468" s="128">
        <v>0</v>
      </c>
      <c r="Y2468" s="128">
        <v>0</v>
      </c>
      <c r="Z2468" s="128">
        <v>-13283.56</v>
      </c>
      <c r="AA2468" s="128">
        <v>0</v>
      </c>
      <c r="AB2468" s="126">
        <f t="shared" si="253"/>
        <v>1.3283559999999999E-3</v>
      </c>
      <c r="AC2468" s="122" t="s">
        <v>1838</v>
      </c>
      <c r="AD2468" s="123">
        <f t="shared" si="254"/>
        <v>0.21856053800000003</v>
      </c>
    </row>
    <row r="2469" spans="1:30" ht="12.75" hidden="1" customHeight="1">
      <c r="A2469" s="125" t="str">
        <f t="shared" si="250"/>
        <v>LIC38Investor Education Fund Exps</v>
      </c>
      <c r="B2469" s="125">
        <f>+IFERROR(VLOOKUP(L2469,'TB mapping'!A:D,4,0),0)</f>
        <v>0</v>
      </c>
      <c r="C2469" s="125">
        <f>+IFERROR(VLOOKUP(L2469,'TB mapping'!A:C,3,0),0)</f>
        <v>6.3</v>
      </c>
      <c r="D2469" s="125" t="str">
        <f t="shared" si="251"/>
        <v>LIC380</v>
      </c>
      <c r="E2469" s="125" t="str">
        <f t="shared" si="252"/>
        <v>LIC386.3</v>
      </c>
      <c r="F2469" s="158" t="str">
        <f>+VLOOKUP(H2469,'code mapping'!A:C,3,0)</f>
        <v>LIC38</v>
      </c>
      <c r="G2469" s="127" t="s">
        <v>453</v>
      </c>
      <c r="H2469" s="127" t="s">
        <v>766</v>
      </c>
      <c r="I2469" s="127" t="s">
        <v>767</v>
      </c>
      <c r="J2469" s="128">
        <v>550000</v>
      </c>
      <c r="K2469" s="127" t="s">
        <v>550</v>
      </c>
      <c r="L2469" s="151">
        <v>553171</v>
      </c>
      <c r="M2469" s="128">
        <v>0</v>
      </c>
      <c r="N2469" s="127" t="s">
        <v>557</v>
      </c>
      <c r="O2469" s="127" t="s">
        <v>457</v>
      </c>
      <c r="P2469" s="128">
        <v>-21406.86</v>
      </c>
      <c r="Q2469" s="128">
        <v>0</v>
      </c>
      <c r="R2469" s="128">
        <v>0</v>
      </c>
      <c r="S2469" s="128">
        <v>0</v>
      </c>
      <c r="T2469" s="128">
        <v>-21406.86</v>
      </c>
      <c r="U2469" s="128">
        <v>0</v>
      </c>
      <c r="V2469" s="128">
        <v>-21406.86</v>
      </c>
      <c r="W2469" s="128">
        <v>0</v>
      </c>
      <c r="X2469" s="128">
        <v>0</v>
      </c>
      <c r="Y2469" s="128">
        <v>0</v>
      </c>
      <c r="Z2469" s="128">
        <v>-21406.86</v>
      </c>
      <c r="AA2469" s="128">
        <v>0</v>
      </c>
      <c r="AB2469" s="126">
        <f t="shared" si="253"/>
        <v>2.1406860000000002E-3</v>
      </c>
      <c r="AC2469" s="122" t="s">
        <v>1838</v>
      </c>
      <c r="AD2469" s="123">
        <f t="shared" si="254"/>
        <v>0.21856053800000003</v>
      </c>
    </row>
    <row r="2470" spans="1:30" ht="12.75" hidden="1" customHeight="1">
      <c r="A2470" s="125" t="str">
        <f t="shared" si="250"/>
        <v>LIC38Service Tax on Management Fees</v>
      </c>
      <c r="B2470" s="125">
        <f>+IFERROR(VLOOKUP(L2470,'TB mapping'!A:D,4,0),0)</f>
        <v>6.1</v>
      </c>
      <c r="C2470" s="125">
        <f>+IFERROR(VLOOKUP(L2470,'TB mapping'!A:C,3,0),0)</f>
        <v>6.3</v>
      </c>
      <c r="D2470" s="125" t="str">
        <f t="shared" si="251"/>
        <v>LIC386.1</v>
      </c>
      <c r="E2470" s="125" t="str">
        <f t="shared" si="252"/>
        <v>LIC386.3</v>
      </c>
      <c r="F2470" s="158" t="str">
        <f>+VLOOKUP(H2470,'code mapping'!A:C,3,0)</f>
        <v>LIC38</v>
      </c>
      <c r="G2470" s="127" t="s">
        <v>453</v>
      </c>
      <c r="H2470" s="127" t="s">
        <v>766</v>
      </c>
      <c r="I2470" s="127" t="s">
        <v>767</v>
      </c>
      <c r="J2470" s="128">
        <v>550000</v>
      </c>
      <c r="K2470" s="127" t="s">
        <v>550</v>
      </c>
      <c r="L2470" s="151">
        <v>553172</v>
      </c>
      <c r="M2470" s="128">
        <v>0</v>
      </c>
      <c r="N2470" s="127" t="s">
        <v>558</v>
      </c>
      <c r="O2470" s="127" t="s">
        <v>457</v>
      </c>
      <c r="P2470" s="128">
        <v>-19032.439999999999</v>
      </c>
      <c r="Q2470" s="128">
        <v>0</v>
      </c>
      <c r="R2470" s="128">
        <v>0</v>
      </c>
      <c r="S2470" s="128">
        <v>0</v>
      </c>
      <c r="T2470" s="128">
        <v>-19032.439999999999</v>
      </c>
      <c r="U2470" s="128">
        <v>0</v>
      </c>
      <c r="V2470" s="128">
        <v>-19032.439999999999</v>
      </c>
      <c r="W2470" s="128">
        <v>0</v>
      </c>
      <c r="X2470" s="128">
        <v>0</v>
      </c>
      <c r="Y2470" s="128">
        <v>0</v>
      </c>
      <c r="Z2470" s="128">
        <v>-19032.439999999999</v>
      </c>
      <c r="AA2470" s="128">
        <v>0</v>
      </c>
      <c r="AB2470" s="126">
        <f t="shared" si="253"/>
        <v>1.9032439999999999E-3</v>
      </c>
      <c r="AC2470" s="122" t="s">
        <v>1838</v>
      </c>
      <c r="AD2470" s="123">
        <f t="shared" si="254"/>
        <v>0.21856053800000003</v>
      </c>
    </row>
    <row r="2471" spans="1:30" ht="12.75" hidden="1" customHeight="1">
      <c r="A2471" s="125" t="str">
        <f t="shared" si="250"/>
        <v>LIC38CCIL Expenses</v>
      </c>
      <c r="B2471" s="125">
        <f>+IFERROR(VLOOKUP(L2471,'TB mapping'!A:D,4,0),0)</f>
        <v>0</v>
      </c>
      <c r="C2471" s="125">
        <f>+IFERROR(VLOOKUP(L2471,'TB mapping'!A:C,3,0),0)</f>
        <v>6.3</v>
      </c>
      <c r="D2471" s="125" t="str">
        <f t="shared" si="251"/>
        <v>LIC380</v>
      </c>
      <c r="E2471" s="125" t="str">
        <f t="shared" si="252"/>
        <v>LIC386.3</v>
      </c>
      <c r="F2471" s="158" t="str">
        <f>+VLOOKUP(H2471,'code mapping'!A:C,3,0)</f>
        <v>LIC38</v>
      </c>
      <c r="G2471" s="127" t="s">
        <v>453</v>
      </c>
      <c r="H2471" s="127" t="s">
        <v>766</v>
      </c>
      <c r="I2471" s="127" t="s">
        <v>767</v>
      </c>
      <c r="J2471" s="128">
        <v>550000</v>
      </c>
      <c r="K2471" s="127" t="s">
        <v>550</v>
      </c>
      <c r="L2471" s="151">
        <v>553176</v>
      </c>
      <c r="M2471" s="128">
        <v>0</v>
      </c>
      <c r="N2471" s="127" t="s">
        <v>559</v>
      </c>
      <c r="O2471" s="127" t="s">
        <v>457</v>
      </c>
      <c r="P2471" s="128">
        <v>-595.37</v>
      </c>
      <c r="Q2471" s="128">
        <v>0</v>
      </c>
      <c r="R2471" s="128">
        <v>0</v>
      </c>
      <c r="S2471" s="128">
        <v>0</v>
      </c>
      <c r="T2471" s="128">
        <v>-595.37</v>
      </c>
      <c r="U2471" s="128">
        <v>0</v>
      </c>
      <c r="V2471" s="128">
        <v>-595.37</v>
      </c>
      <c r="W2471" s="128">
        <v>0</v>
      </c>
      <c r="X2471" s="128">
        <v>0</v>
      </c>
      <c r="Y2471" s="128">
        <v>0</v>
      </c>
      <c r="Z2471" s="128">
        <v>-595.37</v>
      </c>
      <c r="AA2471" s="128">
        <v>0</v>
      </c>
      <c r="AB2471" s="126">
        <f t="shared" si="253"/>
        <v>5.9537000000000003E-5</v>
      </c>
      <c r="AC2471" s="122" t="s">
        <v>1838</v>
      </c>
      <c r="AD2471" s="123">
        <f t="shared" si="254"/>
        <v>0.21856053800000003</v>
      </c>
    </row>
    <row r="2472" spans="1:30" ht="12.75" hidden="1" customHeight="1">
      <c r="A2472" s="125" t="str">
        <f t="shared" si="250"/>
        <v>LIC38Out of Pocket Expenses - R&amp;T</v>
      </c>
      <c r="B2472" s="125">
        <f>+IFERROR(VLOOKUP(L2472,'TB mapping'!A:D,4,0),0)</f>
        <v>0</v>
      </c>
      <c r="C2472" s="125">
        <f>+IFERROR(VLOOKUP(L2472,'TB mapping'!A:C,3,0),0)</f>
        <v>6.3</v>
      </c>
      <c r="D2472" s="125" t="str">
        <f t="shared" si="251"/>
        <v>LIC380</v>
      </c>
      <c r="E2472" s="125" t="str">
        <f t="shared" si="252"/>
        <v>LIC386.3</v>
      </c>
      <c r="F2472" s="158" t="str">
        <f>+VLOOKUP(H2472,'code mapping'!A:C,3,0)</f>
        <v>LIC38</v>
      </c>
      <c r="G2472" s="127" t="s">
        <v>453</v>
      </c>
      <c r="H2472" s="127" t="s">
        <v>766</v>
      </c>
      <c r="I2472" s="127" t="s">
        <v>767</v>
      </c>
      <c r="J2472" s="128">
        <v>550000</v>
      </c>
      <c r="K2472" s="127" t="s">
        <v>550</v>
      </c>
      <c r="L2472" s="151">
        <v>553180</v>
      </c>
      <c r="M2472" s="128">
        <v>0</v>
      </c>
      <c r="N2472" s="127" t="s">
        <v>560</v>
      </c>
      <c r="O2472" s="127" t="s">
        <v>457</v>
      </c>
      <c r="P2472" s="128">
        <v>-22261.8</v>
      </c>
      <c r="Q2472" s="128">
        <v>0</v>
      </c>
      <c r="R2472" s="128">
        <v>0</v>
      </c>
      <c r="S2472" s="128">
        <v>0</v>
      </c>
      <c r="T2472" s="128">
        <v>-22261.8</v>
      </c>
      <c r="U2472" s="128">
        <v>0</v>
      </c>
      <c r="V2472" s="128">
        <v>-22261.8</v>
      </c>
      <c r="W2472" s="128">
        <v>0</v>
      </c>
      <c r="X2472" s="128">
        <v>0</v>
      </c>
      <c r="Y2472" s="128">
        <v>0</v>
      </c>
      <c r="Z2472" s="128">
        <v>-22261.8</v>
      </c>
      <c r="AA2472" s="128">
        <v>0</v>
      </c>
      <c r="AB2472" s="126">
        <f t="shared" si="253"/>
        <v>2.2261799999999999E-3</v>
      </c>
      <c r="AC2472" s="122" t="s">
        <v>1838</v>
      </c>
      <c r="AD2472" s="123">
        <f t="shared" si="254"/>
        <v>0.21856053800000003</v>
      </c>
    </row>
    <row r="2473" spans="1:30" ht="12.75" hidden="1" customHeight="1">
      <c r="A2473" s="125" t="str">
        <f t="shared" si="250"/>
        <v>LIC38Other Expenses</v>
      </c>
      <c r="B2473" s="125">
        <f>+IFERROR(VLOOKUP(L2473,'TB mapping'!A:D,4,0),0)</f>
        <v>0</v>
      </c>
      <c r="C2473" s="125">
        <f>+IFERROR(VLOOKUP(L2473,'TB mapping'!A:C,3,0),0)</f>
        <v>6.3</v>
      </c>
      <c r="D2473" s="125" t="str">
        <f t="shared" si="251"/>
        <v>LIC380</v>
      </c>
      <c r="E2473" s="125" t="str">
        <f t="shared" si="252"/>
        <v>LIC386.3</v>
      </c>
      <c r="F2473" s="158" t="str">
        <f>+VLOOKUP(H2473,'code mapping'!A:C,3,0)</f>
        <v>LIC38</v>
      </c>
      <c r="G2473" s="127" t="s">
        <v>453</v>
      </c>
      <c r="H2473" s="127" t="s">
        <v>766</v>
      </c>
      <c r="I2473" s="127" t="s">
        <v>767</v>
      </c>
      <c r="J2473" s="128">
        <v>550000</v>
      </c>
      <c r="K2473" s="127" t="s">
        <v>550</v>
      </c>
      <c r="L2473" s="151">
        <v>553190</v>
      </c>
      <c r="M2473" s="128">
        <v>0</v>
      </c>
      <c r="N2473" s="127" t="s">
        <v>561</v>
      </c>
      <c r="O2473" s="127" t="s">
        <v>457</v>
      </c>
      <c r="P2473" s="128">
        <v>0</v>
      </c>
      <c r="Q2473" s="128">
        <v>32372.06</v>
      </c>
      <c r="R2473" s="128">
        <v>0</v>
      </c>
      <c r="S2473" s="128">
        <v>0</v>
      </c>
      <c r="T2473" s="128">
        <v>0</v>
      </c>
      <c r="U2473" s="128">
        <v>32372.06</v>
      </c>
      <c r="V2473" s="128">
        <v>0</v>
      </c>
      <c r="W2473" s="128">
        <v>32372.06</v>
      </c>
      <c r="X2473" s="128">
        <v>0</v>
      </c>
      <c r="Y2473" s="128">
        <v>0</v>
      </c>
      <c r="Z2473" s="128">
        <v>0</v>
      </c>
      <c r="AA2473" s="128">
        <v>32372.06</v>
      </c>
      <c r="AB2473" s="126">
        <f t="shared" si="253"/>
        <v>-3.2372060000000003E-3</v>
      </c>
      <c r="AC2473" s="122" t="s">
        <v>1838</v>
      </c>
      <c r="AD2473" s="123">
        <f t="shared" si="254"/>
        <v>0.21856053800000003</v>
      </c>
    </row>
    <row r="2474" spans="1:30" ht="12.75" hidden="1" customHeight="1">
      <c r="A2474" s="125" t="str">
        <f t="shared" si="250"/>
        <v>LIC38Other Expenses-RG</v>
      </c>
      <c r="B2474" s="125">
        <f>+IFERROR(VLOOKUP(L2474,'TB mapping'!A:D,4,0),0)</f>
        <v>0</v>
      </c>
      <c r="C2474" s="125">
        <f>+IFERROR(VLOOKUP(L2474,'TB mapping'!A:C,3,0),0)</f>
        <v>6.3</v>
      </c>
      <c r="D2474" s="125" t="str">
        <f t="shared" si="251"/>
        <v>LIC380</v>
      </c>
      <c r="E2474" s="125" t="str">
        <f t="shared" si="252"/>
        <v>LIC386.3</v>
      </c>
      <c r="F2474" s="158" t="str">
        <f>+VLOOKUP(H2474,'code mapping'!A:C,3,0)</f>
        <v>LIC38</v>
      </c>
      <c r="G2474" s="127" t="s">
        <v>453</v>
      </c>
      <c r="H2474" s="127" t="s">
        <v>766</v>
      </c>
      <c r="I2474" s="127" t="s">
        <v>767</v>
      </c>
      <c r="J2474" s="128">
        <v>550000</v>
      </c>
      <c r="K2474" s="127" t="s">
        <v>550</v>
      </c>
      <c r="L2474" s="151">
        <v>553191</v>
      </c>
      <c r="M2474" s="128">
        <v>0</v>
      </c>
      <c r="N2474" s="127" t="s">
        <v>562</v>
      </c>
      <c r="O2474" s="127" t="s">
        <v>457</v>
      </c>
      <c r="P2474" s="128">
        <v>-231281.59</v>
      </c>
      <c r="Q2474" s="128">
        <v>0</v>
      </c>
      <c r="R2474" s="128">
        <v>0</v>
      </c>
      <c r="S2474" s="128">
        <v>0</v>
      </c>
      <c r="T2474" s="128">
        <v>-231281.59</v>
      </c>
      <c r="U2474" s="128">
        <v>0</v>
      </c>
      <c r="V2474" s="128">
        <v>-231281.59</v>
      </c>
      <c r="W2474" s="128">
        <v>0</v>
      </c>
      <c r="X2474" s="128">
        <v>0</v>
      </c>
      <c r="Y2474" s="128">
        <v>0</v>
      </c>
      <c r="Z2474" s="128">
        <v>-231281.59</v>
      </c>
      <c r="AA2474" s="128">
        <v>0</v>
      </c>
      <c r="AB2474" s="126">
        <f t="shared" si="253"/>
        <v>2.3128158999999999E-2</v>
      </c>
      <c r="AC2474" s="122" t="s">
        <v>1838</v>
      </c>
      <c r="AD2474" s="123">
        <f t="shared" si="254"/>
        <v>0.21856053800000003</v>
      </c>
    </row>
    <row r="2475" spans="1:30" ht="12.75" hidden="1" customHeight="1">
      <c r="A2475" s="125" t="str">
        <f t="shared" si="250"/>
        <v>LIC38Other Expenses-RD</v>
      </c>
      <c r="B2475" s="125">
        <f>+IFERROR(VLOOKUP(L2475,'TB mapping'!A:D,4,0),0)</f>
        <v>0</v>
      </c>
      <c r="C2475" s="125">
        <f>+IFERROR(VLOOKUP(L2475,'TB mapping'!A:C,3,0),0)</f>
        <v>6.3</v>
      </c>
      <c r="D2475" s="125" t="str">
        <f t="shared" si="251"/>
        <v>LIC380</v>
      </c>
      <c r="E2475" s="125" t="str">
        <f t="shared" si="252"/>
        <v>LIC386.3</v>
      </c>
      <c r="F2475" s="158" t="str">
        <f>+VLOOKUP(H2475,'code mapping'!A:C,3,0)</f>
        <v>LIC38</v>
      </c>
      <c r="G2475" s="127" t="s">
        <v>453</v>
      </c>
      <c r="H2475" s="127" t="s">
        <v>766</v>
      </c>
      <c r="I2475" s="127" t="s">
        <v>767</v>
      </c>
      <c r="J2475" s="128">
        <v>550000</v>
      </c>
      <c r="K2475" s="127" t="s">
        <v>550</v>
      </c>
      <c r="L2475" s="151">
        <v>553192</v>
      </c>
      <c r="M2475" s="128">
        <v>0</v>
      </c>
      <c r="N2475" s="127" t="s">
        <v>563</v>
      </c>
      <c r="O2475" s="127" t="s">
        <v>457</v>
      </c>
      <c r="P2475" s="128">
        <v>-52331.94</v>
      </c>
      <c r="Q2475" s="128">
        <v>0</v>
      </c>
      <c r="R2475" s="128">
        <v>0</v>
      </c>
      <c r="S2475" s="128">
        <v>0</v>
      </c>
      <c r="T2475" s="128">
        <v>-52331.94</v>
      </c>
      <c r="U2475" s="128">
        <v>0</v>
      </c>
      <c r="V2475" s="128">
        <v>-52331.94</v>
      </c>
      <c r="W2475" s="128">
        <v>0</v>
      </c>
      <c r="X2475" s="128">
        <v>0</v>
      </c>
      <c r="Y2475" s="128">
        <v>0</v>
      </c>
      <c r="Z2475" s="128">
        <v>-52331.94</v>
      </c>
      <c r="AA2475" s="128">
        <v>0</v>
      </c>
      <c r="AB2475" s="126">
        <f t="shared" si="253"/>
        <v>5.233194E-3</v>
      </c>
      <c r="AC2475" s="122" t="s">
        <v>1838</v>
      </c>
      <c r="AD2475" s="123">
        <f t="shared" si="254"/>
        <v>0.21856053800000003</v>
      </c>
    </row>
    <row r="2476" spans="1:30" ht="12.75" hidden="1" customHeight="1">
      <c r="A2476" s="125" t="str">
        <f t="shared" si="250"/>
        <v>LIC38Other Exp - Brok - Indirect</v>
      </c>
      <c r="B2476" s="125">
        <f>+IFERROR(VLOOKUP(L2476,'TB mapping'!A:D,4,0),0)</f>
        <v>0</v>
      </c>
      <c r="C2476" s="125">
        <f>+IFERROR(VLOOKUP(L2476,'TB mapping'!A:C,3,0),0)</f>
        <v>6.3</v>
      </c>
      <c r="D2476" s="125" t="str">
        <f t="shared" si="251"/>
        <v>LIC380</v>
      </c>
      <c r="E2476" s="125" t="str">
        <f t="shared" si="252"/>
        <v>LIC386.3</v>
      </c>
      <c r="F2476" s="158" t="str">
        <f>+VLOOKUP(H2476,'code mapping'!A:C,3,0)</f>
        <v>LIC38</v>
      </c>
      <c r="G2476" s="127" t="s">
        <v>453</v>
      </c>
      <c r="H2476" s="127" t="s">
        <v>766</v>
      </c>
      <c r="I2476" s="127" t="s">
        <v>767</v>
      </c>
      <c r="J2476" s="128">
        <v>550000</v>
      </c>
      <c r="K2476" s="127" t="s">
        <v>550</v>
      </c>
      <c r="L2476" s="151">
        <v>553202</v>
      </c>
      <c r="M2476" s="128">
        <v>0</v>
      </c>
      <c r="N2476" s="127" t="s">
        <v>564</v>
      </c>
      <c r="O2476" s="127" t="s">
        <v>457</v>
      </c>
      <c r="P2476" s="128">
        <v>-361844</v>
      </c>
      <c r="Q2476" s="128">
        <v>0</v>
      </c>
      <c r="R2476" s="128">
        <v>0</v>
      </c>
      <c r="S2476" s="128">
        <v>0</v>
      </c>
      <c r="T2476" s="128">
        <v>-361844</v>
      </c>
      <c r="U2476" s="128">
        <v>0</v>
      </c>
      <c r="V2476" s="128">
        <v>-361844</v>
      </c>
      <c r="W2476" s="128">
        <v>0</v>
      </c>
      <c r="X2476" s="128">
        <v>0</v>
      </c>
      <c r="Y2476" s="128">
        <v>0</v>
      </c>
      <c r="Z2476" s="128">
        <v>-361844</v>
      </c>
      <c r="AA2476" s="128">
        <v>0</v>
      </c>
      <c r="AB2476" s="126">
        <f t="shared" si="253"/>
        <v>3.6184399999999999E-2</v>
      </c>
      <c r="AC2476" s="122" t="s">
        <v>1838</v>
      </c>
      <c r="AD2476" s="123">
        <f t="shared" si="254"/>
        <v>0.21856053800000003</v>
      </c>
    </row>
    <row r="2477" spans="1:30" ht="12.75" hidden="1" customHeight="1">
      <c r="A2477" s="125" t="str">
        <f t="shared" si="250"/>
        <v>LIC38Brokerage/Dist Exps</v>
      </c>
      <c r="B2477" s="125">
        <f>+IFERROR(VLOOKUP(L2477,'TB mapping'!A:D,4,0),0)</f>
        <v>0</v>
      </c>
      <c r="C2477" s="125">
        <f>+IFERROR(VLOOKUP(L2477,'TB mapping'!A:C,3,0),0)</f>
        <v>6.3</v>
      </c>
      <c r="D2477" s="125" t="str">
        <f t="shared" si="251"/>
        <v>LIC380</v>
      </c>
      <c r="E2477" s="125" t="str">
        <f t="shared" si="252"/>
        <v>LIC386.3</v>
      </c>
      <c r="F2477" s="158" t="str">
        <f>+VLOOKUP(H2477,'code mapping'!A:C,3,0)</f>
        <v>LIC38</v>
      </c>
      <c r="G2477" s="127" t="s">
        <v>453</v>
      </c>
      <c r="H2477" s="127" t="s">
        <v>766</v>
      </c>
      <c r="I2477" s="127" t="s">
        <v>767</v>
      </c>
      <c r="J2477" s="128">
        <v>550000</v>
      </c>
      <c r="K2477" s="127" t="s">
        <v>550</v>
      </c>
      <c r="L2477" s="151">
        <v>553208</v>
      </c>
      <c r="M2477" s="128">
        <v>0</v>
      </c>
      <c r="N2477" s="127" t="s">
        <v>565</v>
      </c>
      <c r="O2477" s="127" t="s">
        <v>457</v>
      </c>
      <c r="P2477" s="128">
        <v>0</v>
      </c>
      <c r="Q2477" s="128">
        <v>137984.79</v>
      </c>
      <c r="R2477" s="128">
        <v>0</v>
      </c>
      <c r="S2477" s="128">
        <v>0</v>
      </c>
      <c r="T2477" s="128">
        <v>0</v>
      </c>
      <c r="U2477" s="128">
        <v>137984.79</v>
      </c>
      <c r="V2477" s="128">
        <v>0</v>
      </c>
      <c r="W2477" s="128">
        <v>137984.79</v>
      </c>
      <c r="X2477" s="128">
        <v>0</v>
      </c>
      <c r="Y2477" s="128">
        <v>0</v>
      </c>
      <c r="Z2477" s="128">
        <v>0</v>
      </c>
      <c r="AA2477" s="128">
        <v>137984.79</v>
      </c>
      <c r="AB2477" s="126">
        <f t="shared" si="253"/>
        <v>-1.3798479000000001E-2</v>
      </c>
      <c r="AC2477" s="122" t="s">
        <v>1838</v>
      </c>
      <c r="AD2477" s="123">
        <f t="shared" si="254"/>
        <v>0.21856053800000003</v>
      </c>
    </row>
    <row r="2478" spans="1:30" ht="12.75" hidden="1" customHeight="1">
      <c r="A2478" s="125" t="str">
        <f t="shared" si="250"/>
        <v>LIC38Internal Audit Fee</v>
      </c>
      <c r="B2478" s="125">
        <f>+IFERROR(VLOOKUP(L2478,'TB mapping'!A:D,4,0),0)</f>
        <v>0</v>
      </c>
      <c r="C2478" s="125">
        <f>+IFERROR(VLOOKUP(L2478,'TB mapping'!A:C,3,0),0)</f>
        <v>6.3</v>
      </c>
      <c r="D2478" s="125" t="str">
        <f t="shared" si="251"/>
        <v>LIC380</v>
      </c>
      <c r="E2478" s="125" t="str">
        <f t="shared" si="252"/>
        <v>LIC386.3</v>
      </c>
      <c r="F2478" s="158" t="str">
        <f>+VLOOKUP(H2478,'code mapping'!A:C,3,0)</f>
        <v>LIC38</v>
      </c>
      <c r="G2478" s="127" t="s">
        <v>453</v>
      </c>
      <c r="H2478" s="127" t="s">
        <v>766</v>
      </c>
      <c r="I2478" s="127" t="s">
        <v>767</v>
      </c>
      <c r="J2478" s="128">
        <v>550000</v>
      </c>
      <c r="K2478" s="127" t="s">
        <v>550</v>
      </c>
      <c r="L2478" s="151">
        <v>553213</v>
      </c>
      <c r="M2478" s="128">
        <v>0</v>
      </c>
      <c r="N2478" s="127" t="s">
        <v>566</v>
      </c>
      <c r="O2478" s="127" t="s">
        <v>457</v>
      </c>
      <c r="P2478" s="128">
        <v>-7258.14</v>
      </c>
      <c r="Q2478" s="128">
        <v>0</v>
      </c>
      <c r="R2478" s="128">
        <v>0</v>
      </c>
      <c r="S2478" s="128">
        <v>0</v>
      </c>
      <c r="T2478" s="128">
        <v>-7258.14</v>
      </c>
      <c r="U2478" s="128">
        <v>0</v>
      </c>
      <c r="V2478" s="128">
        <v>-7258.14</v>
      </c>
      <c r="W2478" s="128">
        <v>0</v>
      </c>
      <c r="X2478" s="128">
        <v>0</v>
      </c>
      <c r="Y2478" s="128">
        <v>0</v>
      </c>
      <c r="Z2478" s="128">
        <v>-7258.14</v>
      </c>
      <c r="AA2478" s="128">
        <v>0</v>
      </c>
      <c r="AB2478" s="126">
        <f t="shared" si="253"/>
        <v>7.2581400000000008E-4</v>
      </c>
      <c r="AC2478" s="122" t="s">
        <v>1838</v>
      </c>
      <c r="AD2478" s="123">
        <f t="shared" si="254"/>
        <v>0.21856053800000003</v>
      </c>
    </row>
    <row r="2479" spans="1:30" ht="12.75" hidden="1" customHeight="1">
      <c r="A2479" s="125" t="str">
        <f t="shared" si="250"/>
        <v>LIC38Other Expenses-GDP</v>
      </c>
      <c r="B2479" s="125">
        <f>+IFERROR(VLOOKUP(L2479,'TB mapping'!A:D,4,0),0)</f>
        <v>0</v>
      </c>
      <c r="C2479" s="125">
        <f>+IFERROR(VLOOKUP(L2479,'TB mapping'!A:C,3,0),0)</f>
        <v>6.3</v>
      </c>
      <c r="D2479" s="125" t="str">
        <f t="shared" si="251"/>
        <v>LIC380</v>
      </c>
      <c r="E2479" s="125" t="str">
        <f t="shared" si="252"/>
        <v>LIC386.3</v>
      </c>
      <c r="F2479" s="158" t="str">
        <f>+VLOOKUP(H2479,'code mapping'!A:C,3,0)</f>
        <v>LIC38</v>
      </c>
      <c r="G2479" s="127" t="s">
        <v>453</v>
      </c>
      <c r="H2479" s="127" t="s">
        <v>766</v>
      </c>
      <c r="I2479" s="127" t="s">
        <v>767</v>
      </c>
      <c r="J2479" s="128">
        <v>550000</v>
      </c>
      <c r="K2479" s="127" t="s">
        <v>550</v>
      </c>
      <c r="L2479" s="151">
        <v>553329</v>
      </c>
      <c r="M2479" s="128">
        <v>0</v>
      </c>
      <c r="N2479" s="127" t="s">
        <v>567</v>
      </c>
      <c r="O2479" s="127" t="s">
        <v>457</v>
      </c>
      <c r="P2479" s="128">
        <v>-242812.86</v>
      </c>
      <c r="Q2479" s="128">
        <v>0</v>
      </c>
      <c r="R2479" s="128">
        <v>0</v>
      </c>
      <c r="S2479" s="128">
        <v>0</v>
      </c>
      <c r="T2479" s="128">
        <v>-242812.86</v>
      </c>
      <c r="U2479" s="128">
        <v>0</v>
      </c>
      <c r="V2479" s="128">
        <v>-242812.86</v>
      </c>
      <c r="W2479" s="128">
        <v>0</v>
      </c>
      <c r="X2479" s="128">
        <v>0</v>
      </c>
      <c r="Y2479" s="128">
        <v>0</v>
      </c>
      <c r="Z2479" s="128">
        <v>-242812.86</v>
      </c>
      <c r="AA2479" s="128">
        <v>0</v>
      </c>
      <c r="AB2479" s="126">
        <f t="shared" si="253"/>
        <v>2.4281285999999999E-2</v>
      </c>
      <c r="AC2479" s="122" t="s">
        <v>1838</v>
      </c>
      <c r="AD2479" s="123">
        <f t="shared" si="254"/>
        <v>0.21856053800000003</v>
      </c>
    </row>
    <row r="2480" spans="1:30" ht="12.75" hidden="1" customHeight="1">
      <c r="A2480" s="125" t="str">
        <f t="shared" si="250"/>
        <v>LIC38Other Expenses-DDP</v>
      </c>
      <c r="B2480" s="125">
        <f>+IFERROR(VLOOKUP(L2480,'TB mapping'!A:D,4,0),0)</f>
        <v>0</v>
      </c>
      <c r="C2480" s="125">
        <f>+IFERROR(VLOOKUP(L2480,'TB mapping'!A:C,3,0),0)</f>
        <v>6.3</v>
      </c>
      <c r="D2480" s="125" t="str">
        <f t="shared" si="251"/>
        <v>LIC380</v>
      </c>
      <c r="E2480" s="125" t="str">
        <f t="shared" si="252"/>
        <v>LIC386.3</v>
      </c>
      <c r="F2480" s="158" t="str">
        <f>+VLOOKUP(H2480,'code mapping'!A:C,3,0)</f>
        <v>LIC38</v>
      </c>
      <c r="G2480" s="127" t="s">
        <v>453</v>
      </c>
      <c r="H2480" s="127" t="s">
        <v>766</v>
      </c>
      <c r="I2480" s="127" t="s">
        <v>767</v>
      </c>
      <c r="J2480" s="128">
        <v>550000</v>
      </c>
      <c r="K2480" s="127" t="s">
        <v>550</v>
      </c>
      <c r="L2480" s="151">
        <v>553330</v>
      </c>
      <c r="M2480" s="128">
        <v>0</v>
      </c>
      <c r="N2480" s="127" t="s">
        <v>568</v>
      </c>
      <c r="O2480" s="127" t="s">
        <v>457</v>
      </c>
      <c r="P2480" s="128">
        <v>-2411.39</v>
      </c>
      <c r="Q2480" s="128">
        <v>0</v>
      </c>
      <c r="R2480" s="128">
        <v>0</v>
      </c>
      <c r="S2480" s="128">
        <v>0</v>
      </c>
      <c r="T2480" s="128">
        <v>-2411.39</v>
      </c>
      <c r="U2480" s="128">
        <v>0</v>
      </c>
      <c r="V2480" s="128">
        <v>-2411.39</v>
      </c>
      <c r="W2480" s="128">
        <v>0</v>
      </c>
      <c r="X2480" s="128">
        <v>0</v>
      </c>
      <c r="Y2480" s="128">
        <v>0</v>
      </c>
      <c r="Z2480" s="128">
        <v>-2411.39</v>
      </c>
      <c r="AA2480" s="128">
        <v>0</v>
      </c>
      <c r="AB2480" s="126">
        <f t="shared" si="253"/>
        <v>2.41139E-4</v>
      </c>
      <c r="AC2480" s="122" t="s">
        <v>1838</v>
      </c>
      <c r="AD2480" s="123">
        <f t="shared" si="254"/>
        <v>0.21856053800000003</v>
      </c>
    </row>
    <row r="2481" spans="1:30" ht="12.75" hidden="1" customHeight="1">
      <c r="A2481" s="125" t="str">
        <f t="shared" si="250"/>
        <v>LIC38Inv Educ Fund Expense - Amfi</v>
      </c>
      <c r="B2481" s="125">
        <f>+IFERROR(VLOOKUP(L2481,'TB mapping'!A:D,4,0),0)</f>
        <v>0</v>
      </c>
      <c r="C2481" s="125">
        <f>+IFERROR(VLOOKUP(L2481,'TB mapping'!A:C,3,0),0)</f>
        <v>6.3</v>
      </c>
      <c r="D2481" s="125" t="str">
        <f t="shared" si="251"/>
        <v>LIC380</v>
      </c>
      <c r="E2481" s="125" t="str">
        <f t="shared" si="252"/>
        <v>LIC386.3</v>
      </c>
      <c r="F2481" s="158" t="str">
        <f>+VLOOKUP(H2481,'code mapping'!A:C,3,0)</f>
        <v>LIC38</v>
      </c>
      <c r="G2481" s="127" t="s">
        <v>453</v>
      </c>
      <c r="H2481" s="127" t="s">
        <v>766</v>
      </c>
      <c r="I2481" s="127" t="s">
        <v>767</v>
      </c>
      <c r="J2481" s="128">
        <v>550000</v>
      </c>
      <c r="K2481" s="127" t="s">
        <v>550</v>
      </c>
      <c r="L2481" s="151">
        <v>554526</v>
      </c>
      <c r="M2481" s="128">
        <v>0</v>
      </c>
      <c r="N2481" s="127" t="s">
        <v>569</v>
      </c>
      <c r="O2481" s="127" t="s">
        <v>457</v>
      </c>
      <c r="P2481" s="128">
        <v>-21406.86</v>
      </c>
      <c r="Q2481" s="128">
        <v>0</v>
      </c>
      <c r="R2481" s="128">
        <v>0</v>
      </c>
      <c r="S2481" s="128">
        <v>0</v>
      </c>
      <c r="T2481" s="128">
        <v>-21406.86</v>
      </c>
      <c r="U2481" s="128">
        <v>0</v>
      </c>
      <c r="V2481" s="128">
        <v>-21406.86</v>
      </c>
      <c r="W2481" s="128">
        <v>0</v>
      </c>
      <c r="X2481" s="128">
        <v>0</v>
      </c>
      <c r="Y2481" s="128">
        <v>0</v>
      </c>
      <c r="Z2481" s="128">
        <v>-21406.86</v>
      </c>
      <c r="AA2481" s="128">
        <v>0</v>
      </c>
      <c r="AB2481" s="126">
        <f t="shared" si="253"/>
        <v>2.1406860000000002E-3</v>
      </c>
      <c r="AC2481" s="122" t="s">
        <v>1838</v>
      </c>
      <c r="AD2481" s="123">
        <f t="shared" si="254"/>
        <v>0.21856053800000003</v>
      </c>
    </row>
    <row r="2482" spans="1:30" ht="12.75" hidden="1" customHeight="1">
      <c r="A2482" s="125" t="str">
        <f t="shared" si="250"/>
        <v>LIC38Transaction Processing Charges</v>
      </c>
      <c r="B2482" s="125">
        <f>+IFERROR(VLOOKUP(L2482,'TB mapping'!A:D,4,0),0)</f>
        <v>0</v>
      </c>
      <c r="C2482" s="125">
        <f>+IFERROR(VLOOKUP(L2482,'TB mapping'!A:C,3,0),0)</f>
        <v>6.3</v>
      </c>
      <c r="D2482" s="125" t="str">
        <f t="shared" si="251"/>
        <v>LIC380</v>
      </c>
      <c r="E2482" s="125" t="str">
        <f t="shared" si="252"/>
        <v>LIC386.3</v>
      </c>
      <c r="F2482" s="158" t="str">
        <f>+VLOOKUP(H2482,'code mapping'!A:C,3,0)</f>
        <v>LIC38</v>
      </c>
      <c r="G2482" s="127" t="s">
        <v>453</v>
      </c>
      <c r="H2482" s="127" t="s">
        <v>766</v>
      </c>
      <c r="I2482" s="127" t="s">
        <v>767</v>
      </c>
      <c r="J2482" s="128">
        <v>550000</v>
      </c>
      <c r="K2482" s="127" t="s">
        <v>550</v>
      </c>
      <c r="L2482" s="151">
        <v>554527</v>
      </c>
      <c r="M2482" s="128">
        <v>0</v>
      </c>
      <c r="N2482" s="127" t="s">
        <v>570</v>
      </c>
      <c r="O2482" s="127" t="s">
        <v>457</v>
      </c>
      <c r="P2482" s="128">
        <v>-260</v>
      </c>
      <c r="Q2482" s="128">
        <v>0</v>
      </c>
      <c r="R2482" s="128">
        <v>0</v>
      </c>
      <c r="S2482" s="128">
        <v>0</v>
      </c>
      <c r="T2482" s="128">
        <v>-260</v>
      </c>
      <c r="U2482" s="128">
        <v>0</v>
      </c>
      <c r="V2482" s="128">
        <v>-260</v>
      </c>
      <c r="W2482" s="128">
        <v>0</v>
      </c>
      <c r="X2482" s="128">
        <v>0</v>
      </c>
      <c r="Y2482" s="128">
        <v>0</v>
      </c>
      <c r="Z2482" s="128">
        <v>-260</v>
      </c>
      <c r="AA2482" s="128">
        <v>0</v>
      </c>
      <c r="AB2482" s="126">
        <f t="shared" si="253"/>
        <v>2.5999999999999998E-5</v>
      </c>
      <c r="AC2482" s="122" t="s">
        <v>1838</v>
      </c>
      <c r="AD2482" s="123">
        <f t="shared" si="254"/>
        <v>0.21856053800000003</v>
      </c>
    </row>
    <row r="2483" spans="1:30" ht="12.75" hidden="1" customHeight="1">
      <c r="A2483" s="125" t="str">
        <f t="shared" si="250"/>
        <v>LIC38Client Servicing Expenes</v>
      </c>
      <c r="B2483" s="125">
        <f>+IFERROR(VLOOKUP(L2483,'TB mapping'!A:D,4,0),0)</f>
        <v>0</v>
      </c>
      <c r="C2483" s="125">
        <f>+IFERROR(VLOOKUP(L2483,'TB mapping'!A:C,3,0),0)</f>
        <v>6.3</v>
      </c>
      <c r="D2483" s="125" t="str">
        <f t="shared" si="251"/>
        <v>LIC380</v>
      </c>
      <c r="E2483" s="125" t="str">
        <f t="shared" si="252"/>
        <v>LIC386.3</v>
      </c>
      <c r="F2483" s="158" t="str">
        <f>+VLOOKUP(H2483,'code mapping'!A:C,3,0)</f>
        <v>LIC38</v>
      </c>
      <c r="G2483" s="127" t="s">
        <v>453</v>
      </c>
      <c r="H2483" s="127" t="s">
        <v>766</v>
      </c>
      <c r="I2483" s="127" t="s">
        <v>767</v>
      </c>
      <c r="J2483" s="128">
        <v>550000</v>
      </c>
      <c r="K2483" s="127" t="s">
        <v>550</v>
      </c>
      <c r="L2483" s="151">
        <v>555157</v>
      </c>
      <c r="M2483" s="128">
        <v>0</v>
      </c>
      <c r="N2483" s="127" t="s">
        <v>571</v>
      </c>
      <c r="O2483" s="127" t="s">
        <v>457</v>
      </c>
      <c r="P2483" s="128">
        <v>-384897.39</v>
      </c>
      <c r="Q2483" s="128">
        <v>0</v>
      </c>
      <c r="R2483" s="128">
        <v>0</v>
      </c>
      <c r="S2483" s="128">
        <v>0</v>
      </c>
      <c r="T2483" s="128">
        <v>-384897.39</v>
      </c>
      <c r="U2483" s="128">
        <v>0</v>
      </c>
      <c r="V2483" s="128">
        <v>-384897.39</v>
      </c>
      <c r="W2483" s="128">
        <v>0</v>
      </c>
      <c r="X2483" s="128">
        <v>0</v>
      </c>
      <c r="Y2483" s="128">
        <v>0</v>
      </c>
      <c r="Z2483" s="128">
        <v>-384897.39</v>
      </c>
      <c r="AA2483" s="128">
        <v>0</v>
      </c>
      <c r="AB2483" s="126">
        <f t="shared" si="253"/>
        <v>3.8489739000000002E-2</v>
      </c>
      <c r="AC2483" s="122" t="s">
        <v>1838</v>
      </c>
      <c r="AD2483" s="123">
        <f t="shared" si="254"/>
        <v>0.21856053800000003</v>
      </c>
    </row>
    <row r="2484" spans="1:30" ht="12.75" hidden="1" customHeight="1">
      <c r="A2484" s="125" t="str">
        <f t="shared" si="250"/>
        <v>LIC38Management Fee-Reclassfication</v>
      </c>
      <c r="B2484" s="125">
        <f>+IFERROR(VLOOKUP(L2484,'TB mapping'!A:D,4,0),0)</f>
        <v>6.1</v>
      </c>
      <c r="C2484" s="125">
        <f>+IFERROR(VLOOKUP(L2484,'TB mapping'!A:C,3,0),0)</f>
        <v>6.3</v>
      </c>
      <c r="D2484" s="125" t="str">
        <f t="shared" si="251"/>
        <v>LIC386.1</v>
      </c>
      <c r="E2484" s="125" t="str">
        <f t="shared" si="252"/>
        <v>LIC386.3</v>
      </c>
      <c r="F2484" s="158" t="str">
        <f>+VLOOKUP(H2484,'code mapping'!A:C,3,0)</f>
        <v>LIC38</v>
      </c>
      <c r="G2484" s="127" t="s">
        <v>453</v>
      </c>
      <c r="H2484" s="127" t="s">
        <v>766</v>
      </c>
      <c r="I2484" s="127" t="s">
        <v>767</v>
      </c>
      <c r="J2484" s="128">
        <v>550000</v>
      </c>
      <c r="K2484" s="127" t="s">
        <v>550</v>
      </c>
      <c r="L2484" s="151">
        <v>555274</v>
      </c>
      <c r="M2484" s="128">
        <v>0</v>
      </c>
      <c r="N2484" s="127" t="s">
        <v>583</v>
      </c>
      <c r="O2484" s="127" t="s">
        <v>457</v>
      </c>
      <c r="P2484" s="128">
        <v>-402542.61</v>
      </c>
      <c r="Q2484" s="128">
        <v>0</v>
      </c>
      <c r="R2484" s="128">
        <v>0</v>
      </c>
      <c r="S2484" s="128">
        <v>0</v>
      </c>
      <c r="T2484" s="128">
        <v>-402542.61</v>
      </c>
      <c r="U2484" s="128">
        <v>0</v>
      </c>
      <c r="V2484" s="128">
        <v>-402542.61</v>
      </c>
      <c r="W2484" s="128">
        <v>0</v>
      </c>
      <c r="X2484" s="128">
        <v>0</v>
      </c>
      <c r="Y2484" s="128">
        <v>0</v>
      </c>
      <c r="Z2484" s="128">
        <v>-402542.61</v>
      </c>
      <c r="AA2484" s="128">
        <v>0</v>
      </c>
      <c r="AB2484" s="126">
        <f t="shared" si="253"/>
        <v>4.0254261E-2</v>
      </c>
      <c r="AC2484" s="122" t="s">
        <v>1838</v>
      </c>
      <c r="AD2484" s="123">
        <f t="shared" si="254"/>
        <v>0.21856053800000003</v>
      </c>
    </row>
    <row r="2485" spans="1:30" ht="12.75" hidden="1" customHeight="1">
      <c r="A2485" s="125" t="str">
        <f t="shared" si="250"/>
        <v>LIC38Brokerage_Indirect_Reclassify</v>
      </c>
      <c r="B2485" s="125">
        <f>+IFERROR(VLOOKUP(L2485,'TB mapping'!A:D,4,0),0)</f>
        <v>0</v>
      </c>
      <c r="C2485" s="125">
        <f>+IFERROR(VLOOKUP(L2485,'TB mapping'!A:C,3,0),0)</f>
        <v>6.3</v>
      </c>
      <c r="D2485" s="125" t="str">
        <f t="shared" si="251"/>
        <v>LIC380</v>
      </c>
      <c r="E2485" s="125" t="str">
        <f t="shared" si="252"/>
        <v>LIC386.3</v>
      </c>
      <c r="F2485" s="158" t="str">
        <f>+VLOOKUP(H2485,'code mapping'!A:C,3,0)</f>
        <v>LIC38</v>
      </c>
      <c r="G2485" s="127" t="s">
        <v>453</v>
      </c>
      <c r="H2485" s="127" t="s">
        <v>766</v>
      </c>
      <c r="I2485" s="127" t="s">
        <v>767</v>
      </c>
      <c r="J2485" s="128">
        <v>550000</v>
      </c>
      <c r="K2485" s="127" t="s">
        <v>550</v>
      </c>
      <c r="L2485" s="151">
        <v>555275</v>
      </c>
      <c r="M2485" s="128">
        <v>0</v>
      </c>
      <c r="N2485" s="127" t="s">
        <v>600</v>
      </c>
      <c r="O2485" s="127" t="s">
        <v>457</v>
      </c>
      <c r="P2485" s="128">
        <v>0</v>
      </c>
      <c r="Q2485" s="128">
        <v>25000</v>
      </c>
      <c r="R2485" s="128">
        <v>0</v>
      </c>
      <c r="S2485" s="128">
        <v>0</v>
      </c>
      <c r="T2485" s="128">
        <v>0</v>
      </c>
      <c r="U2485" s="128">
        <v>25000</v>
      </c>
      <c r="V2485" s="128">
        <v>0</v>
      </c>
      <c r="W2485" s="128">
        <v>25000</v>
      </c>
      <c r="X2485" s="128">
        <v>0</v>
      </c>
      <c r="Y2485" s="128">
        <v>0</v>
      </c>
      <c r="Z2485" s="128">
        <v>0</v>
      </c>
      <c r="AA2485" s="128">
        <v>25000</v>
      </c>
      <c r="AB2485" s="126">
        <f t="shared" si="253"/>
        <v>-2.5000000000000001E-3</v>
      </c>
      <c r="AC2485" s="122" t="s">
        <v>1838</v>
      </c>
      <c r="AD2485" s="123">
        <f t="shared" si="254"/>
        <v>0.21856053800000003</v>
      </c>
    </row>
    <row r="2486" spans="1:30" ht="12.75" hidden="1" customHeight="1">
      <c r="A2486" s="125" t="str">
        <f t="shared" si="250"/>
        <v>LIC38CGST on Reclassify of Exp</v>
      </c>
      <c r="B2486" s="125">
        <f>+IFERROR(VLOOKUP(L2486,'TB mapping'!A:D,4,0),0)</f>
        <v>0</v>
      </c>
      <c r="C2486" s="125">
        <f>+IFERROR(VLOOKUP(L2486,'TB mapping'!A:C,3,0),0)</f>
        <v>6.3</v>
      </c>
      <c r="D2486" s="125" t="str">
        <f t="shared" si="251"/>
        <v>LIC380</v>
      </c>
      <c r="E2486" s="125" t="str">
        <f t="shared" si="252"/>
        <v>LIC386.3</v>
      </c>
      <c r="F2486" s="158" t="str">
        <f>+VLOOKUP(H2486,'code mapping'!A:C,3,0)</f>
        <v>LIC38</v>
      </c>
      <c r="G2486" s="127" t="s">
        <v>453</v>
      </c>
      <c r="H2486" s="127" t="s">
        <v>766</v>
      </c>
      <c r="I2486" s="127" t="s">
        <v>767</v>
      </c>
      <c r="J2486" s="128">
        <v>550000</v>
      </c>
      <c r="K2486" s="127" t="s">
        <v>550</v>
      </c>
      <c r="L2486" s="151">
        <v>555276</v>
      </c>
      <c r="M2486" s="128">
        <v>0</v>
      </c>
      <c r="N2486" s="127" t="s">
        <v>572</v>
      </c>
      <c r="O2486" s="127" t="s">
        <v>457</v>
      </c>
      <c r="P2486" s="128">
        <v>-13347.46</v>
      </c>
      <c r="Q2486" s="128">
        <v>0</v>
      </c>
      <c r="R2486" s="128">
        <v>0</v>
      </c>
      <c r="S2486" s="128">
        <v>0</v>
      </c>
      <c r="T2486" s="128">
        <v>-13347.46</v>
      </c>
      <c r="U2486" s="128">
        <v>0</v>
      </c>
      <c r="V2486" s="128">
        <v>-13347.46</v>
      </c>
      <c r="W2486" s="128">
        <v>0</v>
      </c>
      <c r="X2486" s="128">
        <v>0</v>
      </c>
      <c r="Y2486" s="128">
        <v>0</v>
      </c>
      <c r="Z2486" s="128">
        <v>-13347.46</v>
      </c>
      <c r="AA2486" s="128">
        <v>0</v>
      </c>
      <c r="AB2486" s="126">
        <f t="shared" si="253"/>
        <v>1.3347459999999999E-3</v>
      </c>
      <c r="AC2486" s="122" t="s">
        <v>1838</v>
      </c>
      <c r="AD2486" s="123">
        <f t="shared" si="254"/>
        <v>0.21856053800000003</v>
      </c>
    </row>
    <row r="2487" spans="1:30" ht="12.75" hidden="1" customHeight="1">
      <c r="A2487" s="125" t="str">
        <f t="shared" si="250"/>
        <v>LIC38SGST on Reclassify of Exp</v>
      </c>
      <c r="B2487" s="125">
        <f>+IFERROR(VLOOKUP(L2487,'TB mapping'!A:D,4,0),0)</f>
        <v>0</v>
      </c>
      <c r="C2487" s="125">
        <f>+IFERROR(VLOOKUP(L2487,'TB mapping'!A:C,3,0),0)</f>
        <v>6.3</v>
      </c>
      <c r="D2487" s="125" t="str">
        <f t="shared" si="251"/>
        <v>LIC380</v>
      </c>
      <c r="E2487" s="125" t="str">
        <f t="shared" si="252"/>
        <v>LIC386.3</v>
      </c>
      <c r="F2487" s="158" t="str">
        <f>+VLOOKUP(H2487,'code mapping'!A:C,3,0)</f>
        <v>LIC38</v>
      </c>
      <c r="G2487" s="127" t="s">
        <v>453</v>
      </c>
      <c r="H2487" s="127" t="s">
        <v>766</v>
      </c>
      <c r="I2487" s="127" t="s">
        <v>767</v>
      </c>
      <c r="J2487" s="128">
        <v>550000</v>
      </c>
      <c r="K2487" s="127" t="s">
        <v>550</v>
      </c>
      <c r="L2487" s="151">
        <v>555277</v>
      </c>
      <c r="M2487" s="128">
        <v>0</v>
      </c>
      <c r="N2487" s="127" t="s">
        <v>573</v>
      </c>
      <c r="O2487" s="127" t="s">
        <v>457</v>
      </c>
      <c r="P2487" s="128">
        <v>-13347.46</v>
      </c>
      <c r="Q2487" s="128">
        <v>0</v>
      </c>
      <c r="R2487" s="128">
        <v>0</v>
      </c>
      <c r="S2487" s="128">
        <v>0</v>
      </c>
      <c r="T2487" s="128">
        <v>-13347.46</v>
      </c>
      <c r="U2487" s="128">
        <v>0</v>
      </c>
      <c r="V2487" s="128">
        <v>-13347.46</v>
      </c>
      <c r="W2487" s="128">
        <v>0</v>
      </c>
      <c r="X2487" s="128">
        <v>0</v>
      </c>
      <c r="Y2487" s="128">
        <v>0</v>
      </c>
      <c r="Z2487" s="128">
        <v>-13347.46</v>
      </c>
      <c r="AA2487" s="128">
        <v>0</v>
      </c>
      <c r="AB2487" s="126">
        <f t="shared" si="253"/>
        <v>1.3347459999999999E-3</v>
      </c>
      <c r="AC2487" s="122" t="s">
        <v>1838</v>
      </c>
      <c r="AD2487" s="123">
        <f t="shared" si="254"/>
        <v>0.21856053800000003</v>
      </c>
    </row>
    <row r="2488" spans="1:30" ht="12.75" hidden="1" customHeight="1">
      <c r="A2488" s="125" t="str">
        <f t="shared" si="250"/>
        <v>LIC38Other Expense-Reclassfication</v>
      </c>
      <c r="B2488" s="125">
        <f>+IFERROR(VLOOKUP(L2488,'TB mapping'!A:D,4,0),0)</f>
        <v>0</v>
      </c>
      <c r="C2488" s="125">
        <f>+IFERROR(VLOOKUP(L2488,'TB mapping'!A:C,3,0),0)</f>
        <v>0</v>
      </c>
      <c r="D2488" s="125" t="str">
        <f t="shared" si="251"/>
        <v>LIC380</v>
      </c>
      <c r="E2488" s="125" t="str">
        <f t="shared" si="252"/>
        <v>LIC380</v>
      </c>
      <c r="F2488" s="158" t="str">
        <f>+VLOOKUP(H2488,'code mapping'!A:C,3,0)</f>
        <v>LIC38</v>
      </c>
      <c r="G2488" s="127" t="s">
        <v>453</v>
      </c>
      <c r="H2488" s="127" t="s">
        <v>766</v>
      </c>
      <c r="I2488" s="127" t="s">
        <v>767</v>
      </c>
      <c r="J2488" s="128">
        <v>550000</v>
      </c>
      <c r="K2488" s="127" t="s">
        <v>550</v>
      </c>
      <c r="L2488" s="151">
        <v>555280</v>
      </c>
      <c r="M2488" s="128">
        <v>0</v>
      </c>
      <c r="N2488" s="127" t="s">
        <v>1590</v>
      </c>
      <c r="O2488" s="127" t="s">
        <v>457</v>
      </c>
      <c r="P2488" s="128">
        <v>0</v>
      </c>
      <c r="Q2488" s="128">
        <v>100000</v>
      </c>
      <c r="R2488" s="128">
        <v>0</v>
      </c>
      <c r="S2488" s="128">
        <v>0</v>
      </c>
      <c r="T2488" s="128">
        <v>0</v>
      </c>
      <c r="U2488" s="128">
        <v>100000</v>
      </c>
      <c r="V2488" s="128">
        <v>0</v>
      </c>
      <c r="W2488" s="128">
        <v>100000</v>
      </c>
      <c r="X2488" s="128">
        <v>0</v>
      </c>
      <c r="Y2488" s="128">
        <v>0</v>
      </c>
      <c r="Z2488" s="128">
        <v>0</v>
      </c>
      <c r="AA2488" s="128">
        <v>100000</v>
      </c>
      <c r="AB2488" s="126">
        <f t="shared" si="253"/>
        <v>-0.01</v>
      </c>
      <c r="AC2488" s="122" t="s">
        <v>1838</v>
      </c>
      <c r="AD2488" s="123">
        <f>SUMIF(C:C,C2488,AB:AB)</f>
        <v>1983.9723217250009</v>
      </c>
    </row>
    <row r="2489" spans="1:30" ht="12.75" hidden="1" customHeight="1">
      <c r="A2489" s="125" t="str">
        <f t="shared" ref="A2489:A2552" si="255">+F2489&amp;N2489</f>
        <v>LIC38CGST on Mfees</v>
      </c>
      <c r="B2489" s="125">
        <f>+IFERROR(VLOOKUP(L2489,'TB mapping'!A:D,4,0),0)</f>
        <v>6.1</v>
      </c>
      <c r="C2489" s="125">
        <f>+IFERROR(VLOOKUP(L2489,'TB mapping'!A:C,3,0),0)</f>
        <v>6.3</v>
      </c>
      <c r="D2489" s="125" t="str">
        <f t="shared" ref="D2489:D2552" si="256">+F2489&amp;B2489</f>
        <v>LIC386.1</v>
      </c>
      <c r="E2489" s="125" t="str">
        <f t="shared" ref="E2489:E2552" si="257">+F2489&amp;C2489</f>
        <v>LIC386.3</v>
      </c>
      <c r="F2489" s="158" t="str">
        <f>+VLOOKUP(H2489,'code mapping'!A:C,3,0)</f>
        <v>LIC38</v>
      </c>
      <c r="G2489" s="127" t="s">
        <v>453</v>
      </c>
      <c r="H2489" s="127" t="s">
        <v>766</v>
      </c>
      <c r="I2489" s="127" t="s">
        <v>767</v>
      </c>
      <c r="J2489" s="128">
        <v>550000</v>
      </c>
      <c r="K2489" s="127" t="s">
        <v>550</v>
      </c>
      <c r="L2489" s="151">
        <v>555597</v>
      </c>
      <c r="M2489" s="128">
        <v>0</v>
      </c>
      <c r="N2489" s="127" t="s">
        <v>574</v>
      </c>
      <c r="O2489" s="127" t="s">
        <v>457</v>
      </c>
      <c r="P2489" s="128">
        <v>-59295.41</v>
      </c>
      <c r="Q2489" s="128">
        <v>0</v>
      </c>
      <c r="R2489" s="128">
        <v>0</v>
      </c>
      <c r="S2489" s="128">
        <v>0</v>
      </c>
      <c r="T2489" s="128">
        <v>-59295.41</v>
      </c>
      <c r="U2489" s="128">
        <v>0</v>
      </c>
      <c r="V2489" s="128">
        <v>-59295.41</v>
      </c>
      <c r="W2489" s="128">
        <v>0</v>
      </c>
      <c r="X2489" s="128">
        <v>0</v>
      </c>
      <c r="Y2489" s="128">
        <v>0</v>
      </c>
      <c r="Z2489" s="128">
        <v>-59295.41</v>
      </c>
      <c r="AA2489" s="128">
        <v>0</v>
      </c>
      <c r="AB2489" s="126">
        <f t="shared" ref="AB2489:AB2552" si="258">SUM(-Z2489-AA2489)/10^7</f>
        <v>5.929541E-3</v>
      </c>
      <c r="AC2489" s="122" t="s">
        <v>1838</v>
      </c>
      <c r="AD2489" s="123">
        <f t="shared" ref="AD2489:AD2498" si="259">SUMIF(E:E,E2489,AB:AB)</f>
        <v>0.21856053800000003</v>
      </c>
    </row>
    <row r="2490" spans="1:30" ht="12.75" hidden="1" customHeight="1">
      <c r="A2490" s="125" t="str">
        <f t="shared" si="255"/>
        <v>LIC38SGST on Mfees</v>
      </c>
      <c r="B2490" s="125">
        <f>+IFERROR(VLOOKUP(L2490,'TB mapping'!A:D,4,0),0)</f>
        <v>6.1</v>
      </c>
      <c r="C2490" s="125">
        <f>+IFERROR(VLOOKUP(L2490,'TB mapping'!A:C,3,0),0)</f>
        <v>6.3</v>
      </c>
      <c r="D2490" s="125" t="str">
        <f t="shared" si="256"/>
        <v>LIC386.1</v>
      </c>
      <c r="E2490" s="125" t="str">
        <f t="shared" si="257"/>
        <v>LIC386.3</v>
      </c>
      <c r="F2490" s="158" t="str">
        <f>+VLOOKUP(H2490,'code mapping'!A:C,3,0)</f>
        <v>LIC38</v>
      </c>
      <c r="G2490" s="127" t="s">
        <v>453</v>
      </c>
      <c r="H2490" s="127" t="s">
        <v>766</v>
      </c>
      <c r="I2490" s="127" t="s">
        <v>767</v>
      </c>
      <c r="J2490" s="128">
        <v>550000</v>
      </c>
      <c r="K2490" s="127" t="s">
        <v>550</v>
      </c>
      <c r="L2490" s="151">
        <v>555598</v>
      </c>
      <c r="M2490" s="128">
        <v>0</v>
      </c>
      <c r="N2490" s="127" t="s">
        <v>575</v>
      </c>
      <c r="O2490" s="127" t="s">
        <v>457</v>
      </c>
      <c r="P2490" s="128">
        <v>-59295.42</v>
      </c>
      <c r="Q2490" s="128">
        <v>0</v>
      </c>
      <c r="R2490" s="128">
        <v>0</v>
      </c>
      <c r="S2490" s="128">
        <v>0</v>
      </c>
      <c r="T2490" s="128">
        <v>-59295.42</v>
      </c>
      <c r="U2490" s="128">
        <v>0</v>
      </c>
      <c r="V2490" s="128">
        <v>-59295.42</v>
      </c>
      <c r="W2490" s="128">
        <v>0</v>
      </c>
      <c r="X2490" s="128">
        <v>0</v>
      </c>
      <c r="Y2490" s="128">
        <v>0</v>
      </c>
      <c r="Z2490" s="128">
        <v>-59295.42</v>
      </c>
      <c r="AA2490" s="128">
        <v>0</v>
      </c>
      <c r="AB2490" s="126">
        <f t="shared" si="258"/>
        <v>5.9295419999999995E-3</v>
      </c>
      <c r="AC2490" s="122" t="s">
        <v>1838</v>
      </c>
      <c r="AD2490" s="123">
        <f t="shared" si="259"/>
        <v>0.21856053800000003</v>
      </c>
    </row>
    <row r="2491" spans="1:30" ht="12.75" hidden="1" customHeight="1">
      <c r="A2491" s="125" t="str">
        <f t="shared" si="255"/>
        <v>LIC38CGST on Mfees -GDP</v>
      </c>
      <c r="B2491" s="125">
        <f>+IFERROR(VLOOKUP(L2491,'TB mapping'!A:D,4,0),0)</f>
        <v>6.1</v>
      </c>
      <c r="C2491" s="125">
        <f>+IFERROR(VLOOKUP(L2491,'TB mapping'!A:C,3,0),0)</f>
        <v>6.3</v>
      </c>
      <c r="D2491" s="125" t="str">
        <f t="shared" si="256"/>
        <v>LIC386.1</v>
      </c>
      <c r="E2491" s="125" t="str">
        <f t="shared" si="257"/>
        <v>LIC386.3</v>
      </c>
      <c r="F2491" s="158" t="str">
        <f>+VLOOKUP(H2491,'code mapping'!A:C,3,0)</f>
        <v>LIC38</v>
      </c>
      <c r="G2491" s="127" t="s">
        <v>453</v>
      </c>
      <c r="H2491" s="127" t="s">
        <v>766</v>
      </c>
      <c r="I2491" s="127" t="s">
        <v>767</v>
      </c>
      <c r="J2491" s="128">
        <v>550000</v>
      </c>
      <c r="K2491" s="127" t="s">
        <v>550</v>
      </c>
      <c r="L2491" s="151">
        <v>555599</v>
      </c>
      <c r="M2491" s="128">
        <v>0</v>
      </c>
      <c r="N2491" s="127" t="s">
        <v>576</v>
      </c>
      <c r="O2491" s="127" t="s">
        <v>457</v>
      </c>
      <c r="P2491" s="128">
        <v>0</v>
      </c>
      <c r="Q2491" s="128">
        <v>210.59</v>
      </c>
      <c r="R2491" s="128">
        <v>0</v>
      </c>
      <c r="S2491" s="128">
        <v>0</v>
      </c>
      <c r="T2491" s="128">
        <v>0</v>
      </c>
      <c r="U2491" s="128">
        <v>210.59</v>
      </c>
      <c r="V2491" s="128">
        <v>0</v>
      </c>
      <c r="W2491" s="128">
        <v>210.59</v>
      </c>
      <c r="X2491" s="128">
        <v>0</v>
      </c>
      <c r="Y2491" s="128">
        <v>0</v>
      </c>
      <c r="Z2491" s="128">
        <v>0</v>
      </c>
      <c r="AA2491" s="128">
        <v>210.59</v>
      </c>
      <c r="AB2491" s="126">
        <f t="shared" si="258"/>
        <v>-2.1058999999999999E-5</v>
      </c>
      <c r="AC2491" s="122" t="s">
        <v>1838</v>
      </c>
      <c r="AD2491" s="123">
        <f t="shared" si="259"/>
        <v>0.21856053800000003</v>
      </c>
    </row>
    <row r="2492" spans="1:30" ht="12.75" hidden="1" customHeight="1">
      <c r="A2492" s="125" t="str">
        <f t="shared" si="255"/>
        <v>LIC38SGST on Mfees -GDP</v>
      </c>
      <c r="B2492" s="125">
        <f>+IFERROR(VLOOKUP(L2492,'TB mapping'!A:D,4,0),0)</f>
        <v>6.1</v>
      </c>
      <c r="C2492" s="125">
        <f>+IFERROR(VLOOKUP(L2492,'TB mapping'!A:C,3,0),0)</f>
        <v>6.3</v>
      </c>
      <c r="D2492" s="125" t="str">
        <f t="shared" si="256"/>
        <v>LIC386.1</v>
      </c>
      <c r="E2492" s="125" t="str">
        <f t="shared" si="257"/>
        <v>LIC386.3</v>
      </c>
      <c r="F2492" s="158" t="str">
        <f>+VLOOKUP(H2492,'code mapping'!A:C,3,0)</f>
        <v>LIC38</v>
      </c>
      <c r="G2492" s="127" t="s">
        <v>453</v>
      </c>
      <c r="H2492" s="127" t="s">
        <v>766</v>
      </c>
      <c r="I2492" s="127" t="s">
        <v>767</v>
      </c>
      <c r="J2492" s="128">
        <v>550000</v>
      </c>
      <c r="K2492" s="127" t="s">
        <v>550</v>
      </c>
      <c r="L2492" s="151">
        <v>555600</v>
      </c>
      <c r="M2492" s="128">
        <v>0</v>
      </c>
      <c r="N2492" s="127" t="s">
        <v>577</v>
      </c>
      <c r="O2492" s="127" t="s">
        <v>457</v>
      </c>
      <c r="P2492" s="128">
        <v>0</v>
      </c>
      <c r="Q2492" s="128">
        <v>210.6</v>
      </c>
      <c r="R2492" s="128">
        <v>0</v>
      </c>
      <c r="S2492" s="128">
        <v>0</v>
      </c>
      <c r="T2492" s="128">
        <v>0</v>
      </c>
      <c r="U2492" s="128">
        <v>210.6</v>
      </c>
      <c r="V2492" s="128">
        <v>0</v>
      </c>
      <c r="W2492" s="128">
        <v>210.6</v>
      </c>
      <c r="X2492" s="128">
        <v>0</v>
      </c>
      <c r="Y2492" s="128">
        <v>0</v>
      </c>
      <c r="Z2492" s="128">
        <v>0</v>
      </c>
      <c r="AA2492" s="128">
        <v>210.6</v>
      </c>
      <c r="AB2492" s="126">
        <f t="shared" si="258"/>
        <v>-2.1059999999999998E-5</v>
      </c>
      <c r="AC2492" s="122" t="s">
        <v>1838</v>
      </c>
      <c r="AD2492" s="123">
        <f t="shared" si="259"/>
        <v>0.21856053800000003</v>
      </c>
    </row>
    <row r="2493" spans="1:30" ht="12.75" hidden="1" customHeight="1">
      <c r="A2493" s="125" t="str">
        <f t="shared" si="255"/>
        <v>LIC38Operating Expenses</v>
      </c>
      <c r="B2493" s="125">
        <f>+IFERROR(VLOOKUP(L2493,'TB mapping'!A:D,4,0),0)</f>
        <v>0</v>
      </c>
      <c r="C2493" s="125">
        <f>+IFERROR(VLOOKUP(L2493,'TB mapping'!A:C,3,0),0)</f>
        <v>6.3</v>
      </c>
      <c r="D2493" s="125" t="str">
        <f t="shared" si="256"/>
        <v>LIC380</v>
      </c>
      <c r="E2493" s="125" t="str">
        <f t="shared" si="257"/>
        <v>LIC386.3</v>
      </c>
      <c r="F2493" s="158" t="str">
        <f>+VLOOKUP(H2493,'code mapping'!A:C,3,0)</f>
        <v>LIC38</v>
      </c>
      <c r="G2493" s="127" t="s">
        <v>453</v>
      </c>
      <c r="H2493" s="127" t="s">
        <v>766</v>
      </c>
      <c r="I2493" s="127" t="s">
        <v>767</v>
      </c>
      <c r="J2493" s="128">
        <v>550000</v>
      </c>
      <c r="K2493" s="127" t="s">
        <v>550</v>
      </c>
      <c r="L2493" s="151">
        <v>556421</v>
      </c>
      <c r="M2493" s="128">
        <v>0</v>
      </c>
      <c r="N2493" s="127" t="s">
        <v>578</v>
      </c>
      <c r="O2493" s="127" t="s">
        <v>457</v>
      </c>
      <c r="P2493" s="128">
        <v>-5338.25</v>
      </c>
      <c r="Q2493" s="128">
        <v>0</v>
      </c>
      <c r="R2493" s="128">
        <v>0</v>
      </c>
      <c r="S2493" s="128">
        <v>0</v>
      </c>
      <c r="T2493" s="128">
        <v>-5338.25</v>
      </c>
      <c r="U2493" s="128">
        <v>0</v>
      </c>
      <c r="V2493" s="128">
        <v>-5338.25</v>
      </c>
      <c r="W2493" s="128">
        <v>0</v>
      </c>
      <c r="X2493" s="128">
        <v>0</v>
      </c>
      <c r="Y2493" s="128">
        <v>0</v>
      </c>
      <c r="Z2493" s="128">
        <v>-5338.25</v>
      </c>
      <c r="AA2493" s="128">
        <v>0</v>
      </c>
      <c r="AB2493" s="126">
        <f t="shared" si="258"/>
        <v>5.3382500000000003E-4</v>
      </c>
      <c r="AC2493" s="122" t="s">
        <v>1838</v>
      </c>
      <c r="AD2493" s="123">
        <f t="shared" si="259"/>
        <v>0.21856053800000003</v>
      </c>
    </row>
    <row r="2494" spans="1:30" ht="12.75" hidden="1" customHeight="1">
      <c r="A2494" s="125" t="str">
        <f t="shared" si="255"/>
        <v>LIC38Management Fee</v>
      </c>
      <c r="B2494" s="125">
        <f>+IFERROR(VLOOKUP(L2494,'TB mapping'!A:D,4,0),0)</f>
        <v>6.1</v>
      </c>
      <c r="C2494" s="125">
        <f>+IFERROR(VLOOKUP(L2494,'TB mapping'!A:C,3,0),0)</f>
        <v>6.3</v>
      </c>
      <c r="D2494" s="125" t="str">
        <f t="shared" si="256"/>
        <v>LIC386.1</v>
      </c>
      <c r="E2494" s="125" t="str">
        <f t="shared" si="257"/>
        <v>LIC386.3</v>
      </c>
      <c r="F2494" s="158" t="str">
        <f>+VLOOKUP(H2494,'code mapping'!A:C,3,0)</f>
        <v>LIC38</v>
      </c>
      <c r="G2494" s="127" t="s">
        <v>453</v>
      </c>
      <c r="H2494" s="127" t="s">
        <v>766</v>
      </c>
      <c r="I2494" s="127" t="s">
        <v>767</v>
      </c>
      <c r="J2494" s="128">
        <v>555100</v>
      </c>
      <c r="K2494" s="127" t="s">
        <v>579</v>
      </c>
      <c r="L2494" s="151">
        <v>555100</v>
      </c>
      <c r="M2494" s="128">
        <v>0</v>
      </c>
      <c r="N2494" s="127" t="s">
        <v>580</v>
      </c>
      <c r="O2494" s="127" t="s">
        <v>457</v>
      </c>
      <c r="P2494" s="128">
        <v>-204640.74</v>
      </c>
      <c r="Q2494" s="128">
        <v>0</v>
      </c>
      <c r="R2494" s="128">
        <v>0</v>
      </c>
      <c r="S2494" s="128">
        <v>0</v>
      </c>
      <c r="T2494" s="128">
        <v>-204640.74</v>
      </c>
      <c r="U2494" s="128">
        <v>0</v>
      </c>
      <c r="V2494" s="128">
        <v>-204640.74</v>
      </c>
      <c r="W2494" s="128">
        <v>0</v>
      </c>
      <c r="X2494" s="128">
        <v>0</v>
      </c>
      <c r="Y2494" s="128">
        <v>0</v>
      </c>
      <c r="Z2494" s="128">
        <v>-204640.74</v>
      </c>
      <c r="AA2494" s="128">
        <v>0</v>
      </c>
      <c r="AB2494" s="126">
        <f t="shared" si="258"/>
        <v>2.0464073999999999E-2</v>
      </c>
      <c r="AC2494" s="122" t="s">
        <v>1838</v>
      </c>
      <c r="AD2494" s="123">
        <f t="shared" si="259"/>
        <v>0.21856053800000003</v>
      </c>
    </row>
    <row r="2495" spans="1:30" ht="12.75" hidden="1" customHeight="1">
      <c r="A2495" s="125" t="str">
        <f t="shared" si="255"/>
        <v>LIC38Management Fees-RG</v>
      </c>
      <c r="B2495" s="125">
        <f>+IFERROR(VLOOKUP(L2495,'TB mapping'!A:D,4,0),0)</f>
        <v>6.1</v>
      </c>
      <c r="C2495" s="125">
        <f>+IFERROR(VLOOKUP(L2495,'TB mapping'!A:C,3,0),0)</f>
        <v>6.3</v>
      </c>
      <c r="D2495" s="125" t="str">
        <f t="shared" si="256"/>
        <v>LIC386.1</v>
      </c>
      <c r="E2495" s="125" t="str">
        <f t="shared" si="257"/>
        <v>LIC386.3</v>
      </c>
      <c r="F2495" s="158" t="str">
        <f>+VLOOKUP(H2495,'code mapping'!A:C,3,0)</f>
        <v>LIC38</v>
      </c>
      <c r="G2495" s="127" t="s">
        <v>453</v>
      </c>
      <c r="H2495" s="127" t="s">
        <v>766</v>
      </c>
      <c r="I2495" s="127" t="s">
        <v>767</v>
      </c>
      <c r="J2495" s="128">
        <v>555100</v>
      </c>
      <c r="K2495" s="127" t="s">
        <v>579</v>
      </c>
      <c r="L2495" s="151">
        <v>555191</v>
      </c>
      <c r="M2495" s="128">
        <v>0</v>
      </c>
      <c r="N2495" s="127" t="s">
        <v>581</v>
      </c>
      <c r="O2495" s="127" t="s">
        <v>457</v>
      </c>
      <c r="P2495" s="128">
        <v>-144551.6</v>
      </c>
      <c r="Q2495" s="128">
        <v>0</v>
      </c>
      <c r="R2495" s="128">
        <v>0</v>
      </c>
      <c r="S2495" s="128">
        <v>0</v>
      </c>
      <c r="T2495" s="128">
        <v>-144551.6</v>
      </c>
      <c r="U2495" s="128">
        <v>0</v>
      </c>
      <c r="V2495" s="128">
        <v>-144551.6</v>
      </c>
      <c r="W2495" s="128">
        <v>0</v>
      </c>
      <c r="X2495" s="128">
        <v>0</v>
      </c>
      <c r="Y2495" s="128">
        <v>0</v>
      </c>
      <c r="Z2495" s="128">
        <v>-144551.6</v>
      </c>
      <c r="AA2495" s="128">
        <v>0</v>
      </c>
      <c r="AB2495" s="126">
        <f t="shared" si="258"/>
        <v>1.445516E-2</v>
      </c>
      <c r="AC2495" s="122" t="s">
        <v>1838</v>
      </c>
      <c r="AD2495" s="123">
        <f t="shared" si="259"/>
        <v>0.21856053800000003</v>
      </c>
    </row>
    <row r="2496" spans="1:30" ht="12.75" hidden="1" customHeight="1">
      <c r="A2496" s="125" t="str">
        <f t="shared" si="255"/>
        <v>LIC38Management Fees-RD</v>
      </c>
      <c r="B2496" s="125">
        <f>+IFERROR(VLOOKUP(L2496,'TB mapping'!A:D,4,0),0)</f>
        <v>6.1</v>
      </c>
      <c r="C2496" s="125">
        <f>+IFERROR(VLOOKUP(L2496,'TB mapping'!A:C,3,0),0)</f>
        <v>6.3</v>
      </c>
      <c r="D2496" s="125" t="str">
        <f t="shared" si="256"/>
        <v>LIC386.1</v>
      </c>
      <c r="E2496" s="125" t="str">
        <f t="shared" si="257"/>
        <v>LIC386.3</v>
      </c>
      <c r="F2496" s="158" t="str">
        <f>+VLOOKUP(H2496,'code mapping'!A:C,3,0)</f>
        <v>LIC38</v>
      </c>
      <c r="G2496" s="127" t="s">
        <v>453</v>
      </c>
      <c r="H2496" s="127" t="s">
        <v>766</v>
      </c>
      <c r="I2496" s="127" t="s">
        <v>767</v>
      </c>
      <c r="J2496" s="128">
        <v>555100</v>
      </c>
      <c r="K2496" s="127" t="s">
        <v>579</v>
      </c>
      <c r="L2496" s="151">
        <v>555192</v>
      </c>
      <c r="M2496" s="128">
        <v>0</v>
      </c>
      <c r="N2496" s="127" t="s">
        <v>582</v>
      </c>
      <c r="O2496" s="127" t="s">
        <v>457</v>
      </c>
      <c r="P2496" s="128">
        <v>-32707.63</v>
      </c>
      <c r="Q2496" s="128">
        <v>0</v>
      </c>
      <c r="R2496" s="128">
        <v>0</v>
      </c>
      <c r="S2496" s="128">
        <v>0</v>
      </c>
      <c r="T2496" s="128">
        <v>-32707.63</v>
      </c>
      <c r="U2496" s="128">
        <v>0</v>
      </c>
      <c r="V2496" s="128">
        <v>-32707.63</v>
      </c>
      <c r="W2496" s="128">
        <v>0</v>
      </c>
      <c r="X2496" s="128">
        <v>0</v>
      </c>
      <c r="Y2496" s="128">
        <v>0</v>
      </c>
      <c r="Z2496" s="128">
        <v>-32707.63</v>
      </c>
      <c r="AA2496" s="128">
        <v>0</v>
      </c>
      <c r="AB2496" s="126">
        <f t="shared" si="258"/>
        <v>3.2707630000000003E-3</v>
      </c>
      <c r="AC2496" s="122" t="s">
        <v>1838</v>
      </c>
      <c r="AD2496" s="123">
        <f t="shared" si="259"/>
        <v>0.21856053800000003</v>
      </c>
    </row>
    <row r="2497" spans="1:30" ht="12.75" hidden="1" customHeight="1">
      <c r="A2497" s="125" t="str">
        <f t="shared" si="255"/>
        <v>LIC38Management Fees-GDP</v>
      </c>
      <c r="B2497" s="125">
        <f>+IFERROR(VLOOKUP(L2497,'TB mapping'!A:D,4,0),0)</f>
        <v>6.1</v>
      </c>
      <c r="C2497" s="125">
        <f>+IFERROR(VLOOKUP(L2497,'TB mapping'!A:C,3,0),0)</f>
        <v>6.3</v>
      </c>
      <c r="D2497" s="125" t="str">
        <f t="shared" si="256"/>
        <v>LIC386.1</v>
      </c>
      <c r="E2497" s="125" t="str">
        <f t="shared" si="257"/>
        <v>LIC386.3</v>
      </c>
      <c r="F2497" s="158" t="str">
        <f>+VLOOKUP(H2497,'code mapping'!A:C,3,0)</f>
        <v>LIC38</v>
      </c>
      <c r="G2497" s="127" t="s">
        <v>453</v>
      </c>
      <c r="H2497" s="127" t="s">
        <v>766</v>
      </c>
      <c r="I2497" s="127" t="s">
        <v>767</v>
      </c>
      <c r="J2497" s="128">
        <v>555100</v>
      </c>
      <c r="K2497" s="127" t="s">
        <v>579</v>
      </c>
      <c r="L2497" s="151">
        <v>555329</v>
      </c>
      <c r="M2497" s="128">
        <v>0</v>
      </c>
      <c r="N2497" s="127" t="s">
        <v>584</v>
      </c>
      <c r="O2497" s="127" t="s">
        <v>457</v>
      </c>
      <c r="P2497" s="128">
        <v>-145738.86000000002</v>
      </c>
      <c r="Q2497" s="128">
        <v>0</v>
      </c>
      <c r="R2497" s="128">
        <v>0</v>
      </c>
      <c r="S2497" s="128">
        <v>0</v>
      </c>
      <c r="T2497" s="128">
        <v>-145738.86000000002</v>
      </c>
      <c r="U2497" s="128">
        <v>0</v>
      </c>
      <c r="V2497" s="128">
        <v>-145738.86000000002</v>
      </c>
      <c r="W2497" s="128">
        <v>0</v>
      </c>
      <c r="X2497" s="128">
        <v>0</v>
      </c>
      <c r="Y2497" s="128">
        <v>0</v>
      </c>
      <c r="Z2497" s="128">
        <v>-145738.86000000002</v>
      </c>
      <c r="AA2497" s="128">
        <v>0</v>
      </c>
      <c r="AB2497" s="126">
        <f t="shared" si="258"/>
        <v>1.4573886000000001E-2</v>
      </c>
      <c r="AC2497" s="122" t="s">
        <v>1838</v>
      </c>
      <c r="AD2497" s="123">
        <f t="shared" si="259"/>
        <v>0.21856053800000003</v>
      </c>
    </row>
    <row r="2498" spans="1:30" ht="12.75" hidden="1" customHeight="1">
      <c r="A2498" s="125" t="str">
        <f t="shared" si="255"/>
        <v>LIC38Management Fees-DDP</v>
      </c>
      <c r="B2498" s="125">
        <f>+IFERROR(VLOOKUP(L2498,'TB mapping'!A:D,4,0),0)</f>
        <v>6.1</v>
      </c>
      <c r="C2498" s="125">
        <f>+IFERROR(VLOOKUP(L2498,'TB mapping'!A:C,3,0),0)</f>
        <v>6.3</v>
      </c>
      <c r="D2498" s="125" t="str">
        <f t="shared" si="256"/>
        <v>LIC386.1</v>
      </c>
      <c r="E2498" s="125" t="str">
        <f t="shared" si="257"/>
        <v>LIC386.3</v>
      </c>
      <c r="F2498" s="158" t="str">
        <f>+VLOOKUP(H2498,'code mapping'!A:C,3,0)</f>
        <v>LIC38</v>
      </c>
      <c r="G2498" s="127" t="s">
        <v>453</v>
      </c>
      <c r="H2498" s="127" t="s">
        <v>766</v>
      </c>
      <c r="I2498" s="127" t="s">
        <v>767</v>
      </c>
      <c r="J2498" s="128">
        <v>555100</v>
      </c>
      <c r="K2498" s="127" t="s">
        <v>579</v>
      </c>
      <c r="L2498" s="151">
        <v>555330</v>
      </c>
      <c r="M2498" s="128">
        <v>0</v>
      </c>
      <c r="N2498" s="127" t="s">
        <v>585</v>
      </c>
      <c r="O2498" s="127" t="s">
        <v>457</v>
      </c>
      <c r="P2498" s="128">
        <v>-1507.2</v>
      </c>
      <c r="Q2498" s="128">
        <v>0</v>
      </c>
      <c r="R2498" s="128">
        <v>0</v>
      </c>
      <c r="S2498" s="128">
        <v>0</v>
      </c>
      <c r="T2498" s="128">
        <v>-1507.2</v>
      </c>
      <c r="U2498" s="128">
        <v>0</v>
      </c>
      <c r="V2498" s="128">
        <v>-1507.2</v>
      </c>
      <c r="W2498" s="128">
        <v>0</v>
      </c>
      <c r="X2498" s="128">
        <v>0</v>
      </c>
      <c r="Y2498" s="128">
        <v>0</v>
      </c>
      <c r="Z2498" s="128">
        <v>-1507.2</v>
      </c>
      <c r="AA2498" s="128">
        <v>0</v>
      </c>
      <c r="AB2498" s="126">
        <f t="shared" si="258"/>
        <v>1.5071999999999999E-4</v>
      </c>
      <c r="AC2498" s="122" t="s">
        <v>1838</v>
      </c>
      <c r="AD2498" s="123">
        <f t="shared" si="259"/>
        <v>0.21856053800000003</v>
      </c>
    </row>
    <row r="2499" spans="1:30" ht="12.75" hidden="1" customHeight="1">
      <c r="A2499" s="125" t="str">
        <f t="shared" si="255"/>
        <v>LIC37Investment - Equities</v>
      </c>
      <c r="B2499" s="125">
        <f>+IFERROR(VLOOKUP(L2499,'TB mapping'!A:D,4,0),0)</f>
        <v>0</v>
      </c>
      <c r="C2499" s="125">
        <f>+IFERROR(VLOOKUP(L2499,'TB mapping'!A:C,3,0),0)</f>
        <v>0</v>
      </c>
      <c r="D2499" s="125" t="str">
        <f t="shared" si="256"/>
        <v>LIC370</v>
      </c>
      <c r="E2499" s="125" t="str">
        <f t="shared" si="257"/>
        <v>LIC370</v>
      </c>
      <c r="F2499" s="158" t="str">
        <f>+VLOOKUP(H2499,'code mapping'!A:C,3,0)</f>
        <v>LIC37</v>
      </c>
      <c r="G2499" s="127" t="s">
        <v>453</v>
      </c>
      <c r="H2499" s="127" t="s">
        <v>769</v>
      </c>
      <c r="I2499" s="127" t="s">
        <v>770</v>
      </c>
      <c r="J2499" s="128">
        <v>101000</v>
      </c>
      <c r="K2499" s="127" t="s">
        <v>591</v>
      </c>
      <c r="L2499" s="151">
        <v>101100</v>
      </c>
      <c r="M2499" s="128">
        <v>0</v>
      </c>
      <c r="N2499" s="127" t="s">
        <v>592</v>
      </c>
      <c r="O2499" s="127" t="s">
        <v>457</v>
      </c>
      <c r="P2499" s="128">
        <v>-92122956.620000005</v>
      </c>
      <c r="Q2499" s="128">
        <v>0</v>
      </c>
      <c r="R2499" s="128">
        <v>0</v>
      </c>
      <c r="S2499" s="128">
        <v>0</v>
      </c>
      <c r="T2499" s="128">
        <v>-92122956.620000005</v>
      </c>
      <c r="U2499" s="128">
        <v>0</v>
      </c>
      <c r="V2499" s="128">
        <v>-92122956.620000005</v>
      </c>
      <c r="W2499" s="128">
        <v>0</v>
      </c>
      <c r="X2499" s="128">
        <v>0</v>
      </c>
      <c r="Y2499" s="128">
        <v>0</v>
      </c>
      <c r="Z2499" s="128">
        <v>-92122956.620000005</v>
      </c>
      <c r="AA2499" s="128">
        <v>0</v>
      </c>
      <c r="AB2499" s="126">
        <f t="shared" si="258"/>
        <v>9.2122956620000007</v>
      </c>
      <c r="AC2499" s="122" t="s">
        <v>1838</v>
      </c>
      <c r="AD2499" s="123">
        <f t="shared" ref="AD2499:AD2542" si="260">SUMIF(C:C,C2499,AB:AB)</f>
        <v>1983.9723217250009</v>
      </c>
    </row>
    <row r="2500" spans="1:30" ht="12.75" hidden="1" customHeight="1">
      <c r="A2500" s="125" t="str">
        <f t="shared" si="255"/>
        <v>LIC37Investment - CBLO</v>
      </c>
      <c r="B2500" s="125">
        <f>+IFERROR(VLOOKUP(L2500,'TB mapping'!A:D,4,0),0)</f>
        <v>0</v>
      </c>
      <c r="C2500" s="125">
        <f>+IFERROR(VLOOKUP(L2500,'TB mapping'!A:C,3,0),0)</f>
        <v>0</v>
      </c>
      <c r="D2500" s="125" t="str">
        <f t="shared" si="256"/>
        <v>LIC370</v>
      </c>
      <c r="E2500" s="125" t="str">
        <f t="shared" si="257"/>
        <v>LIC370</v>
      </c>
      <c r="F2500" s="158" t="str">
        <f>+VLOOKUP(H2500,'code mapping'!A:C,3,0)</f>
        <v>LIC37</v>
      </c>
      <c r="G2500" s="127" t="s">
        <v>453</v>
      </c>
      <c r="H2500" s="127" t="s">
        <v>769</v>
      </c>
      <c r="I2500" s="127" t="s">
        <v>770</v>
      </c>
      <c r="J2500" s="128">
        <v>110000</v>
      </c>
      <c r="K2500" s="127" t="s">
        <v>462</v>
      </c>
      <c r="L2500" s="151">
        <v>110100</v>
      </c>
      <c r="M2500" s="128">
        <v>0</v>
      </c>
      <c r="N2500" s="127" t="s">
        <v>463</v>
      </c>
      <c r="O2500" s="127" t="s">
        <v>457</v>
      </c>
      <c r="P2500" s="128">
        <v>-1058838.3400000001</v>
      </c>
      <c r="Q2500" s="128">
        <v>0</v>
      </c>
      <c r="R2500" s="128">
        <v>0</v>
      </c>
      <c r="S2500" s="128">
        <v>0</v>
      </c>
      <c r="T2500" s="128">
        <v>-1058838.3400000001</v>
      </c>
      <c r="U2500" s="128">
        <v>0</v>
      </c>
      <c r="V2500" s="128">
        <v>-1058838.3400000001</v>
      </c>
      <c r="W2500" s="128">
        <v>0</v>
      </c>
      <c r="X2500" s="128">
        <v>0</v>
      </c>
      <c r="Y2500" s="128">
        <v>0</v>
      </c>
      <c r="Z2500" s="128">
        <v>-1058838.3400000001</v>
      </c>
      <c r="AA2500" s="128">
        <v>0</v>
      </c>
      <c r="AB2500" s="126">
        <f t="shared" si="258"/>
        <v>0.10588383400000001</v>
      </c>
      <c r="AC2500" s="122" t="s">
        <v>1838</v>
      </c>
      <c r="AD2500" s="123">
        <f t="shared" si="260"/>
        <v>1983.9723217250009</v>
      </c>
    </row>
    <row r="2501" spans="1:30" ht="12.75" hidden="1" customHeight="1">
      <c r="A2501" s="125" t="str">
        <f t="shared" si="255"/>
        <v>LIC37Dividend Receivable</v>
      </c>
      <c r="B2501" s="125">
        <f>+IFERROR(VLOOKUP(L2501,'TB mapping'!A:D,4,0),0)</f>
        <v>0</v>
      </c>
      <c r="C2501" s="125">
        <f>+IFERROR(VLOOKUP(L2501,'TB mapping'!A:C,3,0),0)</f>
        <v>0</v>
      </c>
      <c r="D2501" s="125" t="str">
        <f t="shared" si="256"/>
        <v>LIC370</v>
      </c>
      <c r="E2501" s="125" t="str">
        <f t="shared" si="257"/>
        <v>LIC370</v>
      </c>
      <c r="F2501" s="158" t="str">
        <f>+VLOOKUP(H2501,'code mapping'!A:C,3,0)</f>
        <v>LIC37</v>
      </c>
      <c r="G2501" s="127" t="s">
        <v>453</v>
      </c>
      <c r="H2501" s="127" t="s">
        <v>769</v>
      </c>
      <c r="I2501" s="127" t="s">
        <v>770</v>
      </c>
      <c r="J2501" s="128">
        <v>132000</v>
      </c>
      <c r="K2501" s="127" t="s">
        <v>466</v>
      </c>
      <c r="L2501" s="151">
        <v>132100</v>
      </c>
      <c r="M2501" s="128">
        <v>0</v>
      </c>
      <c r="N2501" s="127" t="s">
        <v>593</v>
      </c>
      <c r="O2501" s="127" t="s">
        <v>457</v>
      </c>
      <c r="P2501" s="128">
        <v>-24339</v>
      </c>
      <c r="Q2501" s="128">
        <v>0</v>
      </c>
      <c r="R2501" s="128">
        <v>0</v>
      </c>
      <c r="S2501" s="128">
        <v>0</v>
      </c>
      <c r="T2501" s="128">
        <v>-24339</v>
      </c>
      <c r="U2501" s="128">
        <v>0</v>
      </c>
      <c r="V2501" s="128">
        <v>-24339</v>
      </c>
      <c r="W2501" s="128">
        <v>0</v>
      </c>
      <c r="X2501" s="128">
        <v>0</v>
      </c>
      <c r="Y2501" s="128">
        <v>0</v>
      </c>
      <c r="Z2501" s="128">
        <v>-24339</v>
      </c>
      <c r="AA2501" s="128">
        <v>0</v>
      </c>
      <c r="AB2501" s="126">
        <f t="shared" si="258"/>
        <v>2.4339000000000001E-3</v>
      </c>
      <c r="AC2501" s="122" t="s">
        <v>1838</v>
      </c>
      <c r="AD2501" s="123">
        <f t="shared" si="260"/>
        <v>1983.9723217250009</v>
      </c>
    </row>
    <row r="2502" spans="1:30" ht="12.75" hidden="1" customHeight="1">
      <c r="A2502" s="125" t="str">
        <f t="shared" si="255"/>
        <v>LIC37Sub. Rec. Control Account</v>
      </c>
      <c r="B2502" s="125">
        <f>+IFERROR(VLOOKUP(L2502,'TB mapping'!A:D,4,0),0)</f>
        <v>0</v>
      </c>
      <c r="C2502" s="125">
        <f>+IFERROR(VLOOKUP(L2502,'TB mapping'!A:C,3,0),0)</f>
        <v>0</v>
      </c>
      <c r="D2502" s="125" t="str">
        <f t="shared" si="256"/>
        <v>LIC370</v>
      </c>
      <c r="E2502" s="125" t="str">
        <f t="shared" si="257"/>
        <v>LIC370</v>
      </c>
      <c r="F2502" s="158" t="str">
        <f>+VLOOKUP(H2502,'code mapping'!A:C,3,0)</f>
        <v>LIC37</v>
      </c>
      <c r="G2502" s="127" t="s">
        <v>453</v>
      </c>
      <c r="H2502" s="127" t="s">
        <v>769</v>
      </c>
      <c r="I2502" s="127" t="s">
        <v>770</v>
      </c>
      <c r="J2502" s="128">
        <v>132000</v>
      </c>
      <c r="K2502" s="127" t="s">
        <v>466</v>
      </c>
      <c r="L2502" s="151">
        <v>132121</v>
      </c>
      <c r="M2502" s="128">
        <v>0</v>
      </c>
      <c r="N2502" s="127" t="s">
        <v>467</v>
      </c>
      <c r="O2502" s="127" t="s">
        <v>457</v>
      </c>
      <c r="P2502" s="128">
        <v>-120143.33</v>
      </c>
      <c r="Q2502" s="128">
        <v>0</v>
      </c>
      <c r="R2502" s="128">
        <v>0</v>
      </c>
      <c r="S2502" s="128">
        <v>0</v>
      </c>
      <c r="T2502" s="128">
        <v>-120143.33</v>
      </c>
      <c r="U2502" s="128">
        <v>0</v>
      </c>
      <c r="V2502" s="128">
        <v>-120143.33</v>
      </c>
      <c r="W2502" s="128">
        <v>0</v>
      </c>
      <c r="X2502" s="128">
        <v>0</v>
      </c>
      <c r="Y2502" s="128">
        <v>0</v>
      </c>
      <c r="Z2502" s="128">
        <v>-120143.33</v>
      </c>
      <c r="AA2502" s="128">
        <v>0</v>
      </c>
      <c r="AB2502" s="126">
        <f t="shared" si="258"/>
        <v>1.2014333E-2</v>
      </c>
      <c r="AC2502" s="122" t="s">
        <v>1838</v>
      </c>
      <c r="AD2502" s="123">
        <f t="shared" si="260"/>
        <v>1983.9723217250009</v>
      </c>
    </row>
    <row r="2503" spans="1:30" ht="12.75" hidden="1" customHeight="1">
      <c r="A2503" s="125" t="str">
        <f t="shared" si="255"/>
        <v>LIC37Switch in Receivable Ct</v>
      </c>
      <c r="B2503" s="125">
        <f>+IFERROR(VLOOKUP(L2503,'TB mapping'!A:D,4,0),0)</f>
        <v>0</v>
      </c>
      <c r="C2503" s="125">
        <f>+IFERROR(VLOOKUP(L2503,'TB mapping'!A:C,3,0),0)</f>
        <v>0</v>
      </c>
      <c r="D2503" s="125" t="str">
        <f t="shared" si="256"/>
        <v>LIC370</v>
      </c>
      <c r="E2503" s="125" t="str">
        <f t="shared" si="257"/>
        <v>LIC370</v>
      </c>
      <c r="F2503" s="158" t="str">
        <f>+VLOOKUP(H2503,'code mapping'!A:C,3,0)</f>
        <v>LIC37</v>
      </c>
      <c r="G2503" s="127" t="s">
        <v>453</v>
      </c>
      <c r="H2503" s="127" t="s">
        <v>769</v>
      </c>
      <c r="I2503" s="127" t="s">
        <v>770</v>
      </c>
      <c r="J2503" s="128">
        <v>132000</v>
      </c>
      <c r="K2503" s="127" t="s">
        <v>466</v>
      </c>
      <c r="L2503" s="151">
        <v>132124</v>
      </c>
      <c r="M2503" s="128">
        <v>0</v>
      </c>
      <c r="N2503" s="127" t="s">
        <v>468</v>
      </c>
      <c r="O2503" s="127" t="s">
        <v>457</v>
      </c>
      <c r="P2503" s="128">
        <v>-159.43</v>
      </c>
      <c r="Q2503" s="128">
        <v>0</v>
      </c>
      <c r="R2503" s="128">
        <v>0</v>
      </c>
      <c r="S2503" s="128">
        <v>0</v>
      </c>
      <c r="T2503" s="128">
        <v>-159.43</v>
      </c>
      <c r="U2503" s="128">
        <v>0</v>
      </c>
      <c r="V2503" s="128">
        <v>-159.43</v>
      </c>
      <c r="W2503" s="128">
        <v>0</v>
      </c>
      <c r="X2503" s="128">
        <v>0</v>
      </c>
      <c r="Y2503" s="128">
        <v>0</v>
      </c>
      <c r="Z2503" s="128">
        <v>-159.43</v>
      </c>
      <c r="AA2503" s="128">
        <v>0</v>
      </c>
      <c r="AB2503" s="126">
        <f t="shared" si="258"/>
        <v>1.5943E-5</v>
      </c>
      <c r="AC2503" s="122" t="s">
        <v>1838</v>
      </c>
      <c r="AD2503" s="123">
        <f t="shared" si="260"/>
        <v>1983.9723217250009</v>
      </c>
    </row>
    <row r="2504" spans="1:30" ht="12.75" hidden="1" customHeight="1">
      <c r="A2504" s="125" t="str">
        <f t="shared" si="255"/>
        <v>LIC37Receivable from AMC</v>
      </c>
      <c r="B2504" s="125">
        <f>+IFERROR(VLOOKUP(L2504,'TB mapping'!A:D,4,0),0)</f>
        <v>0</v>
      </c>
      <c r="C2504" s="125">
        <f>+IFERROR(VLOOKUP(L2504,'TB mapping'!A:C,3,0),0)</f>
        <v>0</v>
      </c>
      <c r="D2504" s="125" t="str">
        <f t="shared" si="256"/>
        <v>LIC370</v>
      </c>
      <c r="E2504" s="125" t="str">
        <f t="shared" si="257"/>
        <v>LIC370</v>
      </c>
      <c r="F2504" s="158" t="str">
        <f>+VLOOKUP(H2504,'code mapping'!A:C,3,0)</f>
        <v>LIC37</v>
      </c>
      <c r="G2504" s="127" t="s">
        <v>453</v>
      </c>
      <c r="H2504" s="127" t="s">
        <v>769</v>
      </c>
      <c r="I2504" s="127" t="s">
        <v>770</v>
      </c>
      <c r="J2504" s="128">
        <v>132000</v>
      </c>
      <c r="K2504" s="127" t="s">
        <v>466</v>
      </c>
      <c r="L2504" s="151">
        <v>152400</v>
      </c>
      <c r="M2504" s="128">
        <v>0</v>
      </c>
      <c r="N2504" s="127" t="s">
        <v>471</v>
      </c>
      <c r="O2504" s="127" t="s">
        <v>457</v>
      </c>
      <c r="P2504" s="128">
        <v>-35.19</v>
      </c>
      <c r="Q2504" s="128">
        <v>0</v>
      </c>
      <c r="R2504" s="128">
        <v>0</v>
      </c>
      <c r="S2504" s="128">
        <v>0</v>
      </c>
      <c r="T2504" s="128">
        <v>-35.19</v>
      </c>
      <c r="U2504" s="128">
        <v>0</v>
      </c>
      <c r="V2504" s="128">
        <v>-35.19</v>
      </c>
      <c r="W2504" s="128">
        <v>0</v>
      </c>
      <c r="X2504" s="128">
        <v>0</v>
      </c>
      <c r="Y2504" s="128">
        <v>0</v>
      </c>
      <c r="Z2504" s="128">
        <v>-35.19</v>
      </c>
      <c r="AA2504" s="128">
        <v>0</v>
      </c>
      <c r="AB2504" s="126">
        <f t="shared" si="258"/>
        <v>3.5189999999999997E-6</v>
      </c>
      <c r="AC2504" s="122" t="s">
        <v>1838</v>
      </c>
      <c r="AD2504" s="123">
        <f t="shared" si="260"/>
        <v>1983.9723217250009</v>
      </c>
    </row>
    <row r="2505" spans="1:30" ht="12.75" hidden="1" customHeight="1">
      <c r="A2505" s="125" t="str">
        <f t="shared" si="255"/>
        <v>LIC37CCIL Settlement A/C</v>
      </c>
      <c r="B2505" s="125">
        <f>+IFERROR(VLOOKUP(L2505,'TB mapping'!A:D,4,0),0)</f>
        <v>0</v>
      </c>
      <c r="C2505" s="125">
        <f>+IFERROR(VLOOKUP(L2505,'TB mapping'!A:C,3,0),0)</f>
        <v>0</v>
      </c>
      <c r="D2505" s="125" t="str">
        <f t="shared" si="256"/>
        <v>LIC370</v>
      </c>
      <c r="E2505" s="125" t="str">
        <f t="shared" si="257"/>
        <v>LIC370</v>
      </c>
      <c r="F2505" s="158" t="str">
        <f>+VLOOKUP(H2505,'code mapping'!A:C,3,0)</f>
        <v>LIC37</v>
      </c>
      <c r="G2505" s="127" t="s">
        <v>453</v>
      </c>
      <c r="H2505" s="127" t="s">
        <v>769</v>
      </c>
      <c r="I2505" s="127" t="s">
        <v>770</v>
      </c>
      <c r="J2505" s="128">
        <v>140000</v>
      </c>
      <c r="K2505" s="127" t="s">
        <v>472</v>
      </c>
      <c r="L2505" s="151">
        <v>132237</v>
      </c>
      <c r="M2505" s="128">
        <v>0</v>
      </c>
      <c r="N2505" s="127" t="s">
        <v>473</v>
      </c>
      <c r="O2505" s="127" t="s">
        <v>457</v>
      </c>
      <c r="P2505" s="128">
        <v>0</v>
      </c>
      <c r="Q2505" s="128">
        <v>0.04</v>
      </c>
      <c r="R2505" s="128">
        <v>0</v>
      </c>
      <c r="S2505" s="128">
        <v>0</v>
      </c>
      <c r="T2505" s="128">
        <v>0</v>
      </c>
      <c r="U2505" s="128">
        <v>0.04</v>
      </c>
      <c r="V2505" s="128">
        <v>0</v>
      </c>
      <c r="W2505" s="128">
        <v>0.04</v>
      </c>
      <c r="X2505" s="128">
        <v>0</v>
      </c>
      <c r="Y2505" s="128">
        <v>0</v>
      </c>
      <c r="Z2505" s="128">
        <v>0</v>
      </c>
      <c r="AA2505" s="128">
        <v>0.04</v>
      </c>
      <c r="AB2505" s="126">
        <f t="shared" si="258"/>
        <v>-4.0000000000000002E-9</v>
      </c>
      <c r="AC2505" s="122" t="s">
        <v>1838</v>
      </c>
      <c r="AD2505" s="123">
        <f t="shared" si="260"/>
        <v>1983.9723217250009</v>
      </c>
    </row>
    <row r="2506" spans="1:30" ht="12.75" hidden="1" customHeight="1">
      <c r="A2506" s="125" t="str">
        <f t="shared" si="255"/>
        <v>LIC37HDFC Current Account</v>
      </c>
      <c r="B2506" s="125">
        <f>+IFERROR(VLOOKUP(L2506,'TB mapping'!A:D,4,0),0)</f>
        <v>0</v>
      </c>
      <c r="C2506" s="125">
        <f>+IFERROR(VLOOKUP(L2506,'TB mapping'!A:C,3,0),0)</f>
        <v>0</v>
      </c>
      <c r="D2506" s="125" t="str">
        <f t="shared" si="256"/>
        <v>LIC370</v>
      </c>
      <c r="E2506" s="125" t="str">
        <f t="shared" si="257"/>
        <v>LIC370</v>
      </c>
      <c r="F2506" s="158" t="str">
        <f>+VLOOKUP(H2506,'code mapping'!A:C,3,0)</f>
        <v>LIC37</v>
      </c>
      <c r="G2506" s="127" t="s">
        <v>453</v>
      </c>
      <c r="H2506" s="127" t="s">
        <v>769</v>
      </c>
      <c r="I2506" s="127" t="s">
        <v>770</v>
      </c>
      <c r="J2506" s="128">
        <v>140000</v>
      </c>
      <c r="K2506" s="127" t="s">
        <v>472</v>
      </c>
      <c r="L2506" s="151">
        <v>140330</v>
      </c>
      <c r="M2506" s="128">
        <v>0</v>
      </c>
      <c r="N2506" s="127" t="s">
        <v>475</v>
      </c>
      <c r="O2506" s="127" t="s">
        <v>457</v>
      </c>
      <c r="P2506" s="128">
        <v>-0.02</v>
      </c>
      <c r="Q2506" s="128">
        <v>0</v>
      </c>
      <c r="R2506" s="128">
        <v>0</v>
      </c>
      <c r="S2506" s="128">
        <v>0</v>
      </c>
      <c r="T2506" s="128">
        <v>-0.02</v>
      </c>
      <c r="U2506" s="128">
        <v>0</v>
      </c>
      <c r="V2506" s="128">
        <v>-0.02</v>
      </c>
      <c r="W2506" s="128">
        <v>0</v>
      </c>
      <c r="X2506" s="128">
        <v>0</v>
      </c>
      <c r="Y2506" s="128">
        <v>0</v>
      </c>
      <c r="Z2506" s="128">
        <v>-0.02</v>
      </c>
      <c r="AA2506" s="128">
        <v>0</v>
      </c>
      <c r="AB2506" s="126">
        <f t="shared" si="258"/>
        <v>2.0000000000000001E-9</v>
      </c>
      <c r="AC2506" s="122" t="s">
        <v>1838</v>
      </c>
      <c r="AD2506" s="123">
        <f t="shared" si="260"/>
        <v>1983.9723217250009</v>
      </c>
    </row>
    <row r="2507" spans="1:30" ht="12.75" hidden="1" customHeight="1">
      <c r="A2507" s="125" t="str">
        <f t="shared" si="255"/>
        <v>LIC37HDFC Bank Ltd</v>
      </c>
      <c r="B2507" s="125">
        <f>+IFERROR(VLOOKUP(L2507,'TB mapping'!A:D,4,0),0)</f>
        <v>0</v>
      </c>
      <c r="C2507" s="125">
        <f>+IFERROR(VLOOKUP(L2507,'TB mapping'!A:C,3,0),0)</f>
        <v>0</v>
      </c>
      <c r="D2507" s="125" t="str">
        <f t="shared" si="256"/>
        <v>LIC370</v>
      </c>
      <c r="E2507" s="125" t="str">
        <f t="shared" si="257"/>
        <v>LIC370</v>
      </c>
      <c r="F2507" s="158" t="str">
        <f>+VLOOKUP(H2507,'code mapping'!A:C,3,0)</f>
        <v>LIC37</v>
      </c>
      <c r="G2507" s="127" t="s">
        <v>453</v>
      </c>
      <c r="H2507" s="127" t="s">
        <v>769</v>
      </c>
      <c r="I2507" s="127" t="s">
        <v>770</v>
      </c>
      <c r="J2507" s="128">
        <v>140000</v>
      </c>
      <c r="K2507" s="127" t="s">
        <v>472</v>
      </c>
      <c r="L2507" s="151">
        <v>140372</v>
      </c>
      <c r="M2507" s="128">
        <v>0</v>
      </c>
      <c r="N2507" s="127" t="s">
        <v>476</v>
      </c>
      <c r="O2507" s="127" t="s">
        <v>457</v>
      </c>
      <c r="P2507" s="128">
        <v>0</v>
      </c>
      <c r="Q2507" s="128">
        <v>2.65</v>
      </c>
      <c r="R2507" s="128">
        <v>0</v>
      </c>
      <c r="S2507" s="128">
        <v>0</v>
      </c>
      <c r="T2507" s="128">
        <v>0</v>
      </c>
      <c r="U2507" s="128">
        <v>2.65</v>
      </c>
      <c r="V2507" s="128">
        <v>0</v>
      </c>
      <c r="W2507" s="128">
        <v>2.65</v>
      </c>
      <c r="X2507" s="128">
        <v>0</v>
      </c>
      <c r="Y2507" s="128">
        <v>0</v>
      </c>
      <c r="Z2507" s="128">
        <v>0</v>
      </c>
      <c r="AA2507" s="128">
        <v>2.65</v>
      </c>
      <c r="AB2507" s="126">
        <f t="shared" si="258"/>
        <v>-2.65E-7</v>
      </c>
      <c r="AC2507" s="122" t="s">
        <v>1838</v>
      </c>
      <c r="AD2507" s="123">
        <f t="shared" si="260"/>
        <v>1983.9723217250009</v>
      </c>
    </row>
    <row r="2508" spans="1:30" ht="12.75" hidden="1" customHeight="1">
      <c r="A2508" s="125" t="str">
        <f t="shared" si="255"/>
        <v>LIC37Standard Chartered Bank- India</v>
      </c>
      <c r="B2508" s="125">
        <f>+IFERROR(VLOOKUP(L2508,'TB mapping'!A:D,4,0),0)</f>
        <v>0</v>
      </c>
      <c r="C2508" s="125">
        <f>+IFERROR(VLOOKUP(L2508,'TB mapping'!A:C,3,0),0)</f>
        <v>0</v>
      </c>
      <c r="D2508" s="125" t="str">
        <f t="shared" si="256"/>
        <v>LIC370</v>
      </c>
      <c r="E2508" s="125" t="str">
        <f t="shared" si="257"/>
        <v>LIC370</v>
      </c>
      <c r="F2508" s="158" t="str">
        <f>+VLOOKUP(H2508,'code mapping'!A:C,3,0)</f>
        <v>LIC37</v>
      </c>
      <c r="G2508" s="127" t="s">
        <v>453</v>
      </c>
      <c r="H2508" s="127" t="s">
        <v>769</v>
      </c>
      <c r="I2508" s="127" t="s">
        <v>770</v>
      </c>
      <c r="J2508" s="128">
        <v>140000</v>
      </c>
      <c r="K2508" s="127" t="s">
        <v>472</v>
      </c>
      <c r="L2508" s="151">
        <v>140500</v>
      </c>
      <c r="M2508" s="128">
        <v>0</v>
      </c>
      <c r="N2508" s="127" t="s">
        <v>477</v>
      </c>
      <c r="O2508" s="127" t="s">
        <v>457</v>
      </c>
      <c r="P2508" s="128">
        <v>-707.61</v>
      </c>
      <c r="Q2508" s="128">
        <v>0</v>
      </c>
      <c r="R2508" s="128">
        <v>0</v>
      </c>
      <c r="S2508" s="128">
        <v>0</v>
      </c>
      <c r="T2508" s="128">
        <v>-707.61</v>
      </c>
      <c r="U2508" s="128">
        <v>0</v>
      </c>
      <c r="V2508" s="128">
        <v>-707.61</v>
      </c>
      <c r="W2508" s="128">
        <v>0</v>
      </c>
      <c r="X2508" s="128">
        <v>0</v>
      </c>
      <c r="Y2508" s="128">
        <v>0</v>
      </c>
      <c r="Z2508" s="128">
        <v>-707.61</v>
      </c>
      <c r="AA2508" s="128">
        <v>0</v>
      </c>
      <c r="AB2508" s="126">
        <f t="shared" si="258"/>
        <v>7.0760999999999996E-5</v>
      </c>
      <c r="AC2508" s="122" t="s">
        <v>1838</v>
      </c>
      <c r="AD2508" s="123">
        <f t="shared" si="260"/>
        <v>1983.9723217250009</v>
      </c>
    </row>
    <row r="2509" spans="1:30" ht="12.75" hidden="1" customHeight="1">
      <c r="A2509" s="125" t="str">
        <f t="shared" si="255"/>
        <v>LIC37Amort Receivable - CBLO</v>
      </c>
      <c r="B2509" s="125">
        <f>+IFERROR(VLOOKUP(L2509,'TB mapping'!A:D,4,0),0)</f>
        <v>0</v>
      </c>
      <c r="C2509" s="125">
        <f>+IFERROR(VLOOKUP(L2509,'TB mapping'!A:C,3,0),0)</f>
        <v>0</v>
      </c>
      <c r="D2509" s="125" t="str">
        <f t="shared" si="256"/>
        <v>LIC370</v>
      </c>
      <c r="E2509" s="125" t="str">
        <f t="shared" si="257"/>
        <v>LIC370</v>
      </c>
      <c r="F2509" s="158" t="str">
        <f>+VLOOKUP(H2509,'code mapping'!A:C,3,0)</f>
        <v>LIC37</v>
      </c>
      <c r="G2509" s="127" t="s">
        <v>453</v>
      </c>
      <c r="H2509" s="127" t="s">
        <v>769</v>
      </c>
      <c r="I2509" s="127" t="s">
        <v>770</v>
      </c>
      <c r="J2509" s="128">
        <v>152000</v>
      </c>
      <c r="K2509" s="127" t="s">
        <v>478</v>
      </c>
      <c r="L2509" s="151">
        <v>152232</v>
      </c>
      <c r="M2509" s="128">
        <v>0</v>
      </c>
      <c r="N2509" s="127" t="s">
        <v>482</v>
      </c>
      <c r="O2509" s="127" t="s">
        <v>457</v>
      </c>
      <c r="P2509" s="128">
        <v>-473.65</v>
      </c>
      <c r="Q2509" s="128">
        <v>0</v>
      </c>
      <c r="R2509" s="128">
        <v>0</v>
      </c>
      <c r="S2509" s="128">
        <v>0</v>
      </c>
      <c r="T2509" s="128">
        <v>-473.65</v>
      </c>
      <c r="U2509" s="128">
        <v>0</v>
      </c>
      <c r="V2509" s="128">
        <v>-473.65</v>
      </c>
      <c r="W2509" s="128">
        <v>0</v>
      </c>
      <c r="X2509" s="128">
        <v>0</v>
      </c>
      <c r="Y2509" s="128">
        <v>0</v>
      </c>
      <c r="Z2509" s="128">
        <v>-473.65</v>
      </c>
      <c r="AA2509" s="128">
        <v>0</v>
      </c>
      <c r="AB2509" s="126">
        <f t="shared" si="258"/>
        <v>4.7364999999999998E-5</v>
      </c>
      <c r="AC2509" s="122" t="s">
        <v>1838</v>
      </c>
      <c r="AD2509" s="123">
        <f t="shared" si="260"/>
        <v>1983.9723217250009</v>
      </c>
    </row>
    <row r="2510" spans="1:30" ht="12.75" hidden="1" customHeight="1">
      <c r="A2510" s="125" t="str">
        <f t="shared" si="255"/>
        <v>LIC37Prov Unr P/L - Equities</v>
      </c>
      <c r="B2510" s="125">
        <f>+IFERROR(VLOOKUP(L2510,'TB mapping'!A:D,4,0),0)</f>
        <v>0</v>
      </c>
      <c r="C2510" s="125">
        <f>+IFERROR(VLOOKUP(L2510,'TB mapping'!A:C,3,0),0)</f>
        <v>0</v>
      </c>
      <c r="D2510" s="125" t="str">
        <f t="shared" si="256"/>
        <v>LIC370</v>
      </c>
      <c r="E2510" s="125" t="str">
        <f t="shared" si="257"/>
        <v>LIC370</v>
      </c>
      <c r="F2510" s="158" t="str">
        <f>+VLOOKUP(H2510,'code mapping'!A:C,3,0)</f>
        <v>LIC37</v>
      </c>
      <c r="G2510" s="127" t="s">
        <v>453</v>
      </c>
      <c r="H2510" s="127" t="s">
        <v>769</v>
      </c>
      <c r="I2510" s="127" t="s">
        <v>770</v>
      </c>
      <c r="J2510" s="128">
        <v>160000</v>
      </c>
      <c r="K2510" s="127" t="s">
        <v>483</v>
      </c>
      <c r="L2510" s="151">
        <v>161100</v>
      </c>
      <c r="M2510" s="128">
        <v>0</v>
      </c>
      <c r="N2510" s="127" t="s">
        <v>595</v>
      </c>
      <c r="O2510" s="127" t="s">
        <v>457</v>
      </c>
      <c r="P2510" s="128">
        <v>-44199222.329999998</v>
      </c>
      <c r="Q2510" s="128">
        <v>0</v>
      </c>
      <c r="R2510" s="128">
        <v>0</v>
      </c>
      <c r="S2510" s="128">
        <v>0</v>
      </c>
      <c r="T2510" s="128">
        <v>-44199222.329999998</v>
      </c>
      <c r="U2510" s="128">
        <v>0</v>
      </c>
      <c r="V2510" s="128">
        <v>-44199222.329999998</v>
      </c>
      <c r="W2510" s="128">
        <v>0</v>
      </c>
      <c r="X2510" s="128">
        <v>0</v>
      </c>
      <c r="Y2510" s="128">
        <v>0</v>
      </c>
      <c r="Z2510" s="128">
        <v>-44199222.329999998</v>
      </c>
      <c r="AA2510" s="128">
        <v>0</v>
      </c>
      <c r="AB2510" s="126">
        <f t="shared" si="258"/>
        <v>4.4199222329999994</v>
      </c>
      <c r="AC2510" s="122" t="s">
        <v>1838</v>
      </c>
      <c r="AD2510" s="123">
        <f t="shared" si="260"/>
        <v>1983.9723217250009</v>
      </c>
    </row>
    <row r="2511" spans="1:30" ht="12.75" hidden="1" customHeight="1">
      <c r="A2511" s="125" t="str">
        <f t="shared" si="255"/>
        <v>LIC37Payable-Tds on Works Contract</v>
      </c>
      <c r="B2511" s="125">
        <f>+IFERROR(VLOOKUP(L2511,'TB mapping'!A:D,4,0),0)</f>
        <v>0</v>
      </c>
      <c r="C2511" s="125">
        <f>+IFERROR(VLOOKUP(L2511,'TB mapping'!A:C,3,0),0)</f>
        <v>0</v>
      </c>
      <c r="D2511" s="125" t="str">
        <f t="shared" si="256"/>
        <v>LIC370</v>
      </c>
      <c r="E2511" s="125" t="str">
        <f t="shared" si="257"/>
        <v>LIC370</v>
      </c>
      <c r="F2511" s="158" t="str">
        <f>+VLOOKUP(H2511,'code mapping'!A:C,3,0)</f>
        <v>LIC37</v>
      </c>
      <c r="G2511" s="127" t="s">
        <v>453</v>
      </c>
      <c r="H2511" s="127" t="s">
        <v>769</v>
      </c>
      <c r="I2511" s="127" t="s">
        <v>770</v>
      </c>
      <c r="J2511" s="128">
        <v>212000</v>
      </c>
      <c r="K2511" s="127" t="s">
        <v>487</v>
      </c>
      <c r="L2511" s="151">
        <v>210151</v>
      </c>
      <c r="M2511" s="128">
        <v>0</v>
      </c>
      <c r="N2511" s="127" t="s">
        <v>771</v>
      </c>
      <c r="O2511" s="127" t="s">
        <v>457</v>
      </c>
      <c r="P2511" s="128">
        <v>-28</v>
      </c>
      <c r="Q2511" s="128">
        <v>0</v>
      </c>
      <c r="R2511" s="128">
        <v>0</v>
      </c>
      <c r="S2511" s="128">
        <v>0</v>
      </c>
      <c r="T2511" s="128">
        <v>-28</v>
      </c>
      <c r="U2511" s="128">
        <v>0</v>
      </c>
      <c r="V2511" s="128">
        <v>-28</v>
      </c>
      <c r="W2511" s="128">
        <v>0</v>
      </c>
      <c r="X2511" s="128">
        <v>0</v>
      </c>
      <c r="Y2511" s="128">
        <v>0</v>
      </c>
      <c r="Z2511" s="128">
        <v>-28</v>
      </c>
      <c r="AA2511" s="128">
        <v>0</v>
      </c>
      <c r="AB2511" s="126">
        <f t="shared" si="258"/>
        <v>2.7999999999999999E-6</v>
      </c>
      <c r="AC2511" s="122" t="s">
        <v>1838</v>
      </c>
      <c r="AD2511" s="123">
        <f t="shared" si="260"/>
        <v>1983.9723217250009</v>
      </c>
    </row>
    <row r="2512" spans="1:30" ht="12.75" hidden="1" customHeight="1">
      <c r="A2512" s="125" t="str">
        <f t="shared" si="255"/>
        <v>LIC37Payable - Withhold Brokerage</v>
      </c>
      <c r="B2512" s="125">
        <f>+IFERROR(VLOOKUP(L2512,'TB mapping'!A:D,4,0),0)</f>
        <v>0</v>
      </c>
      <c r="C2512" s="125">
        <f>+IFERROR(VLOOKUP(L2512,'TB mapping'!A:C,3,0),0)</f>
        <v>0</v>
      </c>
      <c r="D2512" s="125" t="str">
        <f t="shared" si="256"/>
        <v>LIC370</v>
      </c>
      <c r="E2512" s="125" t="str">
        <f t="shared" si="257"/>
        <v>LIC370</v>
      </c>
      <c r="F2512" s="158" t="str">
        <f>+VLOOKUP(H2512,'code mapping'!A:C,3,0)</f>
        <v>LIC37</v>
      </c>
      <c r="G2512" s="127" t="s">
        <v>453</v>
      </c>
      <c r="H2512" s="127" t="s">
        <v>769</v>
      </c>
      <c r="I2512" s="127" t="s">
        <v>770</v>
      </c>
      <c r="J2512" s="128">
        <v>212000</v>
      </c>
      <c r="K2512" s="127" t="s">
        <v>487</v>
      </c>
      <c r="L2512" s="151">
        <v>210164</v>
      </c>
      <c r="M2512" s="128">
        <v>0</v>
      </c>
      <c r="N2512" s="127" t="s">
        <v>488</v>
      </c>
      <c r="O2512" s="127" t="s">
        <v>457</v>
      </c>
      <c r="P2512" s="128">
        <v>0</v>
      </c>
      <c r="Q2512" s="128">
        <v>68278.58</v>
      </c>
      <c r="R2512" s="128">
        <v>0</v>
      </c>
      <c r="S2512" s="128">
        <v>0</v>
      </c>
      <c r="T2512" s="128">
        <v>0</v>
      </c>
      <c r="U2512" s="128">
        <v>68278.58</v>
      </c>
      <c r="V2512" s="128">
        <v>0</v>
      </c>
      <c r="W2512" s="128">
        <v>68278.58</v>
      </c>
      <c r="X2512" s="128">
        <v>0</v>
      </c>
      <c r="Y2512" s="128">
        <v>0</v>
      </c>
      <c r="Z2512" s="128">
        <v>0</v>
      </c>
      <c r="AA2512" s="128">
        <v>68278.58</v>
      </c>
      <c r="AB2512" s="126">
        <f t="shared" si="258"/>
        <v>-6.827858E-3</v>
      </c>
      <c r="AC2512" s="122" t="s">
        <v>1838</v>
      </c>
      <c r="AD2512" s="123">
        <f t="shared" si="260"/>
        <v>1983.9723217250009</v>
      </c>
    </row>
    <row r="2513" spans="1:30" ht="12.75" hidden="1" customHeight="1">
      <c r="A2513" s="125" t="str">
        <f t="shared" si="255"/>
        <v>LIC37TDS Payable - Expenses</v>
      </c>
      <c r="B2513" s="125">
        <f>+IFERROR(VLOOKUP(L2513,'TB mapping'!A:D,4,0),0)</f>
        <v>0</v>
      </c>
      <c r="C2513" s="125">
        <f>+IFERROR(VLOOKUP(L2513,'TB mapping'!A:C,3,0),0)</f>
        <v>0</v>
      </c>
      <c r="D2513" s="125" t="str">
        <f t="shared" si="256"/>
        <v>LIC370</v>
      </c>
      <c r="E2513" s="125" t="str">
        <f t="shared" si="257"/>
        <v>LIC370</v>
      </c>
      <c r="F2513" s="158" t="str">
        <f>+VLOOKUP(H2513,'code mapping'!A:C,3,0)</f>
        <v>LIC37</v>
      </c>
      <c r="G2513" s="127" t="s">
        <v>453</v>
      </c>
      <c r="H2513" s="127" t="s">
        <v>769</v>
      </c>
      <c r="I2513" s="127" t="s">
        <v>770</v>
      </c>
      <c r="J2513" s="128">
        <v>212000</v>
      </c>
      <c r="K2513" s="127" t="s">
        <v>487</v>
      </c>
      <c r="L2513" s="151">
        <v>212101</v>
      </c>
      <c r="M2513" s="128">
        <v>0</v>
      </c>
      <c r="N2513" s="127" t="s">
        <v>772</v>
      </c>
      <c r="O2513" s="127" t="s">
        <v>457</v>
      </c>
      <c r="P2513" s="128">
        <v>-23.6</v>
      </c>
      <c r="Q2513" s="128">
        <v>0</v>
      </c>
      <c r="R2513" s="128">
        <v>0</v>
      </c>
      <c r="S2513" s="128">
        <v>0</v>
      </c>
      <c r="T2513" s="128">
        <v>-23.6</v>
      </c>
      <c r="U2513" s="128">
        <v>0</v>
      </c>
      <c r="V2513" s="128">
        <v>-23.6</v>
      </c>
      <c r="W2513" s="128">
        <v>0</v>
      </c>
      <c r="X2513" s="128">
        <v>0</v>
      </c>
      <c r="Y2513" s="128">
        <v>0</v>
      </c>
      <c r="Z2513" s="128">
        <v>-23.6</v>
      </c>
      <c r="AA2513" s="128">
        <v>0</v>
      </c>
      <c r="AB2513" s="126">
        <f t="shared" si="258"/>
        <v>2.3600000000000003E-6</v>
      </c>
      <c r="AC2513" s="122" t="s">
        <v>1838</v>
      </c>
      <c r="AD2513" s="123">
        <f t="shared" si="260"/>
        <v>1983.9723217250009</v>
      </c>
    </row>
    <row r="2514" spans="1:30" ht="12.75" hidden="1" customHeight="1">
      <c r="A2514" s="125" t="str">
        <f t="shared" si="255"/>
        <v>LIC37CGST Payable</v>
      </c>
      <c r="B2514" s="125">
        <f>+IFERROR(VLOOKUP(L2514,'TB mapping'!A:D,4,0),0)</f>
        <v>0</v>
      </c>
      <c r="C2514" s="125">
        <f>+IFERROR(VLOOKUP(L2514,'TB mapping'!A:C,3,0),0)</f>
        <v>0</v>
      </c>
      <c r="D2514" s="125" t="str">
        <f t="shared" si="256"/>
        <v>LIC370</v>
      </c>
      <c r="E2514" s="125" t="str">
        <f t="shared" si="257"/>
        <v>LIC370</v>
      </c>
      <c r="F2514" s="158" t="str">
        <f>+VLOOKUP(H2514,'code mapping'!A:C,3,0)</f>
        <v>LIC37</v>
      </c>
      <c r="G2514" s="127" t="s">
        <v>453</v>
      </c>
      <c r="H2514" s="127" t="s">
        <v>769</v>
      </c>
      <c r="I2514" s="127" t="s">
        <v>770</v>
      </c>
      <c r="J2514" s="128">
        <v>212000</v>
      </c>
      <c r="K2514" s="127" t="s">
        <v>487</v>
      </c>
      <c r="L2514" s="151">
        <v>212112</v>
      </c>
      <c r="M2514" s="128">
        <v>0</v>
      </c>
      <c r="N2514" s="127" t="s">
        <v>490</v>
      </c>
      <c r="O2514" s="127" t="s">
        <v>457</v>
      </c>
      <c r="P2514" s="128">
        <v>0</v>
      </c>
      <c r="Q2514" s="128">
        <v>0.76</v>
      </c>
      <c r="R2514" s="128">
        <v>0</v>
      </c>
      <c r="S2514" s="128">
        <v>0</v>
      </c>
      <c r="T2514" s="128">
        <v>0</v>
      </c>
      <c r="U2514" s="128">
        <v>0.76</v>
      </c>
      <c r="V2514" s="128">
        <v>0</v>
      </c>
      <c r="W2514" s="128">
        <v>0.76</v>
      </c>
      <c r="X2514" s="128">
        <v>0</v>
      </c>
      <c r="Y2514" s="128">
        <v>0</v>
      </c>
      <c r="Z2514" s="128">
        <v>0</v>
      </c>
      <c r="AA2514" s="128">
        <v>0.76</v>
      </c>
      <c r="AB2514" s="126">
        <f t="shared" si="258"/>
        <v>-7.6000000000000006E-8</v>
      </c>
      <c r="AC2514" s="122" t="s">
        <v>1838</v>
      </c>
      <c r="AD2514" s="123">
        <f t="shared" si="260"/>
        <v>1983.9723217250009</v>
      </c>
    </row>
    <row r="2515" spans="1:30" ht="12.75" hidden="1" customHeight="1">
      <c r="A2515" s="125" t="str">
        <f t="shared" si="255"/>
        <v>LIC37SGST Payable</v>
      </c>
      <c r="B2515" s="125">
        <f>+IFERROR(VLOOKUP(L2515,'TB mapping'!A:D,4,0),0)</f>
        <v>0</v>
      </c>
      <c r="C2515" s="125">
        <f>+IFERROR(VLOOKUP(L2515,'TB mapping'!A:C,3,0),0)</f>
        <v>0</v>
      </c>
      <c r="D2515" s="125" t="str">
        <f t="shared" si="256"/>
        <v>LIC370</v>
      </c>
      <c r="E2515" s="125" t="str">
        <f t="shared" si="257"/>
        <v>LIC370</v>
      </c>
      <c r="F2515" s="158" t="str">
        <f>+VLOOKUP(H2515,'code mapping'!A:C,3,0)</f>
        <v>LIC37</v>
      </c>
      <c r="G2515" s="127" t="s">
        <v>453</v>
      </c>
      <c r="H2515" s="127" t="s">
        <v>769</v>
      </c>
      <c r="I2515" s="127" t="s">
        <v>770</v>
      </c>
      <c r="J2515" s="128">
        <v>212000</v>
      </c>
      <c r="K2515" s="127" t="s">
        <v>487</v>
      </c>
      <c r="L2515" s="151">
        <v>212113</v>
      </c>
      <c r="M2515" s="128">
        <v>0</v>
      </c>
      <c r="N2515" s="127" t="s">
        <v>491</v>
      </c>
      <c r="O2515" s="127" t="s">
        <v>457</v>
      </c>
      <c r="P2515" s="128">
        <v>0</v>
      </c>
      <c r="Q2515" s="128">
        <v>0.76</v>
      </c>
      <c r="R2515" s="128">
        <v>0</v>
      </c>
      <c r="S2515" s="128">
        <v>0</v>
      </c>
      <c r="T2515" s="128">
        <v>0</v>
      </c>
      <c r="U2515" s="128">
        <v>0.76</v>
      </c>
      <c r="V2515" s="128">
        <v>0</v>
      </c>
      <c r="W2515" s="128">
        <v>0.76</v>
      </c>
      <c r="X2515" s="128">
        <v>0</v>
      </c>
      <c r="Y2515" s="128">
        <v>0</v>
      </c>
      <c r="Z2515" s="128">
        <v>0</v>
      </c>
      <c r="AA2515" s="128">
        <v>0.76</v>
      </c>
      <c r="AB2515" s="126">
        <f t="shared" si="258"/>
        <v>-7.6000000000000006E-8</v>
      </c>
      <c r="AC2515" s="122" t="s">
        <v>1838</v>
      </c>
      <c r="AD2515" s="123">
        <f t="shared" si="260"/>
        <v>1983.9723217250009</v>
      </c>
    </row>
    <row r="2516" spans="1:30" ht="12.75" hidden="1" customHeight="1">
      <c r="A2516" s="125" t="str">
        <f t="shared" si="255"/>
        <v>LIC37IGST Payable</v>
      </c>
      <c r="B2516" s="125">
        <f>+IFERROR(VLOOKUP(L2516,'TB mapping'!A:D,4,0),0)</f>
        <v>0</v>
      </c>
      <c r="C2516" s="125">
        <f>+IFERROR(VLOOKUP(L2516,'TB mapping'!A:C,3,0),0)</f>
        <v>0</v>
      </c>
      <c r="D2516" s="125" t="str">
        <f t="shared" si="256"/>
        <v>LIC370</v>
      </c>
      <c r="E2516" s="125" t="str">
        <f t="shared" si="257"/>
        <v>LIC370</v>
      </c>
      <c r="F2516" s="158" t="str">
        <f>+VLOOKUP(H2516,'code mapping'!A:C,3,0)</f>
        <v>LIC37</v>
      </c>
      <c r="G2516" s="127" t="s">
        <v>453</v>
      </c>
      <c r="H2516" s="127" t="s">
        <v>769</v>
      </c>
      <c r="I2516" s="127" t="s">
        <v>770</v>
      </c>
      <c r="J2516" s="128">
        <v>212000</v>
      </c>
      <c r="K2516" s="127" t="s">
        <v>487</v>
      </c>
      <c r="L2516" s="151">
        <v>212114</v>
      </c>
      <c r="M2516" s="128">
        <v>0</v>
      </c>
      <c r="N2516" s="127" t="s">
        <v>492</v>
      </c>
      <c r="O2516" s="127" t="s">
        <v>457</v>
      </c>
      <c r="P2516" s="128">
        <v>0</v>
      </c>
      <c r="Q2516" s="128">
        <v>55.38</v>
      </c>
      <c r="R2516" s="128">
        <v>0</v>
      </c>
      <c r="S2516" s="128">
        <v>0</v>
      </c>
      <c r="T2516" s="128">
        <v>0</v>
      </c>
      <c r="U2516" s="128">
        <v>55.38</v>
      </c>
      <c r="V2516" s="128">
        <v>0</v>
      </c>
      <c r="W2516" s="128">
        <v>55.38</v>
      </c>
      <c r="X2516" s="128">
        <v>0</v>
      </c>
      <c r="Y2516" s="128">
        <v>0</v>
      </c>
      <c r="Z2516" s="128">
        <v>0</v>
      </c>
      <c r="AA2516" s="128">
        <v>55.38</v>
      </c>
      <c r="AB2516" s="126">
        <f t="shared" si="258"/>
        <v>-5.5380000000000002E-6</v>
      </c>
      <c r="AC2516" s="122" t="s">
        <v>1838</v>
      </c>
      <c r="AD2516" s="123">
        <f t="shared" si="260"/>
        <v>1983.9723217250009</v>
      </c>
    </row>
    <row r="2517" spans="1:30" ht="12.75" hidden="1" customHeight="1">
      <c r="A2517" s="125" t="str">
        <f t="shared" si="255"/>
        <v>LIC37Redemption Payable Ct</v>
      </c>
      <c r="B2517" s="125">
        <f>+IFERROR(VLOOKUP(L2517,'TB mapping'!A:D,4,0),0)</f>
        <v>0</v>
      </c>
      <c r="C2517" s="125">
        <f>+IFERROR(VLOOKUP(L2517,'TB mapping'!A:C,3,0),0)</f>
        <v>0</v>
      </c>
      <c r="D2517" s="125" t="str">
        <f t="shared" si="256"/>
        <v>LIC370</v>
      </c>
      <c r="E2517" s="125" t="str">
        <f t="shared" si="257"/>
        <v>LIC370</v>
      </c>
      <c r="F2517" s="158" t="str">
        <f>+VLOOKUP(H2517,'code mapping'!A:C,3,0)</f>
        <v>LIC37</v>
      </c>
      <c r="G2517" s="127" t="s">
        <v>453</v>
      </c>
      <c r="H2517" s="127" t="s">
        <v>769</v>
      </c>
      <c r="I2517" s="127" t="s">
        <v>770</v>
      </c>
      <c r="J2517" s="128">
        <v>212000</v>
      </c>
      <c r="K2517" s="127" t="s">
        <v>487</v>
      </c>
      <c r="L2517" s="151">
        <v>212121</v>
      </c>
      <c r="M2517" s="128">
        <v>0</v>
      </c>
      <c r="N2517" s="127" t="s">
        <v>493</v>
      </c>
      <c r="O2517" s="127" t="s">
        <v>457</v>
      </c>
      <c r="P2517" s="128">
        <v>0</v>
      </c>
      <c r="Q2517" s="128">
        <v>352320.91</v>
      </c>
      <c r="R2517" s="128">
        <v>0</v>
      </c>
      <c r="S2517" s="128">
        <v>0</v>
      </c>
      <c r="T2517" s="128">
        <v>0</v>
      </c>
      <c r="U2517" s="128">
        <v>352320.91</v>
      </c>
      <c r="V2517" s="128">
        <v>0</v>
      </c>
      <c r="W2517" s="128">
        <v>352320.91</v>
      </c>
      <c r="X2517" s="128">
        <v>0</v>
      </c>
      <c r="Y2517" s="128">
        <v>0</v>
      </c>
      <c r="Z2517" s="128">
        <v>0</v>
      </c>
      <c r="AA2517" s="128">
        <v>352320.91</v>
      </c>
      <c r="AB2517" s="126">
        <f t="shared" si="258"/>
        <v>-3.5232091E-2</v>
      </c>
      <c r="AC2517" s="122" t="s">
        <v>1838</v>
      </c>
      <c r="AD2517" s="123">
        <f t="shared" si="260"/>
        <v>1983.9723217250009</v>
      </c>
    </row>
    <row r="2518" spans="1:30" ht="12.75" hidden="1" customHeight="1">
      <c r="A2518" s="125" t="str">
        <f t="shared" si="255"/>
        <v>LIC37Switch Out Payable Ct</v>
      </c>
      <c r="B2518" s="125">
        <f>+IFERROR(VLOOKUP(L2518,'TB mapping'!A:D,4,0),0)</f>
        <v>0</v>
      </c>
      <c r="C2518" s="125">
        <f>+IFERROR(VLOOKUP(L2518,'TB mapping'!A:C,3,0),0)</f>
        <v>0</v>
      </c>
      <c r="D2518" s="125" t="str">
        <f t="shared" si="256"/>
        <v>LIC370</v>
      </c>
      <c r="E2518" s="125" t="str">
        <f t="shared" si="257"/>
        <v>LIC370</v>
      </c>
      <c r="F2518" s="158" t="str">
        <f>+VLOOKUP(H2518,'code mapping'!A:C,3,0)</f>
        <v>LIC37</v>
      </c>
      <c r="G2518" s="127" t="s">
        <v>453</v>
      </c>
      <c r="H2518" s="127" t="s">
        <v>769</v>
      </c>
      <c r="I2518" s="127" t="s">
        <v>770</v>
      </c>
      <c r="J2518" s="128">
        <v>212000</v>
      </c>
      <c r="K2518" s="127" t="s">
        <v>487</v>
      </c>
      <c r="L2518" s="151">
        <v>212124</v>
      </c>
      <c r="M2518" s="128">
        <v>0</v>
      </c>
      <c r="N2518" s="127" t="s">
        <v>494</v>
      </c>
      <c r="O2518" s="127" t="s">
        <v>457</v>
      </c>
      <c r="P2518" s="128">
        <v>0</v>
      </c>
      <c r="Q2518" s="128">
        <v>72884.740000000005</v>
      </c>
      <c r="R2518" s="128">
        <v>0</v>
      </c>
      <c r="S2518" s="128">
        <v>0</v>
      </c>
      <c r="T2518" s="128">
        <v>0</v>
      </c>
      <c r="U2518" s="128">
        <v>72884.740000000005</v>
      </c>
      <c r="V2518" s="128">
        <v>0</v>
      </c>
      <c r="W2518" s="128">
        <v>72884.740000000005</v>
      </c>
      <c r="X2518" s="128">
        <v>0</v>
      </c>
      <c r="Y2518" s="128">
        <v>0</v>
      </c>
      <c r="Z2518" s="128">
        <v>0</v>
      </c>
      <c r="AA2518" s="128">
        <v>72884.740000000005</v>
      </c>
      <c r="AB2518" s="126">
        <f t="shared" si="258"/>
        <v>-7.2884740000000005E-3</v>
      </c>
      <c r="AC2518" s="122" t="s">
        <v>1838</v>
      </c>
      <c r="AD2518" s="123">
        <f t="shared" si="260"/>
        <v>1983.9723217250009</v>
      </c>
    </row>
    <row r="2519" spans="1:30" ht="12.75" hidden="1" customHeight="1">
      <c r="A2519" s="125" t="str">
        <f t="shared" si="255"/>
        <v>LIC37Due to Broker - Equity</v>
      </c>
      <c r="B2519" s="125">
        <f>+IFERROR(VLOOKUP(L2519,'TB mapping'!A:D,4,0),0)</f>
        <v>0</v>
      </c>
      <c r="C2519" s="125">
        <f>+IFERROR(VLOOKUP(L2519,'TB mapping'!A:C,3,0),0)</f>
        <v>0</v>
      </c>
      <c r="D2519" s="125" t="str">
        <f t="shared" si="256"/>
        <v>LIC370</v>
      </c>
      <c r="E2519" s="125" t="str">
        <f t="shared" si="257"/>
        <v>LIC370</v>
      </c>
      <c r="F2519" s="158" t="str">
        <f>+VLOOKUP(H2519,'code mapping'!A:C,3,0)</f>
        <v>LIC37</v>
      </c>
      <c r="G2519" s="127" t="s">
        <v>453</v>
      </c>
      <c r="H2519" s="127" t="s">
        <v>769</v>
      </c>
      <c r="I2519" s="127" t="s">
        <v>770</v>
      </c>
      <c r="J2519" s="128">
        <v>212000</v>
      </c>
      <c r="K2519" s="127" t="s">
        <v>487</v>
      </c>
      <c r="L2519" s="151">
        <v>212150</v>
      </c>
      <c r="M2519" s="128">
        <v>0</v>
      </c>
      <c r="N2519" s="127" t="s">
        <v>747</v>
      </c>
      <c r="O2519" s="127" t="s">
        <v>457</v>
      </c>
      <c r="P2519" s="128">
        <v>-296659.10000000003</v>
      </c>
      <c r="Q2519" s="128">
        <v>0</v>
      </c>
      <c r="R2519" s="128">
        <v>0</v>
      </c>
      <c r="S2519" s="128">
        <v>0</v>
      </c>
      <c r="T2519" s="128">
        <v>-296659.10000000003</v>
      </c>
      <c r="U2519" s="128">
        <v>0</v>
      </c>
      <c r="V2519" s="128">
        <v>-296659.10000000003</v>
      </c>
      <c r="W2519" s="128">
        <v>0</v>
      </c>
      <c r="X2519" s="128">
        <v>0</v>
      </c>
      <c r="Y2519" s="128">
        <v>0</v>
      </c>
      <c r="Z2519" s="128">
        <v>-296659.10000000003</v>
      </c>
      <c r="AA2519" s="128">
        <v>0</v>
      </c>
      <c r="AB2519" s="126">
        <f t="shared" si="258"/>
        <v>2.9665910000000004E-2</v>
      </c>
      <c r="AC2519" s="122" t="s">
        <v>1838</v>
      </c>
      <c r="AD2519" s="123">
        <f t="shared" si="260"/>
        <v>1983.9723217250009</v>
      </c>
    </row>
    <row r="2520" spans="1:30" ht="12.75" hidden="1" customHeight="1">
      <c r="A2520" s="125" t="str">
        <f t="shared" si="255"/>
        <v>LIC37Due to Broker</v>
      </c>
      <c r="B2520" s="125">
        <f>+IFERROR(VLOOKUP(L2520,'TB mapping'!A:D,4,0),0)</f>
        <v>0</v>
      </c>
      <c r="C2520" s="125">
        <f>+IFERROR(VLOOKUP(L2520,'TB mapping'!A:C,3,0),0)</f>
        <v>0</v>
      </c>
      <c r="D2520" s="125" t="str">
        <f t="shared" si="256"/>
        <v>LIC370</v>
      </c>
      <c r="E2520" s="125" t="str">
        <f t="shared" si="257"/>
        <v>LIC370</v>
      </c>
      <c r="F2520" s="158" t="str">
        <f>+VLOOKUP(H2520,'code mapping'!A:C,3,0)</f>
        <v>LIC37</v>
      </c>
      <c r="G2520" s="127" t="s">
        <v>453</v>
      </c>
      <c r="H2520" s="127" t="s">
        <v>769</v>
      </c>
      <c r="I2520" s="127" t="s">
        <v>770</v>
      </c>
      <c r="J2520" s="128">
        <v>212000</v>
      </c>
      <c r="K2520" s="127" t="s">
        <v>487</v>
      </c>
      <c r="L2520" s="151">
        <v>212153</v>
      </c>
      <c r="M2520" s="128">
        <v>0</v>
      </c>
      <c r="N2520" s="127" t="s">
        <v>626</v>
      </c>
      <c r="O2520" s="127" t="s">
        <v>457</v>
      </c>
      <c r="P2520" s="128">
        <v>0</v>
      </c>
      <c r="Q2520" s="128">
        <v>296659.10000000003</v>
      </c>
      <c r="R2520" s="128">
        <v>0</v>
      </c>
      <c r="S2520" s="128">
        <v>0</v>
      </c>
      <c r="T2520" s="128">
        <v>0</v>
      </c>
      <c r="U2520" s="128">
        <v>296659.10000000003</v>
      </c>
      <c r="V2520" s="128">
        <v>0</v>
      </c>
      <c r="W2520" s="128">
        <v>296659.10000000003</v>
      </c>
      <c r="X2520" s="128">
        <v>0</v>
      </c>
      <c r="Y2520" s="128">
        <v>0</v>
      </c>
      <c r="Z2520" s="128">
        <v>0</v>
      </c>
      <c r="AA2520" s="128">
        <v>296659.10000000003</v>
      </c>
      <c r="AB2520" s="126">
        <f t="shared" si="258"/>
        <v>-2.9665910000000004E-2</v>
      </c>
      <c r="AC2520" s="122" t="s">
        <v>1838</v>
      </c>
      <c r="AD2520" s="123">
        <f t="shared" si="260"/>
        <v>1983.9723217250009</v>
      </c>
    </row>
    <row r="2521" spans="1:30" ht="12.75" hidden="1" customHeight="1">
      <c r="A2521" s="125" t="str">
        <f t="shared" si="255"/>
        <v>LIC37Audit Fee-Payable</v>
      </c>
      <c r="B2521" s="125">
        <f>+IFERROR(VLOOKUP(L2521,'TB mapping'!A:D,4,0),0)</f>
        <v>0</v>
      </c>
      <c r="C2521" s="125">
        <f>+IFERROR(VLOOKUP(L2521,'TB mapping'!A:C,3,0),0)</f>
        <v>0</v>
      </c>
      <c r="D2521" s="125" t="str">
        <f t="shared" si="256"/>
        <v>LIC370</v>
      </c>
      <c r="E2521" s="125" t="str">
        <f t="shared" si="257"/>
        <v>LIC370</v>
      </c>
      <c r="F2521" s="158" t="str">
        <f>+VLOOKUP(H2521,'code mapping'!A:C,3,0)</f>
        <v>LIC37</v>
      </c>
      <c r="G2521" s="127" t="s">
        <v>453</v>
      </c>
      <c r="H2521" s="127" t="s">
        <v>769</v>
      </c>
      <c r="I2521" s="127" t="s">
        <v>770</v>
      </c>
      <c r="J2521" s="128">
        <v>212000</v>
      </c>
      <c r="K2521" s="127" t="s">
        <v>487</v>
      </c>
      <c r="L2521" s="151">
        <v>212194</v>
      </c>
      <c r="M2521" s="128">
        <v>0</v>
      </c>
      <c r="N2521" s="127" t="s">
        <v>496</v>
      </c>
      <c r="O2521" s="127" t="s">
        <v>457</v>
      </c>
      <c r="P2521" s="128">
        <v>-366.71</v>
      </c>
      <c r="Q2521" s="128">
        <v>0</v>
      </c>
      <c r="R2521" s="128">
        <v>0</v>
      </c>
      <c r="S2521" s="128">
        <v>0</v>
      </c>
      <c r="T2521" s="128">
        <v>-366.71</v>
      </c>
      <c r="U2521" s="128">
        <v>0</v>
      </c>
      <c r="V2521" s="128">
        <v>-366.71</v>
      </c>
      <c r="W2521" s="128">
        <v>0</v>
      </c>
      <c r="X2521" s="128">
        <v>0</v>
      </c>
      <c r="Y2521" s="128">
        <v>0</v>
      </c>
      <c r="Z2521" s="128">
        <v>-366.71</v>
      </c>
      <c r="AA2521" s="128">
        <v>0</v>
      </c>
      <c r="AB2521" s="126">
        <f t="shared" si="258"/>
        <v>3.6670999999999995E-5</v>
      </c>
      <c r="AC2521" s="122" t="s">
        <v>1838</v>
      </c>
      <c r="AD2521" s="123">
        <f t="shared" si="260"/>
        <v>1983.9723217250009</v>
      </c>
    </row>
    <row r="2522" spans="1:30" ht="12.75" hidden="1" customHeight="1">
      <c r="A2522" s="125" t="str">
        <f t="shared" si="255"/>
        <v>LIC37Other Exp- Payable</v>
      </c>
      <c r="B2522" s="125">
        <f>+IFERROR(VLOOKUP(L2522,'TB mapping'!A:D,4,0),0)</f>
        <v>0</v>
      </c>
      <c r="C2522" s="125">
        <f>+IFERROR(VLOOKUP(L2522,'TB mapping'!A:C,3,0),0)</f>
        <v>0</v>
      </c>
      <c r="D2522" s="125" t="str">
        <f t="shared" si="256"/>
        <v>LIC370</v>
      </c>
      <c r="E2522" s="125" t="str">
        <f t="shared" si="257"/>
        <v>LIC370</v>
      </c>
      <c r="F2522" s="158" t="str">
        <f>+VLOOKUP(H2522,'code mapping'!A:C,3,0)</f>
        <v>LIC37</v>
      </c>
      <c r="G2522" s="127" t="s">
        <v>453</v>
      </c>
      <c r="H2522" s="127" t="s">
        <v>769</v>
      </c>
      <c r="I2522" s="127" t="s">
        <v>770</v>
      </c>
      <c r="J2522" s="128">
        <v>212000</v>
      </c>
      <c r="K2522" s="127" t="s">
        <v>487</v>
      </c>
      <c r="L2522" s="151">
        <v>212220</v>
      </c>
      <c r="M2522" s="128">
        <v>0</v>
      </c>
      <c r="N2522" s="127" t="s">
        <v>497</v>
      </c>
      <c r="O2522" s="127" t="s">
        <v>457</v>
      </c>
      <c r="P2522" s="128">
        <v>0</v>
      </c>
      <c r="Q2522" s="128">
        <v>336673.01</v>
      </c>
      <c r="R2522" s="128">
        <v>0</v>
      </c>
      <c r="S2522" s="128">
        <v>0</v>
      </c>
      <c r="T2522" s="128">
        <v>0</v>
      </c>
      <c r="U2522" s="128">
        <v>336673.01</v>
      </c>
      <c r="V2522" s="128">
        <v>0</v>
      </c>
      <c r="W2522" s="128">
        <v>336673.01</v>
      </c>
      <c r="X2522" s="128">
        <v>0</v>
      </c>
      <c r="Y2522" s="128">
        <v>0</v>
      </c>
      <c r="Z2522" s="128">
        <v>0</v>
      </c>
      <c r="AA2522" s="128">
        <v>336673.01</v>
      </c>
      <c r="AB2522" s="126">
        <f t="shared" si="258"/>
        <v>-3.3667301000000004E-2</v>
      </c>
      <c r="AC2522" s="122" t="s">
        <v>1838</v>
      </c>
      <c r="AD2522" s="123">
        <f t="shared" si="260"/>
        <v>1983.9723217250009</v>
      </c>
    </row>
    <row r="2523" spans="1:30" ht="12.75" hidden="1" customHeight="1">
      <c r="A2523" s="125" t="str">
        <f t="shared" si="255"/>
        <v>LIC37Expense Allocation-Liab'ity Ac</v>
      </c>
      <c r="B2523" s="125">
        <f>+IFERROR(VLOOKUP(L2523,'TB mapping'!A:D,4,0),0)</f>
        <v>0</v>
      </c>
      <c r="C2523" s="125">
        <f>+IFERROR(VLOOKUP(L2523,'TB mapping'!A:C,3,0),0)</f>
        <v>0</v>
      </c>
      <c r="D2523" s="125" t="str">
        <f t="shared" si="256"/>
        <v>LIC370</v>
      </c>
      <c r="E2523" s="125" t="str">
        <f t="shared" si="257"/>
        <v>LIC370</v>
      </c>
      <c r="F2523" s="158" t="str">
        <f>+VLOOKUP(H2523,'code mapping'!A:C,3,0)</f>
        <v>LIC37</v>
      </c>
      <c r="G2523" s="127" t="s">
        <v>453</v>
      </c>
      <c r="H2523" s="127" t="s">
        <v>769</v>
      </c>
      <c r="I2523" s="127" t="s">
        <v>770</v>
      </c>
      <c r="J2523" s="128">
        <v>212000</v>
      </c>
      <c r="K2523" s="127" t="s">
        <v>487</v>
      </c>
      <c r="L2523" s="151">
        <v>212223</v>
      </c>
      <c r="M2523" s="128">
        <v>0</v>
      </c>
      <c r="N2523" s="127" t="s">
        <v>498</v>
      </c>
      <c r="O2523" s="127" t="s">
        <v>457</v>
      </c>
      <c r="P2523" s="128">
        <v>-111420.83</v>
      </c>
      <c r="Q2523" s="128">
        <v>0</v>
      </c>
      <c r="R2523" s="128">
        <v>0</v>
      </c>
      <c r="S2523" s="128">
        <v>0</v>
      </c>
      <c r="T2523" s="128">
        <v>-111420.83</v>
      </c>
      <c r="U2523" s="128">
        <v>0</v>
      </c>
      <c r="V2523" s="128">
        <v>-111420.83</v>
      </c>
      <c r="W2523" s="128">
        <v>0</v>
      </c>
      <c r="X2523" s="128">
        <v>0</v>
      </c>
      <c r="Y2523" s="128">
        <v>0</v>
      </c>
      <c r="Z2523" s="128">
        <v>-111420.83</v>
      </c>
      <c r="AA2523" s="128">
        <v>0</v>
      </c>
      <c r="AB2523" s="126">
        <f t="shared" si="258"/>
        <v>1.1142083000000001E-2</v>
      </c>
      <c r="AC2523" s="122" t="s">
        <v>1838</v>
      </c>
      <c r="AD2523" s="123">
        <f t="shared" si="260"/>
        <v>1983.9723217250009</v>
      </c>
    </row>
    <row r="2524" spans="1:30" ht="12.75" hidden="1" customHeight="1">
      <c r="A2524" s="125" t="str">
        <f t="shared" si="255"/>
        <v>LIC37STT Payable</v>
      </c>
      <c r="B2524" s="125">
        <f>+IFERROR(VLOOKUP(L2524,'TB mapping'!A:D,4,0),0)</f>
        <v>0</v>
      </c>
      <c r="C2524" s="125">
        <f>+IFERROR(VLOOKUP(L2524,'TB mapping'!A:C,3,0),0)</f>
        <v>0</v>
      </c>
      <c r="D2524" s="125" t="str">
        <f t="shared" si="256"/>
        <v>LIC370</v>
      </c>
      <c r="E2524" s="125" t="str">
        <f t="shared" si="257"/>
        <v>LIC370</v>
      </c>
      <c r="F2524" s="158" t="str">
        <f>+VLOOKUP(H2524,'code mapping'!A:C,3,0)</f>
        <v>LIC37</v>
      </c>
      <c r="G2524" s="127" t="s">
        <v>453</v>
      </c>
      <c r="H2524" s="127" t="s">
        <v>769</v>
      </c>
      <c r="I2524" s="127" t="s">
        <v>770</v>
      </c>
      <c r="J2524" s="128">
        <v>212000</v>
      </c>
      <c r="K2524" s="127" t="s">
        <v>487</v>
      </c>
      <c r="L2524" s="151">
        <v>212231</v>
      </c>
      <c r="M2524" s="128">
        <v>0</v>
      </c>
      <c r="N2524" s="127" t="s">
        <v>748</v>
      </c>
      <c r="O2524" s="127" t="s">
        <v>457</v>
      </c>
      <c r="P2524" s="128">
        <v>0</v>
      </c>
      <c r="Q2524" s="128">
        <v>15.33</v>
      </c>
      <c r="R2524" s="128">
        <v>0</v>
      </c>
      <c r="S2524" s="128">
        <v>0</v>
      </c>
      <c r="T2524" s="128">
        <v>0</v>
      </c>
      <c r="U2524" s="128">
        <v>15.33</v>
      </c>
      <c r="V2524" s="128">
        <v>0</v>
      </c>
      <c r="W2524" s="128">
        <v>15.33</v>
      </c>
      <c r="X2524" s="128">
        <v>0</v>
      </c>
      <c r="Y2524" s="128">
        <v>0</v>
      </c>
      <c r="Z2524" s="128">
        <v>0</v>
      </c>
      <c r="AA2524" s="128">
        <v>15.33</v>
      </c>
      <c r="AB2524" s="126">
        <f t="shared" si="258"/>
        <v>-1.533E-6</v>
      </c>
      <c r="AC2524" s="122" t="s">
        <v>1838</v>
      </c>
      <c r="AD2524" s="123">
        <f t="shared" si="260"/>
        <v>1983.9723217250009</v>
      </c>
    </row>
    <row r="2525" spans="1:30" ht="12.75" hidden="1" customHeight="1">
      <c r="A2525" s="125" t="str">
        <f t="shared" si="255"/>
        <v>LIC37Load Payable</v>
      </c>
      <c r="B2525" s="125">
        <f>+IFERROR(VLOOKUP(L2525,'TB mapping'!A:D,4,0),0)</f>
        <v>0</v>
      </c>
      <c r="C2525" s="125">
        <f>+IFERROR(VLOOKUP(L2525,'TB mapping'!A:C,3,0),0)</f>
        <v>0</v>
      </c>
      <c r="D2525" s="125" t="str">
        <f t="shared" si="256"/>
        <v>LIC370</v>
      </c>
      <c r="E2525" s="125" t="str">
        <f t="shared" si="257"/>
        <v>LIC370</v>
      </c>
      <c r="F2525" s="158" t="str">
        <f>+VLOOKUP(H2525,'code mapping'!A:C,3,0)</f>
        <v>LIC37</v>
      </c>
      <c r="G2525" s="127" t="s">
        <v>453</v>
      </c>
      <c r="H2525" s="127" t="s">
        <v>769</v>
      </c>
      <c r="I2525" s="127" t="s">
        <v>770</v>
      </c>
      <c r="J2525" s="128">
        <v>212000</v>
      </c>
      <c r="K2525" s="127" t="s">
        <v>487</v>
      </c>
      <c r="L2525" s="151">
        <v>212232</v>
      </c>
      <c r="M2525" s="128">
        <v>0</v>
      </c>
      <c r="N2525" s="127" t="s">
        <v>749</v>
      </c>
      <c r="O2525" s="127" t="s">
        <v>457</v>
      </c>
      <c r="P2525" s="128">
        <v>0</v>
      </c>
      <c r="Q2525" s="128">
        <v>3014.66</v>
      </c>
      <c r="R2525" s="128">
        <v>0</v>
      </c>
      <c r="S2525" s="128">
        <v>0</v>
      </c>
      <c r="T2525" s="128">
        <v>0</v>
      </c>
      <c r="U2525" s="128">
        <v>3014.66</v>
      </c>
      <c r="V2525" s="128">
        <v>0</v>
      </c>
      <c r="W2525" s="128">
        <v>3014.66</v>
      </c>
      <c r="X2525" s="128">
        <v>0</v>
      </c>
      <c r="Y2525" s="128">
        <v>0</v>
      </c>
      <c r="Z2525" s="128">
        <v>0</v>
      </c>
      <c r="AA2525" s="128">
        <v>3014.66</v>
      </c>
      <c r="AB2525" s="126">
        <f t="shared" si="258"/>
        <v>-3.0146599999999996E-4</v>
      </c>
      <c r="AC2525" s="122" t="s">
        <v>1838</v>
      </c>
      <c r="AD2525" s="123">
        <f t="shared" si="260"/>
        <v>1983.9723217250009</v>
      </c>
    </row>
    <row r="2526" spans="1:30" ht="12.75" hidden="1" customHeight="1">
      <c r="A2526" s="125" t="str">
        <f t="shared" si="255"/>
        <v>LIC37Investor Education Payable</v>
      </c>
      <c r="B2526" s="125">
        <f>+IFERROR(VLOOKUP(L2526,'TB mapping'!A:D,4,0),0)</f>
        <v>0</v>
      </c>
      <c r="C2526" s="125">
        <f>+IFERROR(VLOOKUP(L2526,'TB mapping'!A:C,3,0),0)</f>
        <v>0</v>
      </c>
      <c r="D2526" s="125" t="str">
        <f t="shared" si="256"/>
        <v>LIC370</v>
      </c>
      <c r="E2526" s="125" t="str">
        <f t="shared" si="257"/>
        <v>LIC370</v>
      </c>
      <c r="F2526" s="158" t="str">
        <f>+VLOOKUP(H2526,'code mapping'!A:C,3,0)</f>
        <v>LIC37</v>
      </c>
      <c r="G2526" s="127" t="s">
        <v>453</v>
      </c>
      <c r="H2526" s="127" t="s">
        <v>769</v>
      </c>
      <c r="I2526" s="127" t="s">
        <v>770</v>
      </c>
      <c r="J2526" s="128">
        <v>212000</v>
      </c>
      <c r="K2526" s="127" t="s">
        <v>487</v>
      </c>
      <c r="L2526" s="151">
        <v>212240</v>
      </c>
      <c r="M2526" s="128">
        <v>0</v>
      </c>
      <c r="N2526" s="127" t="s">
        <v>500</v>
      </c>
      <c r="O2526" s="127" t="s">
        <v>457</v>
      </c>
      <c r="P2526" s="128">
        <v>0</v>
      </c>
      <c r="Q2526" s="128">
        <v>1175.03</v>
      </c>
      <c r="R2526" s="128">
        <v>0</v>
      </c>
      <c r="S2526" s="128">
        <v>0</v>
      </c>
      <c r="T2526" s="128">
        <v>0</v>
      </c>
      <c r="U2526" s="128">
        <v>1175.03</v>
      </c>
      <c r="V2526" s="128">
        <v>0</v>
      </c>
      <c r="W2526" s="128">
        <v>1175.03</v>
      </c>
      <c r="X2526" s="128">
        <v>0</v>
      </c>
      <c r="Y2526" s="128">
        <v>0</v>
      </c>
      <c r="Z2526" s="128">
        <v>0</v>
      </c>
      <c r="AA2526" s="128">
        <v>1175.03</v>
      </c>
      <c r="AB2526" s="126">
        <f t="shared" si="258"/>
        <v>-1.17503E-4</v>
      </c>
      <c r="AC2526" s="122" t="s">
        <v>1838</v>
      </c>
      <c r="AD2526" s="123">
        <f t="shared" si="260"/>
        <v>1983.9723217250009</v>
      </c>
    </row>
    <row r="2527" spans="1:30" ht="12.75" hidden="1" customHeight="1">
      <c r="A2527" s="125" t="str">
        <f t="shared" si="255"/>
        <v>LIC37Transaction Charges Payable</v>
      </c>
      <c r="B2527" s="125">
        <f>+IFERROR(VLOOKUP(L2527,'TB mapping'!A:D,4,0),0)</f>
        <v>0</v>
      </c>
      <c r="C2527" s="125">
        <f>+IFERROR(VLOOKUP(L2527,'TB mapping'!A:C,3,0),0)</f>
        <v>0</v>
      </c>
      <c r="D2527" s="125" t="str">
        <f t="shared" si="256"/>
        <v>LIC370</v>
      </c>
      <c r="E2527" s="125" t="str">
        <f t="shared" si="257"/>
        <v>LIC370</v>
      </c>
      <c r="F2527" s="158" t="str">
        <f>+VLOOKUP(H2527,'code mapping'!A:C,3,0)</f>
        <v>LIC37</v>
      </c>
      <c r="G2527" s="127" t="s">
        <v>453</v>
      </c>
      <c r="H2527" s="127" t="s">
        <v>769</v>
      </c>
      <c r="I2527" s="127" t="s">
        <v>770</v>
      </c>
      <c r="J2527" s="128">
        <v>212000</v>
      </c>
      <c r="K2527" s="127" t="s">
        <v>487</v>
      </c>
      <c r="L2527" s="151">
        <v>212247</v>
      </c>
      <c r="M2527" s="128">
        <v>0</v>
      </c>
      <c r="N2527" s="127" t="s">
        <v>501</v>
      </c>
      <c r="O2527" s="127" t="s">
        <v>457</v>
      </c>
      <c r="P2527" s="128">
        <v>0</v>
      </c>
      <c r="Q2527" s="128">
        <v>113</v>
      </c>
      <c r="R2527" s="128">
        <v>0</v>
      </c>
      <c r="S2527" s="128">
        <v>0</v>
      </c>
      <c r="T2527" s="128">
        <v>0</v>
      </c>
      <c r="U2527" s="128">
        <v>113</v>
      </c>
      <c r="V2527" s="128">
        <v>0</v>
      </c>
      <c r="W2527" s="128">
        <v>113</v>
      </c>
      <c r="X2527" s="128">
        <v>0</v>
      </c>
      <c r="Y2527" s="128">
        <v>0</v>
      </c>
      <c r="Z2527" s="128">
        <v>0</v>
      </c>
      <c r="AA2527" s="128">
        <v>113</v>
      </c>
      <c r="AB2527" s="126">
        <f t="shared" si="258"/>
        <v>-1.13E-5</v>
      </c>
      <c r="AC2527" s="122" t="s">
        <v>1838</v>
      </c>
      <c r="AD2527" s="123">
        <f t="shared" si="260"/>
        <v>1983.9723217250009</v>
      </c>
    </row>
    <row r="2528" spans="1:30" ht="12.75" hidden="1" customHeight="1">
      <c r="A2528" s="125" t="str">
        <f t="shared" si="255"/>
        <v>LIC37Brokerage &amp; Dist Exp Payable</v>
      </c>
      <c r="B2528" s="125">
        <f>+IFERROR(VLOOKUP(L2528,'TB mapping'!A:D,4,0),0)</f>
        <v>0</v>
      </c>
      <c r="C2528" s="125">
        <f>+IFERROR(VLOOKUP(L2528,'TB mapping'!A:C,3,0),0)</f>
        <v>0</v>
      </c>
      <c r="D2528" s="125" t="str">
        <f t="shared" si="256"/>
        <v>LIC370</v>
      </c>
      <c r="E2528" s="125" t="str">
        <f t="shared" si="257"/>
        <v>LIC370</v>
      </c>
      <c r="F2528" s="158" t="str">
        <f>+VLOOKUP(H2528,'code mapping'!A:C,3,0)</f>
        <v>LIC37</v>
      </c>
      <c r="G2528" s="127" t="s">
        <v>453</v>
      </c>
      <c r="H2528" s="127" t="s">
        <v>769</v>
      </c>
      <c r="I2528" s="127" t="s">
        <v>770</v>
      </c>
      <c r="J2528" s="128">
        <v>212000</v>
      </c>
      <c r="K2528" s="127" t="s">
        <v>487</v>
      </c>
      <c r="L2528" s="151">
        <v>212255</v>
      </c>
      <c r="M2528" s="128">
        <v>0</v>
      </c>
      <c r="N2528" s="127" t="s">
        <v>503</v>
      </c>
      <c r="O2528" s="127" t="s">
        <v>457</v>
      </c>
      <c r="P2528" s="128">
        <v>0</v>
      </c>
      <c r="Q2528" s="128">
        <v>229359.44</v>
      </c>
      <c r="R2528" s="128">
        <v>0</v>
      </c>
      <c r="S2528" s="128">
        <v>0</v>
      </c>
      <c r="T2528" s="128">
        <v>0</v>
      </c>
      <c r="U2528" s="128">
        <v>229359.44</v>
      </c>
      <c r="V2528" s="128">
        <v>0</v>
      </c>
      <c r="W2528" s="128">
        <v>229359.44</v>
      </c>
      <c r="X2528" s="128">
        <v>0</v>
      </c>
      <c r="Y2528" s="128">
        <v>0</v>
      </c>
      <c r="Z2528" s="128">
        <v>0</v>
      </c>
      <c r="AA2528" s="128">
        <v>229359.44</v>
      </c>
      <c r="AB2528" s="126">
        <f t="shared" si="258"/>
        <v>-2.2935944E-2</v>
      </c>
      <c r="AC2528" s="122" t="s">
        <v>1838</v>
      </c>
      <c r="AD2528" s="123">
        <f t="shared" si="260"/>
        <v>1983.9723217250009</v>
      </c>
    </row>
    <row r="2529" spans="1:30" ht="12.75" hidden="1" customHeight="1">
      <c r="A2529" s="125" t="str">
        <f t="shared" si="255"/>
        <v>LIC37Upfront Brk &amp; Trail Paid-Liab</v>
      </c>
      <c r="B2529" s="125">
        <f>+IFERROR(VLOOKUP(L2529,'TB mapping'!A:D,4,0),0)</f>
        <v>0</v>
      </c>
      <c r="C2529" s="125">
        <f>+IFERROR(VLOOKUP(L2529,'TB mapping'!A:C,3,0),0)</f>
        <v>0</v>
      </c>
      <c r="D2529" s="125" t="str">
        <f t="shared" si="256"/>
        <v>LIC370</v>
      </c>
      <c r="E2529" s="125" t="str">
        <f t="shared" si="257"/>
        <v>LIC370</v>
      </c>
      <c r="F2529" s="158" t="str">
        <f>+VLOOKUP(H2529,'code mapping'!A:C,3,0)</f>
        <v>LIC37</v>
      </c>
      <c r="G2529" s="127" t="s">
        <v>453</v>
      </c>
      <c r="H2529" s="127" t="s">
        <v>769</v>
      </c>
      <c r="I2529" s="127" t="s">
        <v>770</v>
      </c>
      <c r="J2529" s="128">
        <v>212000</v>
      </c>
      <c r="K2529" s="127" t="s">
        <v>487</v>
      </c>
      <c r="L2529" s="151">
        <v>212257</v>
      </c>
      <c r="M2529" s="128">
        <v>0</v>
      </c>
      <c r="N2529" s="127" t="s">
        <v>504</v>
      </c>
      <c r="O2529" s="127" t="s">
        <v>457</v>
      </c>
      <c r="P2529" s="128">
        <v>0</v>
      </c>
      <c r="Q2529" s="128">
        <v>1254.05</v>
      </c>
      <c r="R2529" s="128">
        <v>0</v>
      </c>
      <c r="S2529" s="128">
        <v>0</v>
      </c>
      <c r="T2529" s="128">
        <v>0</v>
      </c>
      <c r="U2529" s="128">
        <v>1254.05</v>
      </c>
      <c r="V2529" s="128">
        <v>0</v>
      </c>
      <c r="W2529" s="128">
        <v>1254.05</v>
      </c>
      <c r="X2529" s="128">
        <v>0</v>
      </c>
      <c r="Y2529" s="128">
        <v>0</v>
      </c>
      <c r="Z2529" s="128">
        <v>0</v>
      </c>
      <c r="AA2529" s="128">
        <v>1254.05</v>
      </c>
      <c r="AB2529" s="126">
        <f t="shared" si="258"/>
        <v>-1.2540499999999998E-4</v>
      </c>
      <c r="AC2529" s="122" t="s">
        <v>1838</v>
      </c>
      <c r="AD2529" s="123">
        <f t="shared" si="260"/>
        <v>1983.9723217250009</v>
      </c>
    </row>
    <row r="2530" spans="1:30" ht="12.75" hidden="1" customHeight="1">
      <c r="A2530" s="125" t="str">
        <f t="shared" si="255"/>
        <v>LIC37Payable CGST on Mfees</v>
      </c>
      <c r="B2530" s="125">
        <f>+IFERROR(VLOOKUP(L2530,'TB mapping'!A:D,4,0),0)</f>
        <v>0</v>
      </c>
      <c r="C2530" s="125">
        <f>+IFERROR(VLOOKUP(L2530,'TB mapping'!A:C,3,0),0)</f>
        <v>0</v>
      </c>
      <c r="D2530" s="125" t="str">
        <f t="shared" si="256"/>
        <v>LIC370</v>
      </c>
      <c r="E2530" s="125" t="str">
        <f t="shared" si="257"/>
        <v>LIC370</v>
      </c>
      <c r="F2530" s="158" t="str">
        <f>+VLOOKUP(H2530,'code mapping'!A:C,3,0)</f>
        <v>LIC37</v>
      </c>
      <c r="G2530" s="127" t="s">
        <v>453</v>
      </c>
      <c r="H2530" s="127" t="s">
        <v>769</v>
      </c>
      <c r="I2530" s="127" t="s">
        <v>770</v>
      </c>
      <c r="J2530" s="128">
        <v>212000</v>
      </c>
      <c r="K2530" s="127" t="s">
        <v>487</v>
      </c>
      <c r="L2530" s="151">
        <v>212271</v>
      </c>
      <c r="M2530" s="128">
        <v>0</v>
      </c>
      <c r="N2530" s="127" t="s">
        <v>505</v>
      </c>
      <c r="O2530" s="127" t="s">
        <v>457</v>
      </c>
      <c r="P2530" s="128">
        <v>0</v>
      </c>
      <c r="Q2530" s="128">
        <v>1160.7</v>
      </c>
      <c r="R2530" s="128">
        <v>0</v>
      </c>
      <c r="S2530" s="128">
        <v>0</v>
      </c>
      <c r="T2530" s="128">
        <v>0</v>
      </c>
      <c r="U2530" s="128">
        <v>1160.7</v>
      </c>
      <c r="V2530" s="128">
        <v>0</v>
      </c>
      <c r="W2530" s="128">
        <v>1160.7</v>
      </c>
      <c r="X2530" s="128">
        <v>0</v>
      </c>
      <c r="Y2530" s="128">
        <v>0</v>
      </c>
      <c r="Z2530" s="128">
        <v>0</v>
      </c>
      <c r="AA2530" s="128">
        <v>1160.7</v>
      </c>
      <c r="AB2530" s="126">
        <f t="shared" si="258"/>
        <v>-1.1607000000000001E-4</v>
      </c>
      <c r="AC2530" s="122" t="s">
        <v>1838</v>
      </c>
      <c r="AD2530" s="123">
        <f t="shared" si="260"/>
        <v>1983.9723217250009</v>
      </c>
    </row>
    <row r="2531" spans="1:30" ht="12.75" hidden="1" customHeight="1">
      <c r="A2531" s="125" t="str">
        <f t="shared" si="255"/>
        <v>LIC37Payable SGST on Mfees</v>
      </c>
      <c r="B2531" s="125">
        <f>+IFERROR(VLOOKUP(L2531,'TB mapping'!A:D,4,0),0)</f>
        <v>0</v>
      </c>
      <c r="C2531" s="125">
        <f>+IFERROR(VLOOKUP(L2531,'TB mapping'!A:C,3,0),0)</f>
        <v>0</v>
      </c>
      <c r="D2531" s="125" t="str">
        <f t="shared" si="256"/>
        <v>LIC370</v>
      </c>
      <c r="E2531" s="125" t="str">
        <f t="shared" si="257"/>
        <v>LIC370</v>
      </c>
      <c r="F2531" s="158" t="str">
        <f>+VLOOKUP(H2531,'code mapping'!A:C,3,0)</f>
        <v>LIC37</v>
      </c>
      <c r="G2531" s="127" t="s">
        <v>453</v>
      </c>
      <c r="H2531" s="127" t="s">
        <v>769</v>
      </c>
      <c r="I2531" s="127" t="s">
        <v>770</v>
      </c>
      <c r="J2531" s="128">
        <v>212000</v>
      </c>
      <c r="K2531" s="127" t="s">
        <v>487</v>
      </c>
      <c r="L2531" s="151">
        <v>212272</v>
      </c>
      <c r="M2531" s="128">
        <v>0</v>
      </c>
      <c r="N2531" s="127" t="s">
        <v>506</v>
      </c>
      <c r="O2531" s="127" t="s">
        <v>457</v>
      </c>
      <c r="P2531" s="128">
        <v>0</v>
      </c>
      <c r="Q2531" s="128">
        <v>1160.7</v>
      </c>
      <c r="R2531" s="128">
        <v>0</v>
      </c>
      <c r="S2531" s="128">
        <v>0</v>
      </c>
      <c r="T2531" s="128">
        <v>0</v>
      </c>
      <c r="U2531" s="128">
        <v>1160.7</v>
      </c>
      <c r="V2531" s="128">
        <v>0</v>
      </c>
      <c r="W2531" s="128">
        <v>1160.7</v>
      </c>
      <c r="X2531" s="128">
        <v>0</v>
      </c>
      <c r="Y2531" s="128">
        <v>0</v>
      </c>
      <c r="Z2531" s="128">
        <v>0</v>
      </c>
      <c r="AA2531" s="128">
        <v>1160.7</v>
      </c>
      <c r="AB2531" s="126">
        <f t="shared" si="258"/>
        <v>-1.1607000000000001E-4</v>
      </c>
      <c r="AC2531" s="122" t="s">
        <v>1838</v>
      </c>
      <c r="AD2531" s="123">
        <f t="shared" si="260"/>
        <v>1983.9723217250009</v>
      </c>
    </row>
    <row r="2532" spans="1:30" ht="12.75" hidden="1" customHeight="1">
      <c r="A2532" s="125" t="str">
        <f t="shared" si="255"/>
        <v>LIC37Payable -Inv Educ Fund-AMFI</v>
      </c>
      <c r="B2532" s="125">
        <f>+IFERROR(VLOOKUP(L2532,'TB mapping'!A:D,4,0),0)</f>
        <v>0</v>
      </c>
      <c r="C2532" s="125">
        <f>+IFERROR(VLOOKUP(L2532,'TB mapping'!A:C,3,0),0)</f>
        <v>0</v>
      </c>
      <c r="D2532" s="125" t="str">
        <f t="shared" si="256"/>
        <v>LIC370</v>
      </c>
      <c r="E2532" s="125" t="str">
        <f t="shared" si="257"/>
        <v>LIC370</v>
      </c>
      <c r="F2532" s="158" t="str">
        <f>+VLOOKUP(H2532,'code mapping'!A:C,3,0)</f>
        <v>LIC37</v>
      </c>
      <c r="G2532" s="127" t="s">
        <v>453</v>
      </c>
      <c r="H2532" s="127" t="s">
        <v>769</v>
      </c>
      <c r="I2532" s="127" t="s">
        <v>770</v>
      </c>
      <c r="J2532" s="128">
        <v>212000</v>
      </c>
      <c r="K2532" s="127" t="s">
        <v>487</v>
      </c>
      <c r="L2532" s="151">
        <v>213166</v>
      </c>
      <c r="M2532" s="128">
        <v>0</v>
      </c>
      <c r="N2532" s="127" t="s">
        <v>507</v>
      </c>
      <c r="O2532" s="127" t="s">
        <v>457</v>
      </c>
      <c r="P2532" s="128">
        <v>0</v>
      </c>
      <c r="Q2532" s="128">
        <v>1175.03</v>
      </c>
      <c r="R2532" s="128">
        <v>0</v>
      </c>
      <c r="S2532" s="128">
        <v>0</v>
      </c>
      <c r="T2532" s="128">
        <v>0</v>
      </c>
      <c r="U2532" s="128">
        <v>1175.03</v>
      </c>
      <c r="V2532" s="128">
        <v>0</v>
      </c>
      <c r="W2532" s="128">
        <v>1175.03</v>
      </c>
      <c r="X2532" s="128">
        <v>0</v>
      </c>
      <c r="Y2532" s="128">
        <v>0</v>
      </c>
      <c r="Z2532" s="128">
        <v>0</v>
      </c>
      <c r="AA2532" s="128">
        <v>1175.03</v>
      </c>
      <c r="AB2532" s="126">
        <f t="shared" si="258"/>
        <v>-1.17503E-4</v>
      </c>
      <c r="AC2532" s="122" t="s">
        <v>1838</v>
      </c>
      <c r="AD2532" s="123">
        <f t="shared" si="260"/>
        <v>1983.9723217250009</v>
      </c>
    </row>
    <row r="2533" spans="1:30" ht="12.75" hidden="1" customHeight="1">
      <c r="A2533" s="125" t="str">
        <f t="shared" si="255"/>
        <v>LIC37Management Fee Payable</v>
      </c>
      <c r="B2533" s="125">
        <f>+IFERROR(VLOOKUP(L2533,'TB mapping'!A:D,4,0),0)</f>
        <v>0</v>
      </c>
      <c r="C2533" s="125">
        <f>+IFERROR(VLOOKUP(L2533,'TB mapping'!A:C,3,0),0)</f>
        <v>0</v>
      </c>
      <c r="D2533" s="125" t="str">
        <f t="shared" si="256"/>
        <v>LIC370</v>
      </c>
      <c r="E2533" s="125" t="str">
        <f t="shared" si="257"/>
        <v>LIC370</v>
      </c>
      <c r="F2533" s="158" t="str">
        <f>+VLOOKUP(H2533,'code mapping'!A:C,3,0)</f>
        <v>LIC37</v>
      </c>
      <c r="G2533" s="127" t="s">
        <v>453</v>
      </c>
      <c r="H2533" s="127" t="s">
        <v>769</v>
      </c>
      <c r="I2533" s="127" t="s">
        <v>770</v>
      </c>
      <c r="J2533" s="128">
        <v>213000</v>
      </c>
      <c r="K2533" s="127" t="s">
        <v>508</v>
      </c>
      <c r="L2533" s="151">
        <v>213500</v>
      </c>
      <c r="M2533" s="128">
        <v>0</v>
      </c>
      <c r="N2533" s="127" t="s">
        <v>509</v>
      </c>
      <c r="O2533" s="127" t="s">
        <v>457</v>
      </c>
      <c r="P2533" s="128">
        <v>0</v>
      </c>
      <c r="Q2533" s="128">
        <v>12896.18</v>
      </c>
      <c r="R2533" s="128">
        <v>0</v>
      </c>
      <c r="S2533" s="128">
        <v>0</v>
      </c>
      <c r="T2533" s="128">
        <v>0</v>
      </c>
      <c r="U2533" s="128">
        <v>12896.18</v>
      </c>
      <c r="V2533" s="128">
        <v>0</v>
      </c>
      <c r="W2533" s="128">
        <v>12896.18</v>
      </c>
      <c r="X2533" s="128">
        <v>0</v>
      </c>
      <c r="Y2533" s="128">
        <v>0</v>
      </c>
      <c r="Z2533" s="128">
        <v>0</v>
      </c>
      <c r="AA2533" s="128">
        <v>12896.18</v>
      </c>
      <c r="AB2533" s="126">
        <f t="shared" si="258"/>
        <v>-1.289618E-3</v>
      </c>
      <c r="AC2533" s="122" t="s">
        <v>1838</v>
      </c>
      <c r="AD2533" s="123">
        <f t="shared" si="260"/>
        <v>1983.9723217250009</v>
      </c>
    </row>
    <row r="2534" spans="1:30" ht="12.75" hidden="1" customHeight="1">
      <c r="A2534" s="125" t="str">
        <f t="shared" si="255"/>
        <v>LIC37Other Adjustment A/c.</v>
      </c>
      <c r="B2534" s="125">
        <f>+IFERROR(VLOOKUP(L2534,'TB mapping'!A:D,4,0),0)</f>
        <v>0</v>
      </c>
      <c r="C2534" s="125">
        <f>+IFERROR(VLOOKUP(L2534,'TB mapping'!A:C,3,0),0)</f>
        <v>0</v>
      </c>
      <c r="D2534" s="125" t="str">
        <f t="shared" si="256"/>
        <v>LIC370</v>
      </c>
      <c r="E2534" s="125" t="str">
        <f t="shared" si="257"/>
        <v>LIC370</v>
      </c>
      <c r="F2534" s="158" t="str">
        <f>+VLOOKUP(H2534,'code mapping'!A:C,3,0)</f>
        <v>LIC37</v>
      </c>
      <c r="G2534" s="127" t="s">
        <v>453</v>
      </c>
      <c r="H2534" s="127" t="s">
        <v>769</v>
      </c>
      <c r="I2534" s="127" t="s">
        <v>770</v>
      </c>
      <c r="J2534" s="128">
        <v>220000</v>
      </c>
      <c r="K2534" s="127" t="s">
        <v>510</v>
      </c>
      <c r="L2534" s="151">
        <v>190000</v>
      </c>
      <c r="M2534" s="128">
        <v>0</v>
      </c>
      <c r="N2534" s="127" t="s">
        <v>511</v>
      </c>
      <c r="O2534" s="127" t="s">
        <v>457</v>
      </c>
      <c r="P2534" s="128">
        <v>0</v>
      </c>
      <c r="Q2534" s="128">
        <v>1.86</v>
      </c>
      <c r="R2534" s="128">
        <v>0</v>
      </c>
      <c r="S2534" s="128">
        <v>0</v>
      </c>
      <c r="T2534" s="128">
        <v>0</v>
      </c>
      <c r="U2534" s="128">
        <v>1.86</v>
      </c>
      <c r="V2534" s="128">
        <v>0</v>
      </c>
      <c r="W2534" s="128">
        <v>1.86</v>
      </c>
      <c r="X2534" s="128">
        <v>0</v>
      </c>
      <c r="Y2534" s="128">
        <v>0</v>
      </c>
      <c r="Z2534" s="128">
        <v>0</v>
      </c>
      <c r="AA2534" s="128">
        <v>1.86</v>
      </c>
      <c r="AB2534" s="126">
        <f t="shared" si="258"/>
        <v>-1.86E-7</v>
      </c>
      <c r="AC2534" s="122" t="s">
        <v>1838</v>
      </c>
      <c r="AD2534" s="123">
        <f t="shared" si="260"/>
        <v>1983.9723217250009</v>
      </c>
    </row>
    <row r="2535" spans="1:30" ht="12.75" hidden="1" customHeight="1">
      <c r="A2535" s="125" t="str">
        <f t="shared" si="255"/>
        <v>LIC37Prov For Withholding Brokerage</v>
      </c>
      <c r="B2535" s="125">
        <f>+IFERROR(VLOOKUP(L2535,'TB mapping'!A:D,4,0),0)</f>
        <v>0</v>
      </c>
      <c r="C2535" s="125">
        <f>+IFERROR(VLOOKUP(L2535,'TB mapping'!A:C,3,0),0)</f>
        <v>0</v>
      </c>
      <c r="D2535" s="125" t="str">
        <f t="shared" si="256"/>
        <v>LIC370</v>
      </c>
      <c r="E2535" s="125" t="str">
        <f t="shared" si="257"/>
        <v>LIC370</v>
      </c>
      <c r="F2535" s="158" t="str">
        <f>+VLOOKUP(H2535,'code mapping'!A:C,3,0)</f>
        <v>LIC37</v>
      </c>
      <c r="G2535" s="127" t="s">
        <v>453</v>
      </c>
      <c r="H2535" s="127" t="s">
        <v>769</v>
      </c>
      <c r="I2535" s="127" t="s">
        <v>770</v>
      </c>
      <c r="J2535" s="128">
        <v>220000</v>
      </c>
      <c r="K2535" s="127" t="s">
        <v>510</v>
      </c>
      <c r="L2535" s="151">
        <v>210162</v>
      </c>
      <c r="M2535" s="128">
        <v>0</v>
      </c>
      <c r="N2535" s="127" t="s">
        <v>512</v>
      </c>
      <c r="O2535" s="127" t="s">
        <v>457</v>
      </c>
      <c r="P2535" s="128">
        <v>0</v>
      </c>
      <c r="Q2535" s="128">
        <v>67781.040000000008</v>
      </c>
      <c r="R2535" s="128">
        <v>0</v>
      </c>
      <c r="S2535" s="128">
        <v>0</v>
      </c>
      <c r="T2535" s="128">
        <v>0</v>
      </c>
      <c r="U2535" s="128">
        <v>67781.040000000008</v>
      </c>
      <c r="V2535" s="128">
        <v>0</v>
      </c>
      <c r="W2535" s="128">
        <v>67781.040000000008</v>
      </c>
      <c r="X2535" s="128">
        <v>0</v>
      </c>
      <c r="Y2535" s="128">
        <v>0</v>
      </c>
      <c r="Z2535" s="128">
        <v>0</v>
      </c>
      <c r="AA2535" s="128">
        <v>67781.040000000008</v>
      </c>
      <c r="AB2535" s="126">
        <f t="shared" si="258"/>
        <v>-6.7781040000000009E-3</v>
      </c>
      <c r="AC2535" s="122" t="s">
        <v>1838</v>
      </c>
      <c r="AD2535" s="123">
        <f t="shared" si="260"/>
        <v>1983.9723217250009</v>
      </c>
    </row>
    <row r="2536" spans="1:30" ht="12.75" hidden="1" customHeight="1">
      <c r="A2536" s="125" t="str">
        <f t="shared" si="255"/>
        <v>LIC37Prov  Withholding Brok 2016-17</v>
      </c>
      <c r="B2536" s="125">
        <f>+IFERROR(VLOOKUP(L2536,'TB mapping'!A:D,4,0),0)</f>
        <v>0</v>
      </c>
      <c r="C2536" s="125">
        <f>+IFERROR(VLOOKUP(L2536,'TB mapping'!A:C,3,0),0)</f>
        <v>0</v>
      </c>
      <c r="D2536" s="125" t="str">
        <f t="shared" si="256"/>
        <v>LIC370</v>
      </c>
      <c r="E2536" s="125" t="str">
        <f t="shared" si="257"/>
        <v>LIC370</v>
      </c>
      <c r="F2536" s="158" t="str">
        <f>+VLOOKUP(H2536,'code mapping'!A:C,3,0)</f>
        <v>LIC37</v>
      </c>
      <c r="G2536" s="127" t="s">
        <v>453</v>
      </c>
      <c r="H2536" s="127" t="s">
        <v>769</v>
      </c>
      <c r="I2536" s="127" t="s">
        <v>770</v>
      </c>
      <c r="J2536" s="128">
        <v>220000</v>
      </c>
      <c r="K2536" s="127" t="s">
        <v>510</v>
      </c>
      <c r="L2536" s="151">
        <v>210163</v>
      </c>
      <c r="M2536" s="128">
        <v>0</v>
      </c>
      <c r="N2536" s="127" t="s">
        <v>513</v>
      </c>
      <c r="O2536" s="127" t="s">
        <v>457</v>
      </c>
      <c r="P2536" s="128">
        <v>0</v>
      </c>
      <c r="Q2536" s="128">
        <v>78874.11</v>
      </c>
      <c r="R2536" s="128">
        <v>0</v>
      </c>
      <c r="S2536" s="128">
        <v>0</v>
      </c>
      <c r="T2536" s="128">
        <v>0</v>
      </c>
      <c r="U2536" s="128">
        <v>78874.11</v>
      </c>
      <c r="V2536" s="128">
        <v>0</v>
      </c>
      <c r="W2536" s="128">
        <v>78874.11</v>
      </c>
      <c r="X2536" s="128">
        <v>0</v>
      </c>
      <c r="Y2536" s="128">
        <v>0</v>
      </c>
      <c r="Z2536" s="128">
        <v>0</v>
      </c>
      <c r="AA2536" s="128">
        <v>78874.11</v>
      </c>
      <c r="AB2536" s="126">
        <f t="shared" si="258"/>
        <v>-7.8874110000000004E-3</v>
      </c>
      <c r="AC2536" s="122" t="s">
        <v>1838</v>
      </c>
      <c r="AD2536" s="123">
        <f t="shared" si="260"/>
        <v>1983.9723217250009</v>
      </c>
    </row>
    <row r="2537" spans="1:30" ht="12.75" hidden="1" customHeight="1">
      <c r="A2537" s="125" t="str">
        <f t="shared" si="255"/>
        <v>LIC37Unit Capital</v>
      </c>
      <c r="B2537" s="125">
        <f>+IFERROR(VLOOKUP(L2537,'TB mapping'!A:D,4,0),0)</f>
        <v>0</v>
      </c>
      <c r="C2537" s="125">
        <f>+IFERROR(VLOOKUP(L2537,'TB mapping'!A:C,3,0),0)</f>
        <v>0</v>
      </c>
      <c r="D2537" s="125" t="str">
        <f t="shared" si="256"/>
        <v>LIC370</v>
      </c>
      <c r="E2537" s="125" t="str">
        <f t="shared" si="257"/>
        <v>LIC370</v>
      </c>
      <c r="F2537" s="158" t="str">
        <f>+VLOOKUP(H2537,'code mapping'!A:C,3,0)</f>
        <v>LIC37</v>
      </c>
      <c r="G2537" s="127" t="s">
        <v>453</v>
      </c>
      <c r="H2537" s="127" t="s">
        <v>769</v>
      </c>
      <c r="I2537" s="127" t="s">
        <v>770</v>
      </c>
      <c r="J2537" s="128">
        <v>301000</v>
      </c>
      <c r="K2537" s="127" t="s">
        <v>514</v>
      </c>
      <c r="L2537" s="151">
        <v>310000</v>
      </c>
      <c r="M2537" s="128">
        <v>0</v>
      </c>
      <c r="N2537" s="127" t="s">
        <v>515</v>
      </c>
      <c r="O2537" s="127" t="s">
        <v>457</v>
      </c>
      <c r="P2537" s="128">
        <v>0</v>
      </c>
      <c r="Q2537" s="128">
        <v>30548468.34</v>
      </c>
      <c r="R2537" s="128">
        <v>0</v>
      </c>
      <c r="S2537" s="128">
        <v>0</v>
      </c>
      <c r="T2537" s="128">
        <v>0</v>
      </c>
      <c r="U2537" s="128">
        <v>30548468.34</v>
      </c>
      <c r="V2537" s="128">
        <v>0</v>
      </c>
      <c r="W2537" s="128">
        <v>30548468.34</v>
      </c>
      <c r="X2537" s="128">
        <v>0</v>
      </c>
      <c r="Y2537" s="128">
        <v>0</v>
      </c>
      <c r="Z2537" s="128">
        <v>0</v>
      </c>
      <c r="AA2537" s="128">
        <v>30548468.34</v>
      </c>
      <c r="AB2537" s="126">
        <f t="shared" si="258"/>
        <v>-3.0548468340000001</v>
      </c>
      <c r="AC2537" s="122" t="s">
        <v>1838</v>
      </c>
      <c r="AD2537" s="123">
        <f t="shared" si="260"/>
        <v>1983.9723217250009</v>
      </c>
    </row>
    <row r="2538" spans="1:30" ht="12.75" hidden="1" customHeight="1">
      <c r="A2538" s="125" t="str">
        <f t="shared" si="255"/>
        <v>LIC37Unit Premium Reserve- RG</v>
      </c>
      <c r="B2538" s="125">
        <f>+IFERROR(VLOOKUP(L2538,'TB mapping'!A:D,4,0),0)</f>
        <v>0</v>
      </c>
      <c r="C2538" s="125">
        <f>+IFERROR(VLOOKUP(L2538,'TB mapping'!A:C,3,0),0)</f>
        <v>0</v>
      </c>
      <c r="D2538" s="125" t="str">
        <f t="shared" si="256"/>
        <v>LIC370</v>
      </c>
      <c r="E2538" s="125" t="str">
        <f t="shared" si="257"/>
        <v>LIC370</v>
      </c>
      <c r="F2538" s="158" t="str">
        <f>+VLOOKUP(H2538,'code mapping'!A:C,3,0)</f>
        <v>LIC37</v>
      </c>
      <c r="G2538" s="127" t="s">
        <v>453</v>
      </c>
      <c r="H2538" s="127" t="s">
        <v>769</v>
      </c>
      <c r="I2538" s="127" t="s">
        <v>770</v>
      </c>
      <c r="J2538" s="128">
        <v>303000</v>
      </c>
      <c r="K2538" s="127" t="s">
        <v>516</v>
      </c>
      <c r="L2538" s="151">
        <v>303201</v>
      </c>
      <c r="M2538" s="128">
        <v>0</v>
      </c>
      <c r="N2538" s="127" t="s">
        <v>517</v>
      </c>
      <c r="O2538" s="127" t="s">
        <v>457</v>
      </c>
      <c r="P2538" s="128">
        <v>-81633940.129999995</v>
      </c>
      <c r="Q2538" s="128">
        <v>0</v>
      </c>
      <c r="R2538" s="128">
        <v>0</v>
      </c>
      <c r="S2538" s="128">
        <v>0</v>
      </c>
      <c r="T2538" s="128">
        <v>-81633940.129999995</v>
      </c>
      <c r="U2538" s="128">
        <v>0</v>
      </c>
      <c r="V2538" s="128">
        <v>-81633940.129999995</v>
      </c>
      <c r="W2538" s="128">
        <v>0</v>
      </c>
      <c r="X2538" s="128">
        <v>0</v>
      </c>
      <c r="Y2538" s="128">
        <v>0</v>
      </c>
      <c r="Z2538" s="128">
        <v>-81633940.129999995</v>
      </c>
      <c r="AA2538" s="128">
        <v>0</v>
      </c>
      <c r="AB2538" s="126">
        <f t="shared" si="258"/>
        <v>8.1633940129999996</v>
      </c>
      <c r="AC2538" s="122" t="s">
        <v>1838</v>
      </c>
      <c r="AD2538" s="123">
        <f t="shared" si="260"/>
        <v>1983.9723217250009</v>
      </c>
    </row>
    <row r="2539" spans="1:30" ht="12.75" hidden="1" customHeight="1">
      <c r="A2539" s="125" t="str">
        <f t="shared" si="255"/>
        <v>LIC37Unit Premium Reserve- RD</v>
      </c>
      <c r="B2539" s="125">
        <f>+IFERROR(VLOOKUP(L2539,'TB mapping'!A:D,4,0),0)</f>
        <v>0</v>
      </c>
      <c r="C2539" s="125">
        <f>+IFERROR(VLOOKUP(L2539,'TB mapping'!A:C,3,0),0)</f>
        <v>0</v>
      </c>
      <c r="D2539" s="125" t="str">
        <f t="shared" si="256"/>
        <v>LIC370</v>
      </c>
      <c r="E2539" s="125" t="str">
        <f t="shared" si="257"/>
        <v>LIC370</v>
      </c>
      <c r="F2539" s="158" t="str">
        <f>+VLOOKUP(H2539,'code mapping'!A:C,3,0)</f>
        <v>LIC37</v>
      </c>
      <c r="G2539" s="127" t="s">
        <v>453</v>
      </c>
      <c r="H2539" s="127" t="s">
        <v>769</v>
      </c>
      <c r="I2539" s="127" t="s">
        <v>770</v>
      </c>
      <c r="J2539" s="128">
        <v>303000</v>
      </c>
      <c r="K2539" s="127" t="s">
        <v>516</v>
      </c>
      <c r="L2539" s="151">
        <v>303202</v>
      </c>
      <c r="M2539" s="128">
        <v>0</v>
      </c>
      <c r="N2539" s="127" t="s">
        <v>518</v>
      </c>
      <c r="O2539" s="127" t="s">
        <v>457</v>
      </c>
      <c r="P2539" s="128">
        <v>-43154226.719999999</v>
      </c>
      <c r="Q2539" s="128">
        <v>0</v>
      </c>
      <c r="R2539" s="128">
        <v>0</v>
      </c>
      <c r="S2539" s="128">
        <v>0</v>
      </c>
      <c r="T2539" s="128">
        <v>-43154226.719999999</v>
      </c>
      <c r="U2539" s="128">
        <v>0</v>
      </c>
      <c r="V2539" s="128">
        <v>-43154226.719999999</v>
      </c>
      <c r="W2539" s="128">
        <v>0</v>
      </c>
      <c r="X2539" s="128">
        <v>0</v>
      </c>
      <c r="Y2539" s="128">
        <v>0</v>
      </c>
      <c r="Z2539" s="128">
        <v>-43154226.719999999</v>
      </c>
      <c r="AA2539" s="128">
        <v>0</v>
      </c>
      <c r="AB2539" s="126">
        <f t="shared" si="258"/>
        <v>4.3154226719999995</v>
      </c>
      <c r="AC2539" s="122" t="s">
        <v>1838</v>
      </c>
      <c r="AD2539" s="123">
        <f t="shared" si="260"/>
        <v>1983.9723217250009</v>
      </c>
    </row>
    <row r="2540" spans="1:30" ht="12.75" hidden="1" customHeight="1">
      <c r="A2540" s="125" t="str">
        <f t="shared" si="255"/>
        <v>LIC37Unit Premium Reserve-GDP</v>
      </c>
      <c r="B2540" s="125">
        <f>+IFERROR(VLOOKUP(L2540,'TB mapping'!A:D,4,0),0)</f>
        <v>0</v>
      </c>
      <c r="C2540" s="125">
        <f>+IFERROR(VLOOKUP(L2540,'TB mapping'!A:C,3,0),0)</f>
        <v>0</v>
      </c>
      <c r="D2540" s="125" t="str">
        <f t="shared" si="256"/>
        <v>LIC370</v>
      </c>
      <c r="E2540" s="125" t="str">
        <f t="shared" si="257"/>
        <v>LIC370</v>
      </c>
      <c r="F2540" s="158" t="str">
        <f>+VLOOKUP(H2540,'code mapping'!A:C,3,0)</f>
        <v>LIC37</v>
      </c>
      <c r="G2540" s="127" t="s">
        <v>453</v>
      </c>
      <c r="H2540" s="127" t="s">
        <v>769</v>
      </c>
      <c r="I2540" s="127" t="s">
        <v>770</v>
      </c>
      <c r="J2540" s="128">
        <v>303000</v>
      </c>
      <c r="K2540" s="127" t="s">
        <v>516</v>
      </c>
      <c r="L2540" s="151">
        <v>303245</v>
      </c>
      <c r="M2540" s="128">
        <v>0</v>
      </c>
      <c r="N2540" s="127" t="s">
        <v>519</v>
      </c>
      <c r="O2540" s="127" t="s">
        <v>457</v>
      </c>
      <c r="P2540" s="128">
        <v>0</v>
      </c>
      <c r="Q2540" s="128">
        <v>2809987.39</v>
      </c>
      <c r="R2540" s="128">
        <v>0</v>
      </c>
      <c r="S2540" s="128">
        <v>0</v>
      </c>
      <c r="T2540" s="128">
        <v>0</v>
      </c>
      <c r="U2540" s="128">
        <v>2809987.39</v>
      </c>
      <c r="V2540" s="128">
        <v>0</v>
      </c>
      <c r="W2540" s="128">
        <v>2809987.39</v>
      </c>
      <c r="X2540" s="128">
        <v>0</v>
      </c>
      <c r="Y2540" s="128">
        <v>0</v>
      </c>
      <c r="Z2540" s="128">
        <v>0</v>
      </c>
      <c r="AA2540" s="128">
        <v>2809987.39</v>
      </c>
      <c r="AB2540" s="126">
        <f t="shared" si="258"/>
        <v>-0.280998739</v>
      </c>
      <c r="AC2540" s="122" t="s">
        <v>1838</v>
      </c>
      <c r="AD2540" s="123">
        <f t="shared" si="260"/>
        <v>1983.9723217250009</v>
      </c>
    </row>
    <row r="2541" spans="1:30" ht="12.75" hidden="1" customHeight="1">
      <c r="A2541" s="125" t="str">
        <f t="shared" si="255"/>
        <v>LIC37Unit Premium Reserve-DDP</v>
      </c>
      <c r="B2541" s="125">
        <f>+IFERROR(VLOOKUP(L2541,'TB mapping'!A:D,4,0),0)</f>
        <v>0</v>
      </c>
      <c r="C2541" s="125">
        <f>+IFERROR(VLOOKUP(L2541,'TB mapping'!A:C,3,0),0)</f>
        <v>0</v>
      </c>
      <c r="D2541" s="125" t="str">
        <f t="shared" si="256"/>
        <v>LIC370</v>
      </c>
      <c r="E2541" s="125" t="str">
        <f t="shared" si="257"/>
        <v>LIC370</v>
      </c>
      <c r="F2541" s="158" t="str">
        <f>+VLOOKUP(H2541,'code mapping'!A:C,3,0)</f>
        <v>LIC37</v>
      </c>
      <c r="G2541" s="127" t="s">
        <v>453</v>
      </c>
      <c r="H2541" s="127" t="s">
        <v>769</v>
      </c>
      <c r="I2541" s="127" t="s">
        <v>770</v>
      </c>
      <c r="J2541" s="128">
        <v>303000</v>
      </c>
      <c r="K2541" s="127" t="s">
        <v>516</v>
      </c>
      <c r="L2541" s="151">
        <v>303246</v>
      </c>
      <c r="M2541" s="128">
        <v>0</v>
      </c>
      <c r="N2541" s="127" t="s">
        <v>520</v>
      </c>
      <c r="O2541" s="127" t="s">
        <v>457</v>
      </c>
      <c r="P2541" s="128">
        <v>0</v>
      </c>
      <c r="Q2541" s="128">
        <v>161163.79</v>
      </c>
      <c r="R2541" s="128">
        <v>0</v>
      </c>
      <c r="S2541" s="128">
        <v>0</v>
      </c>
      <c r="T2541" s="128">
        <v>0</v>
      </c>
      <c r="U2541" s="128">
        <v>161163.79</v>
      </c>
      <c r="V2541" s="128">
        <v>0</v>
      </c>
      <c r="W2541" s="128">
        <v>161163.79</v>
      </c>
      <c r="X2541" s="128">
        <v>0</v>
      </c>
      <c r="Y2541" s="128">
        <v>0</v>
      </c>
      <c r="Z2541" s="128">
        <v>0</v>
      </c>
      <c r="AA2541" s="128">
        <v>161163.79</v>
      </c>
      <c r="AB2541" s="126">
        <f t="shared" si="258"/>
        <v>-1.6116379E-2</v>
      </c>
      <c r="AC2541" s="122" t="s">
        <v>1838</v>
      </c>
      <c r="AD2541" s="123">
        <f t="shared" si="260"/>
        <v>1983.9723217250009</v>
      </c>
    </row>
    <row r="2542" spans="1:30" ht="12.75" hidden="1" customHeight="1">
      <c r="A2542" s="125" t="str">
        <f t="shared" si="255"/>
        <v>LIC37Net Earnings</v>
      </c>
      <c r="B2542" s="125">
        <f>+IFERROR(VLOOKUP(L2542,'TB mapping'!A:D,4,0),0)</f>
        <v>0</v>
      </c>
      <c r="C2542" s="125">
        <f>+IFERROR(VLOOKUP(L2542,'TB mapping'!A:C,3,0),0)</f>
        <v>0</v>
      </c>
      <c r="D2542" s="125" t="str">
        <f t="shared" si="256"/>
        <v>LIC370</v>
      </c>
      <c r="E2542" s="125" t="str">
        <f t="shared" si="257"/>
        <v>LIC370</v>
      </c>
      <c r="F2542" s="158" t="str">
        <f>+VLOOKUP(H2542,'code mapping'!A:C,3,0)</f>
        <v>LIC37</v>
      </c>
      <c r="G2542" s="127" t="s">
        <v>453</v>
      </c>
      <c r="H2542" s="127" t="s">
        <v>769</v>
      </c>
      <c r="I2542" s="127" t="s">
        <v>770</v>
      </c>
      <c r="J2542" s="128">
        <v>303000</v>
      </c>
      <c r="K2542" s="127" t="s">
        <v>516</v>
      </c>
      <c r="L2542" s="151">
        <v>390000</v>
      </c>
      <c r="M2542" s="128">
        <v>0</v>
      </c>
      <c r="N2542" s="127" t="s">
        <v>521</v>
      </c>
      <c r="O2542" s="127" t="s">
        <v>457</v>
      </c>
      <c r="P2542" s="128">
        <v>0</v>
      </c>
      <c r="Q2542" s="128">
        <v>166346553.94999999</v>
      </c>
      <c r="R2542" s="128">
        <v>0</v>
      </c>
      <c r="S2542" s="128">
        <v>0</v>
      </c>
      <c r="T2542" s="128">
        <v>0</v>
      </c>
      <c r="U2542" s="128">
        <v>166346553.94999999</v>
      </c>
      <c r="V2542" s="128">
        <v>0</v>
      </c>
      <c r="W2542" s="128">
        <v>166346553.94999999</v>
      </c>
      <c r="X2542" s="128">
        <v>0</v>
      </c>
      <c r="Y2542" s="128">
        <v>0</v>
      </c>
      <c r="Z2542" s="128">
        <v>0</v>
      </c>
      <c r="AA2542" s="128">
        <v>166346553.94999999</v>
      </c>
      <c r="AB2542" s="126">
        <f t="shared" si="258"/>
        <v>-16.634655394999999</v>
      </c>
      <c r="AC2542" s="122" t="s">
        <v>1838</v>
      </c>
      <c r="AD2542" s="123">
        <f t="shared" si="260"/>
        <v>1983.9723217250009</v>
      </c>
    </row>
    <row r="2543" spans="1:30" ht="12.75" hidden="1" customHeight="1">
      <c r="A2543" s="125" t="str">
        <f t="shared" si="255"/>
        <v>LIC37R/L G/P - Equities</v>
      </c>
      <c r="B2543" s="125">
        <f>+IFERROR(VLOOKUP(L2543,'TB mapping'!A:D,4,0),0)</f>
        <v>0</v>
      </c>
      <c r="C2543" s="125">
        <f>+IFERROR(VLOOKUP(L2543,'TB mapping'!A:C,3,0),0)</f>
        <v>5.3</v>
      </c>
      <c r="D2543" s="125" t="str">
        <f t="shared" si="256"/>
        <v>LIC370</v>
      </c>
      <c r="E2543" s="125" t="str">
        <f t="shared" si="257"/>
        <v>LIC375.3</v>
      </c>
      <c r="F2543" s="158" t="str">
        <f>+VLOOKUP(H2543,'code mapping'!A:C,3,0)</f>
        <v>LIC37</v>
      </c>
      <c r="G2543" s="127" t="s">
        <v>453</v>
      </c>
      <c r="H2543" s="127" t="s">
        <v>769</v>
      </c>
      <c r="I2543" s="127" t="s">
        <v>770</v>
      </c>
      <c r="J2543" s="128">
        <v>410000</v>
      </c>
      <c r="K2543" s="127" t="s">
        <v>522</v>
      </c>
      <c r="L2543" s="151">
        <v>411100</v>
      </c>
      <c r="M2543" s="128">
        <v>0</v>
      </c>
      <c r="N2543" s="127" t="s">
        <v>596</v>
      </c>
      <c r="O2543" s="127" t="s">
        <v>457</v>
      </c>
      <c r="P2543" s="128">
        <v>0</v>
      </c>
      <c r="Q2543" s="128">
        <v>19310608.719999999</v>
      </c>
      <c r="R2543" s="128">
        <v>0</v>
      </c>
      <c r="S2543" s="128">
        <v>0</v>
      </c>
      <c r="T2543" s="128">
        <v>0</v>
      </c>
      <c r="U2543" s="128">
        <v>19310608.719999999</v>
      </c>
      <c r="V2543" s="128">
        <v>0</v>
      </c>
      <c r="W2543" s="128">
        <v>19310608.719999999</v>
      </c>
      <c r="X2543" s="128">
        <v>0</v>
      </c>
      <c r="Y2543" s="128">
        <v>0</v>
      </c>
      <c r="Z2543" s="128">
        <v>0</v>
      </c>
      <c r="AA2543" s="128">
        <v>19310608.719999999</v>
      </c>
      <c r="AB2543" s="126">
        <f t="shared" si="258"/>
        <v>-1.931060872</v>
      </c>
      <c r="AC2543" s="122" t="s">
        <v>1838</v>
      </c>
      <c r="AD2543" s="123">
        <f>SUMIF(E:E,E2543,AB:AB)</f>
        <v>-1.7715372309999999</v>
      </c>
    </row>
    <row r="2544" spans="1:30" ht="12.75" hidden="1" customHeight="1">
      <c r="A2544" s="125" t="str">
        <f t="shared" si="255"/>
        <v>LIC37R/L G/P - Rights</v>
      </c>
      <c r="B2544" s="125">
        <f>+IFERROR(VLOOKUP(L2544,'TB mapping'!A:D,4,0),0)</f>
        <v>0</v>
      </c>
      <c r="C2544" s="125">
        <f>+IFERROR(VLOOKUP(L2544,'TB mapping'!A:C,3,0),0)</f>
        <v>5.3</v>
      </c>
      <c r="D2544" s="125" t="str">
        <f t="shared" si="256"/>
        <v>LIC370</v>
      </c>
      <c r="E2544" s="125" t="str">
        <f t="shared" si="257"/>
        <v>LIC375.3</v>
      </c>
      <c r="F2544" s="158" t="str">
        <f>+VLOOKUP(H2544,'code mapping'!A:C,3,0)</f>
        <v>LIC37</v>
      </c>
      <c r="G2544" s="127" t="s">
        <v>453</v>
      </c>
      <c r="H2544" s="127" t="s">
        <v>769</v>
      </c>
      <c r="I2544" s="127" t="s">
        <v>770</v>
      </c>
      <c r="J2544" s="128">
        <v>410000</v>
      </c>
      <c r="K2544" s="127" t="s">
        <v>522</v>
      </c>
      <c r="L2544" s="151">
        <v>411120</v>
      </c>
      <c r="M2544" s="128">
        <v>0</v>
      </c>
      <c r="N2544" s="127" t="s">
        <v>705</v>
      </c>
      <c r="O2544" s="127" t="s">
        <v>457</v>
      </c>
      <c r="P2544" s="128">
        <v>0</v>
      </c>
      <c r="Q2544" s="128">
        <v>3153.24</v>
      </c>
      <c r="R2544" s="128">
        <v>0</v>
      </c>
      <c r="S2544" s="128">
        <v>0</v>
      </c>
      <c r="T2544" s="128">
        <v>0</v>
      </c>
      <c r="U2544" s="128">
        <v>3153.24</v>
      </c>
      <c r="V2544" s="128">
        <v>0</v>
      </c>
      <c r="W2544" s="128">
        <v>3153.24</v>
      </c>
      <c r="X2544" s="128">
        <v>0</v>
      </c>
      <c r="Y2544" s="128">
        <v>0</v>
      </c>
      <c r="Z2544" s="128">
        <v>0</v>
      </c>
      <c r="AA2544" s="128">
        <v>3153.24</v>
      </c>
      <c r="AB2544" s="126">
        <f t="shared" si="258"/>
        <v>-3.1532399999999996E-4</v>
      </c>
      <c r="AC2544" s="122" t="s">
        <v>1838</v>
      </c>
      <c r="AD2544" s="123">
        <f>SUMIF(E:E,E2544,AB:AB)</f>
        <v>-1.7715372309999999</v>
      </c>
    </row>
    <row r="2545" spans="1:30" ht="12.75" hidden="1" customHeight="1">
      <c r="A2545" s="125" t="str">
        <f t="shared" si="255"/>
        <v>LIC37UR/L G/P - Equities</v>
      </c>
      <c r="B2545" s="125">
        <f>+IFERROR(VLOOKUP(L2545,'TB mapping'!A:D,4,0),0)</f>
        <v>0</v>
      </c>
      <c r="C2545" s="125" t="str">
        <f>+IFERROR(VLOOKUP(L2545,'TB mapping'!A:C,3,0),0)</f>
        <v>Ignore</v>
      </c>
      <c r="D2545" s="125" t="str">
        <f t="shared" si="256"/>
        <v>LIC370</v>
      </c>
      <c r="E2545" s="125" t="str">
        <f t="shared" si="257"/>
        <v>LIC37Ignore</v>
      </c>
      <c r="F2545" s="158" t="str">
        <f>+VLOOKUP(H2545,'code mapping'!A:C,3,0)</f>
        <v>LIC37</v>
      </c>
      <c r="G2545" s="127" t="s">
        <v>453</v>
      </c>
      <c r="H2545" s="127" t="s">
        <v>769</v>
      </c>
      <c r="I2545" s="127" t="s">
        <v>770</v>
      </c>
      <c r="J2545" s="128">
        <v>430000</v>
      </c>
      <c r="K2545" s="127" t="s">
        <v>528</v>
      </c>
      <c r="L2545" s="151">
        <v>431100</v>
      </c>
      <c r="M2545" s="128">
        <v>0</v>
      </c>
      <c r="N2545" s="127" t="s">
        <v>597</v>
      </c>
      <c r="O2545" s="127" t="s">
        <v>457</v>
      </c>
      <c r="P2545" s="128">
        <v>0</v>
      </c>
      <c r="Q2545" s="128">
        <v>44199222.329999998</v>
      </c>
      <c r="R2545" s="128">
        <v>0</v>
      </c>
      <c r="S2545" s="128">
        <v>0</v>
      </c>
      <c r="T2545" s="128">
        <v>0</v>
      </c>
      <c r="U2545" s="128">
        <v>44199222.329999998</v>
      </c>
      <c r="V2545" s="128">
        <v>0</v>
      </c>
      <c r="W2545" s="128">
        <v>44199222.329999998</v>
      </c>
      <c r="X2545" s="128">
        <v>0</v>
      </c>
      <c r="Y2545" s="128">
        <v>0</v>
      </c>
      <c r="Z2545" s="128">
        <v>0</v>
      </c>
      <c r="AA2545" s="128">
        <v>44199222.329999998</v>
      </c>
      <c r="AB2545" s="126">
        <f t="shared" si="258"/>
        <v>-4.4199222329999994</v>
      </c>
      <c r="AC2545" s="122" t="s">
        <v>1838</v>
      </c>
      <c r="AD2545" s="123">
        <f>SUMIF(C:C,C2545,AB:AB)</f>
        <v>-291.7660984179999</v>
      </c>
    </row>
    <row r="2546" spans="1:30" ht="12.75" hidden="1" customHeight="1">
      <c r="A2546" s="125" t="str">
        <f t="shared" si="255"/>
        <v>LIC37Dividend Income - Equities</v>
      </c>
      <c r="B2546" s="125">
        <f>+IFERROR(VLOOKUP(L2546,'TB mapping'!A:D,4,0),0)</f>
        <v>0</v>
      </c>
      <c r="C2546" s="125">
        <f>+IFERROR(VLOOKUP(L2546,'TB mapping'!A:C,3,0),0)</f>
        <v>5.0999999999999996</v>
      </c>
      <c r="D2546" s="125" t="str">
        <f t="shared" si="256"/>
        <v>LIC370</v>
      </c>
      <c r="E2546" s="125" t="str">
        <f t="shared" si="257"/>
        <v>LIC375.1</v>
      </c>
      <c r="F2546" s="158" t="str">
        <f>+VLOOKUP(H2546,'code mapping'!A:C,3,0)</f>
        <v>LIC37</v>
      </c>
      <c r="G2546" s="127" t="s">
        <v>453</v>
      </c>
      <c r="H2546" s="127" t="s">
        <v>769</v>
      </c>
      <c r="I2546" s="127" t="s">
        <v>770</v>
      </c>
      <c r="J2546" s="128">
        <v>450000</v>
      </c>
      <c r="K2546" s="127" t="s">
        <v>532</v>
      </c>
      <c r="L2546" s="151">
        <v>451100</v>
      </c>
      <c r="M2546" s="128">
        <v>0</v>
      </c>
      <c r="N2546" s="127" t="s">
        <v>598</v>
      </c>
      <c r="O2546" s="127" t="s">
        <v>457</v>
      </c>
      <c r="P2546" s="128">
        <v>0</v>
      </c>
      <c r="Q2546" s="128">
        <v>1888520.67</v>
      </c>
      <c r="R2546" s="128">
        <v>0</v>
      </c>
      <c r="S2546" s="128">
        <v>0</v>
      </c>
      <c r="T2546" s="128">
        <v>0</v>
      </c>
      <c r="U2546" s="128">
        <v>1888520.67</v>
      </c>
      <c r="V2546" s="128">
        <v>0</v>
      </c>
      <c r="W2546" s="128">
        <v>1888520.67</v>
      </c>
      <c r="X2546" s="128">
        <v>0</v>
      </c>
      <c r="Y2546" s="128">
        <v>0</v>
      </c>
      <c r="Z2546" s="128">
        <v>0</v>
      </c>
      <c r="AA2546" s="128">
        <v>1888520.67</v>
      </c>
      <c r="AB2546" s="126">
        <f t="shared" si="258"/>
        <v>-0.18885206699999998</v>
      </c>
      <c r="AC2546" s="122" t="s">
        <v>1838</v>
      </c>
      <c r="AD2546" s="123">
        <f t="shared" ref="AD2546:AD2579" si="261">SUMIF(E:E,E2546,AB:AB)</f>
        <v>-0.18885206699999998</v>
      </c>
    </row>
    <row r="2547" spans="1:30" ht="12.75" hidden="1" customHeight="1">
      <c r="A2547" s="125" t="str">
        <f t="shared" si="255"/>
        <v>LIC37Amort. Income - CBLO</v>
      </c>
      <c r="B2547" s="125">
        <f>+IFERROR(VLOOKUP(L2547,'TB mapping'!A:D,4,0),0)</f>
        <v>0</v>
      </c>
      <c r="C2547" s="125">
        <f>+IFERROR(VLOOKUP(L2547,'TB mapping'!A:C,3,0),0)</f>
        <v>5.2</v>
      </c>
      <c r="D2547" s="125" t="str">
        <f t="shared" si="256"/>
        <v>LIC370</v>
      </c>
      <c r="E2547" s="125" t="str">
        <f t="shared" si="257"/>
        <v>LIC375.2</v>
      </c>
      <c r="F2547" s="158" t="str">
        <f>+VLOOKUP(H2547,'code mapping'!A:C,3,0)</f>
        <v>LIC37</v>
      </c>
      <c r="G2547" s="127" t="s">
        <v>453</v>
      </c>
      <c r="H2547" s="127" t="s">
        <v>769</v>
      </c>
      <c r="I2547" s="127" t="s">
        <v>770</v>
      </c>
      <c r="J2547" s="128">
        <v>450000</v>
      </c>
      <c r="K2547" s="127" t="s">
        <v>532</v>
      </c>
      <c r="L2547" s="151">
        <v>452228</v>
      </c>
      <c r="M2547" s="128">
        <v>0</v>
      </c>
      <c r="N2547" s="127" t="s">
        <v>537</v>
      </c>
      <c r="O2547" s="127" t="s">
        <v>457</v>
      </c>
      <c r="P2547" s="128">
        <v>0</v>
      </c>
      <c r="Q2547" s="128">
        <v>67149.350000000006</v>
      </c>
      <c r="R2547" s="128">
        <v>0</v>
      </c>
      <c r="S2547" s="128">
        <v>0</v>
      </c>
      <c r="T2547" s="128">
        <v>0</v>
      </c>
      <c r="U2547" s="128">
        <v>67149.350000000006</v>
      </c>
      <c r="V2547" s="128">
        <v>0</v>
      </c>
      <c r="W2547" s="128">
        <v>67149.350000000006</v>
      </c>
      <c r="X2547" s="128">
        <v>0</v>
      </c>
      <c r="Y2547" s="128">
        <v>0</v>
      </c>
      <c r="Z2547" s="128">
        <v>0</v>
      </c>
      <c r="AA2547" s="128">
        <v>67149.350000000006</v>
      </c>
      <c r="AB2547" s="126">
        <f t="shared" si="258"/>
        <v>-6.7149350000000009E-3</v>
      </c>
      <c r="AC2547" s="122" t="s">
        <v>1838</v>
      </c>
      <c r="AD2547" s="123">
        <f t="shared" si="261"/>
        <v>-6.7149350000000009E-3</v>
      </c>
    </row>
    <row r="2548" spans="1:30" ht="12.75" hidden="1" customHeight="1">
      <c r="A2548" s="125" t="str">
        <f t="shared" si="255"/>
        <v>LIC37Misc Income</v>
      </c>
      <c r="B2548" s="125">
        <f>+IFERROR(VLOOKUP(L2548,'TB mapping'!A:D,4,0),0)</f>
        <v>0</v>
      </c>
      <c r="C2548" s="125">
        <f>+IFERROR(VLOOKUP(L2548,'TB mapping'!A:C,3,0),0)</f>
        <v>5.5</v>
      </c>
      <c r="D2548" s="125" t="str">
        <f t="shared" si="256"/>
        <v>LIC370</v>
      </c>
      <c r="E2548" s="125" t="str">
        <f t="shared" si="257"/>
        <v>LIC375.5</v>
      </c>
      <c r="F2548" s="158" t="str">
        <f>+VLOOKUP(H2548,'code mapping'!A:C,3,0)</f>
        <v>LIC37</v>
      </c>
      <c r="G2548" s="127" t="s">
        <v>453</v>
      </c>
      <c r="H2548" s="127" t="s">
        <v>769</v>
      </c>
      <c r="I2548" s="127" t="s">
        <v>770</v>
      </c>
      <c r="J2548" s="128">
        <v>460000</v>
      </c>
      <c r="K2548" s="127" t="s">
        <v>539</v>
      </c>
      <c r="L2548" s="151">
        <v>452233</v>
      </c>
      <c r="M2548" s="128">
        <v>0</v>
      </c>
      <c r="N2548" s="127" t="s">
        <v>706</v>
      </c>
      <c r="O2548" s="127" t="s">
        <v>457</v>
      </c>
      <c r="P2548" s="128">
        <v>0</v>
      </c>
      <c r="Q2548" s="128">
        <v>34.93</v>
      </c>
      <c r="R2548" s="128">
        <v>0</v>
      </c>
      <c r="S2548" s="128">
        <v>0</v>
      </c>
      <c r="T2548" s="128">
        <v>0</v>
      </c>
      <c r="U2548" s="128">
        <v>34.93</v>
      </c>
      <c r="V2548" s="128">
        <v>0</v>
      </c>
      <c r="W2548" s="128">
        <v>34.93</v>
      </c>
      <c r="X2548" s="128">
        <v>0</v>
      </c>
      <c r="Y2548" s="128">
        <v>0</v>
      </c>
      <c r="Z2548" s="128">
        <v>0</v>
      </c>
      <c r="AA2548" s="128">
        <v>34.93</v>
      </c>
      <c r="AB2548" s="126">
        <f t="shared" si="258"/>
        <v>-3.4929999999999998E-6</v>
      </c>
      <c r="AC2548" s="122" t="s">
        <v>1838</v>
      </c>
      <c r="AD2548" s="123">
        <f t="shared" si="261"/>
        <v>-2.1589669999999999E-3</v>
      </c>
    </row>
    <row r="2549" spans="1:30" ht="12.75" hidden="1" customHeight="1">
      <c r="A2549" s="125" t="str">
        <f t="shared" si="255"/>
        <v>LIC37Load Income</v>
      </c>
      <c r="B2549" s="125">
        <f>+IFERROR(VLOOKUP(L2549,'TB mapping'!A:D,4,0),0)</f>
        <v>0</v>
      </c>
      <c r="C2549" s="125">
        <f>+IFERROR(VLOOKUP(L2549,'TB mapping'!A:C,3,0),0)</f>
        <v>5.5</v>
      </c>
      <c r="D2549" s="125" t="str">
        <f t="shared" si="256"/>
        <v>LIC370</v>
      </c>
      <c r="E2549" s="125" t="str">
        <f t="shared" si="257"/>
        <v>LIC375.5</v>
      </c>
      <c r="F2549" s="158" t="str">
        <f>+VLOOKUP(H2549,'code mapping'!A:C,3,0)</f>
        <v>LIC37</v>
      </c>
      <c r="G2549" s="127" t="s">
        <v>453</v>
      </c>
      <c r="H2549" s="127" t="s">
        <v>769</v>
      </c>
      <c r="I2549" s="127" t="s">
        <v>770</v>
      </c>
      <c r="J2549" s="128">
        <v>460000</v>
      </c>
      <c r="K2549" s="127" t="s">
        <v>539</v>
      </c>
      <c r="L2549" s="151">
        <v>455103</v>
      </c>
      <c r="M2549" s="128">
        <v>0</v>
      </c>
      <c r="N2549" s="127" t="s">
        <v>540</v>
      </c>
      <c r="O2549" s="127" t="s">
        <v>457</v>
      </c>
      <c r="P2549" s="128">
        <v>0</v>
      </c>
      <c r="Q2549" s="128">
        <v>4476.74</v>
      </c>
      <c r="R2549" s="128">
        <v>0</v>
      </c>
      <c r="S2549" s="128">
        <v>0</v>
      </c>
      <c r="T2549" s="128">
        <v>0</v>
      </c>
      <c r="U2549" s="128">
        <v>4476.74</v>
      </c>
      <c r="V2549" s="128">
        <v>0</v>
      </c>
      <c r="W2549" s="128">
        <v>4476.74</v>
      </c>
      <c r="X2549" s="128">
        <v>0</v>
      </c>
      <c r="Y2549" s="128">
        <v>0</v>
      </c>
      <c r="Z2549" s="128">
        <v>0</v>
      </c>
      <c r="AA2549" s="128">
        <v>4476.74</v>
      </c>
      <c r="AB2549" s="126">
        <f t="shared" si="258"/>
        <v>-4.4767399999999996E-4</v>
      </c>
      <c r="AC2549" s="122" t="s">
        <v>1838</v>
      </c>
      <c r="AD2549" s="123">
        <f t="shared" si="261"/>
        <v>-2.1589669999999999E-3</v>
      </c>
    </row>
    <row r="2550" spans="1:30" ht="12.75" hidden="1" customHeight="1">
      <c r="A2550" s="125" t="str">
        <f t="shared" si="255"/>
        <v>LIC37Other Income</v>
      </c>
      <c r="B2550" s="125">
        <f>+IFERROR(VLOOKUP(L2550,'TB mapping'!A:D,4,0),0)</f>
        <v>0</v>
      </c>
      <c r="C2550" s="125">
        <f>+IFERROR(VLOOKUP(L2550,'TB mapping'!A:C,3,0),0)</f>
        <v>5.5</v>
      </c>
      <c r="D2550" s="125" t="str">
        <f t="shared" si="256"/>
        <v>LIC370</v>
      </c>
      <c r="E2550" s="125" t="str">
        <f t="shared" si="257"/>
        <v>LIC375.5</v>
      </c>
      <c r="F2550" s="158" t="str">
        <f>+VLOOKUP(H2550,'code mapping'!A:C,3,0)</f>
        <v>LIC37</v>
      </c>
      <c r="G2550" s="127" t="s">
        <v>453</v>
      </c>
      <c r="H2550" s="127" t="s">
        <v>769</v>
      </c>
      <c r="I2550" s="127" t="s">
        <v>770</v>
      </c>
      <c r="J2550" s="128">
        <v>460000</v>
      </c>
      <c r="K2550" s="127" t="s">
        <v>539</v>
      </c>
      <c r="L2550" s="151">
        <v>460000</v>
      </c>
      <c r="M2550" s="128">
        <v>0</v>
      </c>
      <c r="N2550" s="127" t="s">
        <v>541</v>
      </c>
      <c r="O2550" s="127" t="s">
        <v>457</v>
      </c>
      <c r="P2550" s="128">
        <v>0</v>
      </c>
      <c r="Q2550" s="128">
        <v>17078</v>
      </c>
      <c r="R2550" s="128">
        <v>0</v>
      </c>
      <c r="S2550" s="128">
        <v>0</v>
      </c>
      <c r="T2550" s="128">
        <v>0</v>
      </c>
      <c r="U2550" s="128">
        <v>17078</v>
      </c>
      <c r="V2550" s="128">
        <v>0</v>
      </c>
      <c r="W2550" s="128">
        <v>17078</v>
      </c>
      <c r="X2550" s="128">
        <v>0</v>
      </c>
      <c r="Y2550" s="128">
        <v>0</v>
      </c>
      <c r="Z2550" s="128">
        <v>0</v>
      </c>
      <c r="AA2550" s="128">
        <v>17078</v>
      </c>
      <c r="AB2550" s="126">
        <f t="shared" si="258"/>
        <v>-1.7078E-3</v>
      </c>
      <c r="AC2550" s="122" t="s">
        <v>1838</v>
      </c>
      <c r="AD2550" s="123">
        <f t="shared" si="261"/>
        <v>-2.1589669999999999E-3</v>
      </c>
    </row>
    <row r="2551" spans="1:30" ht="12.75" hidden="1" customHeight="1">
      <c r="A2551" s="125" t="str">
        <f t="shared" si="255"/>
        <v>LIC37Interplan Adjustment- RG</v>
      </c>
      <c r="B2551" s="125">
        <f>+IFERROR(VLOOKUP(L2551,'TB mapping'!A:D,4,0),0)</f>
        <v>0</v>
      </c>
      <c r="C2551" s="125">
        <f>+IFERROR(VLOOKUP(L2551,'TB mapping'!A:C,3,0),0)</f>
        <v>5.5</v>
      </c>
      <c r="D2551" s="125" t="str">
        <f t="shared" si="256"/>
        <v>LIC370</v>
      </c>
      <c r="E2551" s="125" t="str">
        <f t="shared" si="257"/>
        <v>LIC375.5</v>
      </c>
      <c r="F2551" s="158" t="str">
        <f>+VLOOKUP(H2551,'code mapping'!A:C,3,0)</f>
        <v>LIC37</v>
      </c>
      <c r="G2551" s="127" t="s">
        <v>453</v>
      </c>
      <c r="H2551" s="127" t="s">
        <v>769</v>
      </c>
      <c r="I2551" s="127" t="s">
        <v>770</v>
      </c>
      <c r="J2551" s="128">
        <v>460000</v>
      </c>
      <c r="K2551" s="127" t="s">
        <v>539</v>
      </c>
      <c r="L2551" s="151">
        <v>460101</v>
      </c>
      <c r="M2551" s="128">
        <v>0</v>
      </c>
      <c r="N2551" s="127" t="s">
        <v>542</v>
      </c>
      <c r="O2551" s="127" t="s">
        <v>457</v>
      </c>
      <c r="P2551" s="128">
        <v>-1.29</v>
      </c>
      <c r="Q2551" s="128">
        <v>0</v>
      </c>
      <c r="R2551" s="128">
        <v>0</v>
      </c>
      <c r="S2551" s="128">
        <v>0</v>
      </c>
      <c r="T2551" s="128">
        <v>-1.29</v>
      </c>
      <c r="U2551" s="128">
        <v>0</v>
      </c>
      <c r="V2551" s="128">
        <v>-1.29</v>
      </c>
      <c r="W2551" s="128">
        <v>0</v>
      </c>
      <c r="X2551" s="128">
        <v>0</v>
      </c>
      <c r="Y2551" s="128">
        <v>0</v>
      </c>
      <c r="Z2551" s="128">
        <v>-1.29</v>
      </c>
      <c r="AA2551" s="128">
        <v>0</v>
      </c>
      <c r="AB2551" s="126">
        <f t="shared" si="258"/>
        <v>1.29E-7</v>
      </c>
      <c r="AC2551" s="122" t="s">
        <v>1838</v>
      </c>
      <c r="AD2551" s="123">
        <f t="shared" si="261"/>
        <v>-2.1589669999999999E-3</v>
      </c>
    </row>
    <row r="2552" spans="1:30" ht="12.75" hidden="1" customHeight="1">
      <c r="A2552" s="125" t="str">
        <f t="shared" si="255"/>
        <v>LIC37Interplan Adjustment- GDP</v>
      </c>
      <c r="B2552" s="125">
        <f>+IFERROR(VLOOKUP(L2552,'TB mapping'!A:D,4,0),0)</f>
        <v>0</v>
      </c>
      <c r="C2552" s="125">
        <f>+IFERROR(VLOOKUP(L2552,'TB mapping'!A:C,3,0),0)</f>
        <v>5.5</v>
      </c>
      <c r="D2552" s="125" t="str">
        <f t="shared" si="256"/>
        <v>LIC370</v>
      </c>
      <c r="E2552" s="125" t="str">
        <f t="shared" si="257"/>
        <v>LIC375.5</v>
      </c>
      <c r="F2552" s="158" t="str">
        <f>+VLOOKUP(H2552,'code mapping'!A:C,3,0)</f>
        <v>LIC37</v>
      </c>
      <c r="G2552" s="127" t="s">
        <v>453</v>
      </c>
      <c r="H2552" s="127" t="s">
        <v>769</v>
      </c>
      <c r="I2552" s="127" t="s">
        <v>770</v>
      </c>
      <c r="J2552" s="128">
        <v>460000</v>
      </c>
      <c r="K2552" s="127" t="s">
        <v>539</v>
      </c>
      <c r="L2552" s="151">
        <v>460143</v>
      </c>
      <c r="M2552" s="128">
        <v>0</v>
      </c>
      <c r="N2552" s="127" t="s">
        <v>544</v>
      </c>
      <c r="O2552" s="127" t="s">
        <v>457</v>
      </c>
      <c r="P2552" s="128">
        <v>0</v>
      </c>
      <c r="Q2552" s="128">
        <v>1.29</v>
      </c>
      <c r="R2552" s="128">
        <v>0</v>
      </c>
      <c r="S2552" s="128">
        <v>0</v>
      </c>
      <c r="T2552" s="128">
        <v>0</v>
      </c>
      <c r="U2552" s="128">
        <v>1.29</v>
      </c>
      <c r="V2552" s="128">
        <v>0</v>
      </c>
      <c r="W2552" s="128">
        <v>1.29</v>
      </c>
      <c r="X2552" s="128">
        <v>0</v>
      </c>
      <c r="Y2552" s="128">
        <v>0</v>
      </c>
      <c r="Z2552" s="128">
        <v>0</v>
      </c>
      <c r="AA2552" s="128">
        <v>1.29</v>
      </c>
      <c r="AB2552" s="126">
        <f t="shared" si="258"/>
        <v>-1.29E-7</v>
      </c>
      <c r="AC2552" s="122" t="s">
        <v>1838</v>
      </c>
      <c r="AD2552" s="123">
        <f t="shared" si="261"/>
        <v>-2.1589669999999999E-3</v>
      </c>
    </row>
    <row r="2553" spans="1:30" ht="12.75" hidden="1" customHeight="1">
      <c r="A2553" s="125" t="str">
        <f t="shared" ref="A2553:A2616" si="262">+F2553&amp;N2553</f>
        <v>LIC37R/L L/P - Equities</v>
      </c>
      <c r="B2553" s="125">
        <f>+IFERROR(VLOOKUP(L2553,'TB mapping'!A:D,4,0),0)</f>
        <v>0</v>
      </c>
      <c r="C2553" s="125">
        <f>+IFERROR(VLOOKUP(L2553,'TB mapping'!A:C,3,0),0)</f>
        <v>5.3</v>
      </c>
      <c r="D2553" s="125" t="str">
        <f t="shared" ref="D2553:D2616" si="263">+F2553&amp;B2553</f>
        <v>LIC370</v>
      </c>
      <c r="E2553" s="125" t="str">
        <f t="shared" ref="E2553:E2616" si="264">+F2553&amp;C2553</f>
        <v>LIC375.3</v>
      </c>
      <c r="F2553" s="158" t="str">
        <f>+VLOOKUP(H2553,'code mapping'!A:C,3,0)</f>
        <v>LIC37</v>
      </c>
      <c r="G2553" s="127" t="s">
        <v>453</v>
      </c>
      <c r="H2553" s="127" t="s">
        <v>769</v>
      </c>
      <c r="I2553" s="127" t="s">
        <v>770</v>
      </c>
      <c r="J2553" s="128">
        <v>510000</v>
      </c>
      <c r="K2553" s="127" t="s">
        <v>546</v>
      </c>
      <c r="L2553" s="151">
        <v>511100</v>
      </c>
      <c r="M2553" s="128">
        <v>0</v>
      </c>
      <c r="N2553" s="127" t="s">
        <v>599</v>
      </c>
      <c r="O2553" s="127" t="s">
        <v>457</v>
      </c>
      <c r="P2553" s="128">
        <v>-1598389.65</v>
      </c>
      <c r="Q2553" s="128">
        <v>0</v>
      </c>
      <c r="R2553" s="128">
        <v>0</v>
      </c>
      <c r="S2553" s="128">
        <v>0</v>
      </c>
      <c r="T2553" s="128">
        <v>-1598389.65</v>
      </c>
      <c r="U2553" s="128">
        <v>0</v>
      </c>
      <c r="V2553" s="128">
        <v>-1598389.65</v>
      </c>
      <c r="W2553" s="128">
        <v>0</v>
      </c>
      <c r="X2553" s="128">
        <v>0</v>
      </c>
      <c r="Y2553" s="128">
        <v>0</v>
      </c>
      <c r="Z2553" s="128">
        <v>-1598389.65</v>
      </c>
      <c r="AA2553" s="128">
        <v>0</v>
      </c>
      <c r="AB2553" s="126">
        <f t="shared" ref="AB2553:AB2616" si="265">SUM(-Z2553-AA2553)/10^7</f>
        <v>0.159838965</v>
      </c>
      <c r="AC2553" s="122" t="s">
        <v>1838</v>
      </c>
      <c r="AD2553" s="123">
        <f t="shared" si="261"/>
        <v>-1.7715372309999999</v>
      </c>
    </row>
    <row r="2554" spans="1:30" ht="12.75" hidden="1" customHeight="1">
      <c r="A2554" s="125" t="str">
        <f t="shared" si="262"/>
        <v>LIC37SEBI Fees</v>
      </c>
      <c r="B2554" s="125">
        <f>+IFERROR(VLOOKUP(L2554,'TB mapping'!A:D,4,0),0)</f>
        <v>0</v>
      </c>
      <c r="C2554" s="125">
        <f>+IFERROR(VLOOKUP(L2554,'TB mapping'!A:C,3,0),0)</f>
        <v>6.3</v>
      </c>
      <c r="D2554" s="125" t="str">
        <f t="shared" si="263"/>
        <v>LIC370</v>
      </c>
      <c r="E2554" s="125" t="str">
        <f t="shared" si="264"/>
        <v>LIC376.3</v>
      </c>
      <c r="F2554" s="158" t="str">
        <f>+VLOOKUP(H2554,'code mapping'!A:C,3,0)</f>
        <v>LIC37</v>
      </c>
      <c r="G2554" s="127" t="s">
        <v>453</v>
      </c>
      <c r="H2554" s="127" t="s">
        <v>769</v>
      </c>
      <c r="I2554" s="127" t="s">
        <v>770</v>
      </c>
      <c r="J2554" s="128">
        <v>550000</v>
      </c>
      <c r="K2554" s="127" t="s">
        <v>550</v>
      </c>
      <c r="L2554" s="151">
        <v>553007</v>
      </c>
      <c r="M2554" s="128">
        <v>0</v>
      </c>
      <c r="N2554" s="127" t="s">
        <v>551</v>
      </c>
      <c r="O2554" s="127" t="s">
        <v>457</v>
      </c>
      <c r="P2554" s="128">
        <v>-1986.12</v>
      </c>
      <c r="Q2554" s="128">
        <v>0</v>
      </c>
      <c r="R2554" s="128">
        <v>0</v>
      </c>
      <c r="S2554" s="128">
        <v>0</v>
      </c>
      <c r="T2554" s="128">
        <v>-1986.12</v>
      </c>
      <c r="U2554" s="128">
        <v>0</v>
      </c>
      <c r="V2554" s="128">
        <v>-1986.12</v>
      </c>
      <c r="W2554" s="128">
        <v>0</v>
      </c>
      <c r="X2554" s="128">
        <v>0</v>
      </c>
      <c r="Y2554" s="128">
        <v>0</v>
      </c>
      <c r="Z2554" s="128">
        <v>-1986.12</v>
      </c>
      <c r="AA2554" s="128">
        <v>0</v>
      </c>
      <c r="AB2554" s="126">
        <f t="shared" si="265"/>
        <v>1.98612E-4</v>
      </c>
      <c r="AC2554" s="122" t="s">
        <v>1838</v>
      </c>
      <c r="AD2554" s="123">
        <f t="shared" si="261"/>
        <v>0.26593442499999997</v>
      </c>
    </row>
    <row r="2555" spans="1:30" ht="12.75" hidden="1" customHeight="1">
      <c r="A2555" s="125" t="str">
        <f t="shared" si="262"/>
        <v>LIC37Audit Fee</v>
      </c>
      <c r="B2555" s="125">
        <f>+IFERROR(VLOOKUP(L2555,'TB mapping'!A:D,4,0),0)</f>
        <v>0</v>
      </c>
      <c r="C2555" s="125">
        <f>+IFERROR(VLOOKUP(L2555,'TB mapping'!A:C,3,0),0)</f>
        <v>6.3</v>
      </c>
      <c r="D2555" s="125" t="str">
        <f t="shared" si="263"/>
        <v>LIC370</v>
      </c>
      <c r="E2555" s="125" t="str">
        <f t="shared" si="264"/>
        <v>LIC376.3</v>
      </c>
      <c r="F2555" s="158" t="str">
        <f>+VLOOKUP(H2555,'code mapping'!A:C,3,0)</f>
        <v>LIC37</v>
      </c>
      <c r="G2555" s="127" t="s">
        <v>453</v>
      </c>
      <c r="H2555" s="127" t="s">
        <v>769</v>
      </c>
      <c r="I2555" s="127" t="s">
        <v>770</v>
      </c>
      <c r="J2555" s="128">
        <v>550000</v>
      </c>
      <c r="K2555" s="127" t="s">
        <v>550</v>
      </c>
      <c r="L2555" s="151">
        <v>553105</v>
      </c>
      <c r="M2555" s="128">
        <v>0</v>
      </c>
      <c r="N2555" s="127" t="s">
        <v>552</v>
      </c>
      <c r="O2555" s="127" t="s">
        <v>457</v>
      </c>
      <c r="P2555" s="128">
        <v>-12193.19</v>
      </c>
      <c r="Q2555" s="128">
        <v>0</v>
      </c>
      <c r="R2555" s="128">
        <v>0</v>
      </c>
      <c r="S2555" s="128">
        <v>0</v>
      </c>
      <c r="T2555" s="128">
        <v>-12193.19</v>
      </c>
      <c r="U2555" s="128">
        <v>0</v>
      </c>
      <c r="V2555" s="128">
        <v>-12193.19</v>
      </c>
      <c r="W2555" s="128">
        <v>0</v>
      </c>
      <c r="X2555" s="128">
        <v>0</v>
      </c>
      <c r="Y2555" s="128">
        <v>0</v>
      </c>
      <c r="Z2555" s="128">
        <v>-12193.19</v>
      </c>
      <c r="AA2555" s="128">
        <v>0</v>
      </c>
      <c r="AB2555" s="126">
        <f t="shared" si="265"/>
        <v>1.219319E-3</v>
      </c>
      <c r="AC2555" s="122" t="s">
        <v>1838</v>
      </c>
      <c r="AD2555" s="123">
        <f t="shared" si="261"/>
        <v>0.26593442499999997</v>
      </c>
    </row>
    <row r="2556" spans="1:30" ht="12.75" hidden="1" customHeight="1">
      <c r="A2556" s="125" t="str">
        <f t="shared" si="262"/>
        <v>LIC37Custody Fee</v>
      </c>
      <c r="B2556" s="125">
        <f>+IFERROR(VLOOKUP(L2556,'TB mapping'!A:D,4,0),0)</f>
        <v>0</v>
      </c>
      <c r="C2556" s="125">
        <f>+IFERROR(VLOOKUP(L2556,'TB mapping'!A:C,3,0),0)</f>
        <v>6.3</v>
      </c>
      <c r="D2556" s="125" t="str">
        <f t="shared" si="263"/>
        <v>LIC370</v>
      </c>
      <c r="E2556" s="125" t="str">
        <f t="shared" si="264"/>
        <v>LIC376.3</v>
      </c>
      <c r="F2556" s="158" t="str">
        <f>+VLOOKUP(H2556,'code mapping'!A:C,3,0)</f>
        <v>LIC37</v>
      </c>
      <c r="G2556" s="127" t="s">
        <v>453</v>
      </c>
      <c r="H2556" s="127" t="s">
        <v>769</v>
      </c>
      <c r="I2556" s="127" t="s">
        <v>770</v>
      </c>
      <c r="J2556" s="128">
        <v>550000</v>
      </c>
      <c r="K2556" s="127" t="s">
        <v>550</v>
      </c>
      <c r="L2556" s="151">
        <v>553107</v>
      </c>
      <c r="M2556" s="128">
        <v>0</v>
      </c>
      <c r="N2556" s="127" t="s">
        <v>553</v>
      </c>
      <c r="O2556" s="127" t="s">
        <v>457</v>
      </c>
      <c r="P2556" s="128">
        <v>-27179.63</v>
      </c>
      <c r="Q2556" s="128">
        <v>0</v>
      </c>
      <c r="R2556" s="128">
        <v>0</v>
      </c>
      <c r="S2556" s="128">
        <v>0</v>
      </c>
      <c r="T2556" s="128">
        <v>-27179.63</v>
      </c>
      <c r="U2556" s="128">
        <v>0</v>
      </c>
      <c r="V2556" s="128">
        <v>-27179.63</v>
      </c>
      <c r="W2556" s="128">
        <v>0</v>
      </c>
      <c r="X2556" s="128">
        <v>0</v>
      </c>
      <c r="Y2556" s="128">
        <v>0</v>
      </c>
      <c r="Z2556" s="128">
        <v>-27179.63</v>
      </c>
      <c r="AA2556" s="128">
        <v>0</v>
      </c>
      <c r="AB2556" s="126">
        <f t="shared" si="265"/>
        <v>2.7179629999999999E-3</v>
      </c>
      <c r="AC2556" s="122" t="s">
        <v>1838</v>
      </c>
      <c r="AD2556" s="123">
        <f t="shared" si="261"/>
        <v>0.26593442499999997</v>
      </c>
    </row>
    <row r="2557" spans="1:30" ht="12.75" hidden="1" customHeight="1">
      <c r="A2557" s="125" t="str">
        <f t="shared" si="262"/>
        <v>LIC37Expense Allocation Account</v>
      </c>
      <c r="B2557" s="125">
        <f>+IFERROR(VLOOKUP(L2557,'TB mapping'!A:D,4,0),0)</f>
        <v>0</v>
      </c>
      <c r="C2557" s="125">
        <f>+IFERROR(VLOOKUP(L2557,'TB mapping'!A:C,3,0),0)</f>
        <v>6.3</v>
      </c>
      <c r="D2557" s="125" t="str">
        <f t="shared" si="263"/>
        <v>LIC370</v>
      </c>
      <c r="E2557" s="125" t="str">
        <f t="shared" si="264"/>
        <v>LIC376.3</v>
      </c>
      <c r="F2557" s="158" t="str">
        <f>+VLOOKUP(H2557,'code mapping'!A:C,3,0)</f>
        <v>LIC37</v>
      </c>
      <c r="G2557" s="127" t="s">
        <v>453</v>
      </c>
      <c r="H2557" s="127" t="s">
        <v>769</v>
      </c>
      <c r="I2557" s="127" t="s">
        <v>770</v>
      </c>
      <c r="J2557" s="128">
        <v>550000</v>
      </c>
      <c r="K2557" s="127" t="s">
        <v>550</v>
      </c>
      <c r="L2557" s="151">
        <v>553111</v>
      </c>
      <c r="M2557" s="128">
        <v>0</v>
      </c>
      <c r="N2557" s="127" t="s">
        <v>554</v>
      </c>
      <c r="O2557" s="127" t="s">
        <v>457</v>
      </c>
      <c r="P2557" s="128">
        <v>0</v>
      </c>
      <c r="Q2557" s="128">
        <v>111420.35</v>
      </c>
      <c r="R2557" s="128">
        <v>0</v>
      </c>
      <c r="S2557" s="128">
        <v>0</v>
      </c>
      <c r="T2557" s="128">
        <v>0</v>
      </c>
      <c r="U2557" s="128">
        <v>111420.35</v>
      </c>
      <c r="V2557" s="128">
        <v>0</v>
      </c>
      <c r="W2557" s="128">
        <v>111420.35</v>
      </c>
      <c r="X2557" s="128">
        <v>0</v>
      </c>
      <c r="Y2557" s="128">
        <v>0</v>
      </c>
      <c r="Z2557" s="128">
        <v>0</v>
      </c>
      <c r="AA2557" s="128">
        <v>111420.35</v>
      </c>
      <c r="AB2557" s="126">
        <f t="shared" si="265"/>
        <v>-1.1142035E-2</v>
      </c>
      <c r="AC2557" s="122" t="s">
        <v>1838</v>
      </c>
      <c r="AD2557" s="123">
        <f t="shared" si="261"/>
        <v>0.26593442499999997</v>
      </c>
    </row>
    <row r="2558" spans="1:30" ht="12.75" hidden="1" customHeight="1">
      <c r="A2558" s="125" t="str">
        <f t="shared" si="262"/>
        <v>LIC37Trustee Fee</v>
      </c>
      <c r="B2558" s="125">
        <f>+IFERROR(VLOOKUP(L2558,'TB mapping'!A:D,4,0),0)</f>
        <v>6.2</v>
      </c>
      <c r="C2558" s="125">
        <f>+IFERROR(VLOOKUP(L2558,'TB mapping'!A:C,3,0),0)</f>
        <v>6.3</v>
      </c>
      <c r="D2558" s="125" t="str">
        <f t="shared" si="263"/>
        <v>LIC376.2</v>
      </c>
      <c r="E2558" s="125" t="str">
        <f t="shared" si="264"/>
        <v>LIC376.3</v>
      </c>
      <c r="F2558" s="158" t="str">
        <f>+VLOOKUP(H2558,'code mapping'!A:C,3,0)</f>
        <v>LIC37</v>
      </c>
      <c r="G2558" s="127" t="s">
        <v>453</v>
      </c>
      <c r="H2558" s="127" t="s">
        <v>769</v>
      </c>
      <c r="I2558" s="127" t="s">
        <v>770</v>
      </c>
      <c r="J2558" s="128">
        <v>550000</v>
      </c>
      <c r="K2558" s="127" t="s">
        <v>550</v>
      </c>
      <c r="L2558" s="151">
        <v>553131</v>
      </c>
      <c r="M2558" s="128">
        <v>0</v>
      </c>
      <c r="N2558" s="127" t="s">
        <v>555</v>
      </c>
      <c r="O2558" s="127" t="s">
        <v>457</v>
      </c>
      <c r="P2558" s="128">
        <v>-1441.76</v>
      </c>
      <c r="Q2558" s="128">
        <v>0</v>
      </c>
      <c r="R2558" s="128">
        <v>0</v>
      </c>
      <c r="S2558" s="128">
        <v>0</v>
      </c>
      <c r="T2558" s="128">
        <v>-1441.76</v>
      </c>
      <c r="U2558" s="128">
        <v>0</v>
      </c>
      <c r="V2558" s="128">
        <v>-1441.76</v>
      </c>
      <c r="W2558" s="128">
        <v>0</v>
      </c>
      <c r="X2558" s="128">
        <v>0</v>
      </c>
      <c r="Y2558" s="128">
        <v>0</v>
      </c>
      <c r="Z2558" s="128">
        <v>-1441.76</v>
      </c>
      <c r="AA2558" s="128">
        <v>0</v>
      </c>
      <c r="AB2558" s="126">
        <f t="shared" si="265"/>
        <v>1.4417600000000001E-4</v>
      </c>
      <c r="AC2558" s="122" t="s">
        <v>1838</v>
      </c>
      <c r="AD2558" s="123">
        <f t="shared" si="261"/>
        <v>0.26593442499999997</v>
      </c>
    </row>
    <row r="2559" spans="1:30" ht="12.75" hidden="1" customHeight="1">
      <c r="A2559" s="125" t="str">
        <f t="shared" si="262"/>
        <v>LIC37Bank Charges</v>
      </c>
      <c r="B2559" s="125">
        <f>+IFERROR(VLOOKUP(L2559,'TB mapping'!A:D,4,0),0)</f>
        <v>0</v>
      </c>
      <c r="C2559" s="125">
        <f>+IFERROR(VLOOKUP(L2559,'TB mapping'!A:C,3,0),0)</f>
        <v>6.3</v>
      </c>
      <c r="D2559" s="125" t="str">
        <f t="shared" si="263"/>
        <v>LIC370</v>
      </c>
      <c r="E2559" s="125" t="str">
        <f t="shared" si="264"/>
        <v>LIC376.3</v>
      </c>
      <c r="F2559" s="158" t="str">
        <f>+VLOOKUP(H2559,'code mapping'!A:C,3,0)</f>
        <v>LIC37</v>
      </c>
      <c r="G2559" s="127" t="s">
        <v>453</v>
      </c>
      <c r="H2559" s="127" t="s">
        <v>769</v>
      </c>
      <c r="I2559" s="127" t="s">
        <v>770</v>
      </c>
      <c r="J2559" s="128">
        <v>550000</v>
      </c>
      <c r="K2559" s="127" t="s">
        <v>550</v>
      </c>
      <c r="L2559" s="151">
        <v>553141</v>
      </c>
      <c r="M2559" s="128">
        <v>0</v>
      </c>
      <c r="N2559" s="127" t="s">
        <v>556</v>
      </c>
      <c r="O2559" s="127" t="s">
        <v>457</v>
      </c>
      <c r="P2559" s="128">
        <v>-8447.2999999999993</v>
      </c>
      <c r="Q2559" s="128">
        <v>0</v>
      </c>
      <c r="R2559" s="128">
        <v>0</v>
      </c>
      <c r="S2559" s="128">
        <v>0</v>
      </c>
      <c r="T2559" s="128">
        <v>-8447.2999999999993</v>
      </c>
      <c r="U2559" s="128">
        <v>0</v>
      </c>
      <c r="V2559" s="128">
        <v>-8447.2999999999993</v>
      </c>
      <c r="W2559" s="128">
        <v>0</v>
      </c>
      <c r="X2559" s="128">
        <v>0</v>
      </c>
      <c r="Y2559" s="128">
        <v>0</v>
      </c>
      <c r="Z2559" s="128">
        <v>-8447.2999999999993</v>
      </c>
      <c r="AA2559" s="128">
        <v>0</v>
      </c>
      <c r="AB2559" s="126">
        <f t="shared" si="265"/>
        <v>8.4472999999999992E-4</v>
      </c>
      <c r="AC2559" s="122" t="s">
        <v>1838</v>
      </c>
      <c r="AD2559" s="123">
        <f t="shared" si="261"/>
        <v>0.26593442499999997</v>
      </c>
    </row>
    <row r="2560" spans="1:30" ht="12.75" hidden="1" customHeight="1">
      <c r="A2560" s="125" t="str">
        <f t="shared" si="262"/>
        <v>LIC37Investor Education Fund Exps</v>
      </c>
      <c r="B2560" s="125">
        <f>+IFERROR(VLOOKUP(L2560,'TB mapping'!A:D,4,0),0)</f>
        <v>0</v>
      </c>
      <c r="C2560" s="125">
        <f>+IFERROR(VLOOKUP(L2560,'TB mapping'!A:C,3,0),0)</f>
        <v>6.3</v>
      </c>
      <c r="D2560" s="125" t="str">
        <f t="shared" si="263"/>
        <v>LIC370</v>
      </c>
      <c r="E2560" s="125" t="str">
        <f t="shared" si="264"/>
        <v>LIC376.3</v>
      </c>
      <c r="F2560" s="158" t="str">
        <f>+VLOOKUP(H2560,'code mapping'!A:C,3,0)</f>
        <v>LIC37</v>
      </c>
      <c r="G2560" s="127" t="s">
        <v>453</v>
      </c>
      <c r="H2560" s="127" t="s">
        <v>769</v>
      </c>
      <c r="I2560" s="127" t="s">
        <v>770</v>
      </c>
      <c r="J2560" s="128">
        <v>550000</v>
      </c>
      <c r="K2560" s="127" t="s">
        <v>550</v>
      </c>
      <c r="L2560" s="151">
        <v>553171</v>
      </c>
      <c r="M2560" s="128">
        <v>0</v>
      </c>
      <c r="N2560" s="127" t="s">
        <v>557</v>
      </c>
      <c r="O2560" s="127" t="s">
        <v>457</v>
      </c>
      <c r="P2560" s="128">
        <v>-14867.22</v>
      </c>
      <c r="Q2560" s="128">
        <v>0</v>
      </c>
      <c r="R2560" s="128">
        <v>0</v>
      </c>
      <c r="S2560" s="128">
        <v>0</v>
      </c>
      <c r="T2560" s="128">
        <v>-14867.22</v>
      </c>
      <c r="U2560" s="128">
        <v>0</v>
      </c>
      <c r="V2560" s="128">
        <v>-14867.22</v>
      </c>
      <c r="W2560" s="128">
        <v>0</v>
      </c>
      <c r="X2560" s="128">
        <v>0</v>
      </c>
      <c r="Y2560" s="128">
        <v>0</v>
      </c>
      <c r="Z2560" s="128">
        <v>-14867.22</v>
      </c>
      <c r="AA2560" s="128">
        <v>0</v>
      </c>
      <c r="AB2560" s="126">
        <f t="shared" si="265"/>
        <v>1.486722E-3</v>
      </c>
      <c r="AC2560" s="122" t="s">
        <v>1838</v>
      </c>
      <c r="AD2560" s="123">
        <f t="shared" si="261"/>
        <v>0.26593442499999997</v>
      </c>
    </row>
    <row r="2561" spans="1:30" ht="12.75" hidden="1" customHeight="1">
      <c r="A2561" s="125" t="str">
        <f t="shared" si="262"/>
        <v>LIC37Service Tax on Management Fees</v>
      </c>
      <c r="B2561" s="125">
        <f>+IFERROR(VLOOKUP(L2561,'TB mapping'!A:D,4,0),0)</f>
        <v>6.1</v>
      </c>
      <c r="C2561" s="125">
        <f>+IFERROR(VLOOKUP(L2561,'TB mapping'!A:C,3,0),0)</f>
        <v>6.3</v>
      </c>
      <c r="D2561" s="125" t="str">
        <f t="shared" si="263"/>
        <v>LIC376.1</v>
      </c>
      <c r="E2561" s="125" t="str">
        <f t="shared" si="264"/>
        <v>LIC376.3</v>
      </c>
      <c r="F2561" s="158" t="str">
        <f>+VLOOKUP(H2561,'code mapping'!A:C,3,0)</f>
        <v>LIC37</v>
      </c>
      <c r="G2561" s="127" t="s">
        <v>453</v>
      </c>
      <c r="H2561" s="127" t="s">
        <v>769</v>
      </c>
      <c r="I2561" s="127" t="s">
        <v>770</v>
      </c>
      <c r="J2561" s="128">
        <v>550000</v>
      </c>
      <c r="K2561" s="127" t="s">
        <v>550</v>
      </c>
      <c r="L2561" s="151">
        <v>553172</v>
      </c>
      <c r="M2561" s="128">
        <v>0</v>
      </c>
      <c r="N2561" s="127" t="s">
        <v>558</v>
      </c>
      <c r="O2561" s="127" t="s">
        <v>457</v>
      </c>
      <c r="P2561" s="128">
        <v>-39603.840000000004</v>
      </c>
      <c r="Q2561" s="128">
        <v>0</v>
      </c>
      <c r="R2561" s="128">
        <v>0</v>
      </c>
      <c r="S2561" s="128">
        <v>0</v>
      </c>
      <c r="T2561" s="128">
        <v>-39603.840000000004</v>
      </c>
      <c r="U2561" s="128">
        <v>0</v>
      </c>
      <c r="V2561" s="128">
        <v>-39603.840000000004</v>
      </c>
      <c r="W2561" s="128">
        <v>0</v>
      </c>
      <c r="X2561" s="128">
        <v>0</v>
      </c>
      <c r="Y2561" s="128">
        <v>0</v>
      </c>
      <c r="Z2561" s="128">
        <v>-39603.840000000004</v>
      </c>
      <c r="AA2561" s="128">
        <v>0</v>
      </c>
      <c r="AB2561" s="126">
        <f t="shared" si="265"/>
        <v>3.960384E-3</v>
      </c>
      <c r="AC2561" s="122" t="s">
        <v>1838</v>
      </c>
      <c r="AD2561" s="123">
        <f t="shared" si="261"/>
        <v>0.26593442499999997</v>
      </c>
    </row>
    <row r="2562" spans="1:30" ht="12.75" hidden="1" customHeight="1">
      <c r="A2562" s="125" t="str">
        <f t="shared" si="262"/>
        <v>LIC37CCIL Expenses</v>
      </c>
      <c r="B2562" s="125">
        <f>+IFERROR(VLOOKUP(L2562,'TB mapping'!A:D,4,0),0)</f>
        <v>0</v>
      </c>
      <c r="C2562" s="125">
        <f>+IFERROR(VLOOKUP(L2562,'TB mapping'!A:C,3,0),0)</f>
        <v>6.3</v>
      </c>
      <c r="D2562" s="125" t="str">
        <f t="shared" si="263"/>
        <v>LIC370</v>
      </c>
      <c r="E2562" s="125" t="str">
        <f t="shared" si="264"/>
        <v>LIC376.3</v>
      </c>
      <c r="F2562" s="158" t="str">
        <f>+VLOOKUP(H2562,'code mapping'!A:C,3,0)</f>
        <v>LIC37</v>
      </c>
      <c r="G2562" s="127" t="s">
        <v>453</v>
      </c>
      <c r="H2562" s="127" t="s">
        <v>769</v>
      </c>
      <c r="I2562" s="127" t="s">
        <v>770</v>
      </c>
      <c r="J2562" s="128">
        <v>550000</v>
      </c>
      <c r="K2562" s="127" t="s">
        <v>550</v>
      </c>
      <c r="L2562" s="151">
        <v>553176</v>
      </c>
      <c r="M2562" s="128">
        <v>0</v>
      </c>
      <c r="N2562" s="127" t="s">
        <v>559</v>
      </c>
      <c r="O2562" s="127" t="s">
        <v>457</v>
      </c>
      <c r="P2562" s="128">
        <v>-337.69</v>
      </c>
      <c r="Q2562" s="128">
        <v>0</v>
      </c>
      <c r="R2562" s="128">
        <v>0</v>
      </c>
      <c r="S2562" s="128">
        <v>0</v>
      </c>
      <c r="T2562" s="128">
        <v>-337.69</v>
      </c>
      <c r="U2562" s="128">
        <v>0</v>
      </c>
      <c r="V2562" s="128">
        <v>-337.69</v>
      </c>
      <c r="W2562" s="128">
        <v>0</v>
      </c>
      <c r="X2562" s="128">
        <v>0</v>
      </c>
      <c r="Y2562" s="128">
        <v>0</v>
      </c>
      <c r="Z2562" s="128">
        <v>-337.69</v>
      </c>
      <c r="AA2562" s="128">
        <v>0</v>
      </c>
      <c r="AB2562" s="126">
        <f t="shared" si="265"/>
        <v>3.3769000000000001E-5</v>
      </c>
      <c r="AC2562" s="122" t="s">
        <v>1838</v>
      </c>
      <c r="AD2562" s="123">
        <f t="shared" si="261"/>
        <v>0.26593442499999997</v>
      </c>
    </row>
    <row r="2563" spans="1:30" ht="12.75" hidden="1" customHeight="1">
      <c r="A2563" s="125" t="str">
        <f t="shared" si="262"/>
        <v>LIC37Out of Pocket Expenses - R&amp;T</v>
      </c>
      <c r="B2563" s="125">
        <f>+IFERROR(VLOOKUP(L2563,'TB mapping'!A:D,4,0),0)</f>
        <v>0</v>
      </c>
      <c r="C2563" s="125">
        <f>+IFERROR(VLOOKUP(L2563,'TB mapping'!A:C,3,0),0)</f>
        <v>6.3</v>
      </c>
      <c r="D2563" s="125" t="str">
        <f t="shared" si="263"/>
        <v>LIC370</v>
      </c>
      <c r="E2563" s="125" t="str">
        <f t="shared" si="264"/>
        <v>LIC376.3</v>
      </c>
      <c r="F2563" s="158" t="str">
        <f>+VLOOKUP(H2563,'code mapping'!A:C,3,0)</f>
        <v>LIC37</v>
      </c>
      <c r="G2563" s="127" t="s">
        <v>453</v>
      </c>
      <c r="H2563" s="127" t="s">
        <v>769</v>
      </c>
      <c r="I2563" s="127" t="s">
        <v>770</v>
      </c>
      <c r="J2563" s="128">
        <v>550000</v>
      </c>
      <c r="K2563" s="127" t="s">
        <v>550</v>
      </c>
      <c r="L2563" s="151">
        <v>553180</v>
      </c>
      <c r="M2563" s="128">
        <v>0</v>
      </c>
      <c r="N2563" s="127" t="s">
        <v>560</v>
      </c>
      <c r="O2563" s="127" t="s">
        <v>457</v>
      </c>
      <c r="P2563" s="128">
        <v>-22891.72</v>
      </c>
      <c r="Q2563" s="128">
        <v>0</v>
      </c>
      <c r="R2563" s="128">
        <v>0</v>
      </c>
      <c r="S2563" s="128">
        <v>0</v>
      </c>
      <c r="T2563" s="128">
        <v>-22891.72</v>
      </c>
      <c r="U2563" s="128">
        <v>0</v>
      </c>
      <c r="V2563" s="128">
        <v>-22891.72</v>
      </c>
      <c r="W2563" s="128">
        <v>0</v>
      </c>
      <c r="X2563" s="128">
        <v>0</v>
      </c>
      <c r="Y2563" s="128">
        <v>0</v>
      </c>
      <c r="Z2563" s="128">
        <v>-22891.72</v>
      </c>
      <c r="AA2563" s="128">
        <v>0</v>
      </c>
      <c r="AB2563" s="126">
        <f t="shared" si="265"/>
        <v>2.2891719999999999E-3</v>
      </c>
      <c r="AC2563" s="122" t="s">
        <v>1838</v>
      </c>
      <c r="AD2563" s="123">
        <f t="shared" si="261"/>
        <v>0.26593442499999997</v>
      </c>
    </row>
    <row r="2564" spans="1:30" ht="12.75" hidden="1" customHeight="1">
      <c r="A2564" s="125" t="str">
        <f t="shared" si="262"/>
        <v>LIC37Other Expenses</v>
      </c>
      <c r="B2564" s="125">
        <f>+IFERROR(VLOOKUP(L2564,'TB mapping'!A:D,4,0),0)</f>
        <v>0</v>
      </c>
      <c r="C2564" s="125">
        <f>+IFERROR(VLOOKUP(L2564,'TB mapping'!A:C,3,0),0)</f>
        <v>6.3</v>
      </c>
      <c r="D2564" s="125" t="str">
        <f t="shared" si="263"/>
        <v>LIC370</v>
      </c>
      <c r="E2564" s="125" t="str">
        <f t="shared" si="264"/>
        <v>LIC376.3</v>
      </c>
      <c r="F2564" s="158" t="str">
        <f>+VLOOKUP(H2564,'code mapping'!A:C,3,0)</f>
        <v>LIC37</v>
      </c>
      <c r="G2564" s="127" t="s">
        <v>453</v>
      </c>
      <c r="H2564" s="127" t="s">
        <v>769</v>
      </c>
      <c r="I2564" s="127" t="s">
        <v>770</v>
      </c>
      <c r="J2564" s="128">
        <v>550000</v>
      </c>
      <c r="K2564" s="127" t="s">
        <v>550</v>
      </c>
      <c r="L2564" s="151">
        <v>553190</v>
      </c>
      <c r="M2564" s="128">
        <v>0</v>
      </c>
      <c r="N2564" s="127" t="s">
        <v>561</v>
      </c>
      <c r="O2564" s="127" t="s">
        <v>457</v>
      </c>
      <c r="P2564" s="128">
        <v>0</v>
      </c>
      <c r="Q2564" s="128">
        <v>37717.97</v>
      </c>
      <c r="R2564" s="128">
        <v>0</v>
      </c>
      <c r="S2564" s="128">
        <v>0</v>
      </c>
      <c r="T2564" s="128">
        <v>0</v>
      </c>
      <c r="U2564" s="128">
        <v>37717.97</v>
      </c>
      <c r="V2564" s="128">
        <v>0</v>
      </c>
      <c r="W2564" s="128">
        <v>37717.97</v>
      </c>
      <c r="X2564" s="128">
        <v>0</v>
      </c>
      <c r="Y2564" s="128">
        <v>0</v>
      </c>
      <c r="Z2564" s="128">
        <v>0</v>
      </c>
      <c r="AA2564" s="128">
        <v>37717.97</v>
      </c>
      <c r="AB2564" s="126">
        <f t="shared" si="265"/>
        <v>-3.7717969999999999E-3</v>
      </c>
      <c r="AC2564" s="122" t="s">
        <v>1838</v>
      </c>
      <c r="AD2564" s="123">
        <f t="shared" si="261"/>
        <v>0.26593442499999997</v>
      </c>
    </row>
    <row r="2565" spans="1:30" ht="12.75" hidden="1" customHeight="1">
      <c r="A2565" s="125" t="str">
        <f t="shared" si="262"/>
        <v>LIC37Other Expenses-RG</v>
      </c>
      <c r="B2565" s="125">
        <f>+IFERROR(VLOOKUP(L2565,'TB mapping'!A:D,4,0),0)</f>
        <v>0</v>
      </c>
      <c r="C2565" s="125">
        <f>+IFERROR(VLOOKUP(L2565,'TB mapping'!A:C,3,0),0)</f>
        <v>6.3</v>
      </c>
      <c r="D2565" s="125" t="str">
        <f t="shared" si="263"/>
        <v>LIC370</v>
      </c>
      <c r="E2565" s="125" t="str">
        <f t="shared" si="264"/>
        <v>LIC376.3</v>
      </c>
      <c r="F2565" s="158" t="str">
        <f>+VLOOKUP(H2565,'code mapping'!A:C,3,0)</f>
        <v>LIC37</v>
      </c>
      <c r="G2565" s="127" t="s">
        <v>453</v>
      </c>
      <c r="H2565" s="127" t="s">
        <v>769</v>
      </c>
      <c r="I2565" s="127" t="s">
        <v>770</v>
      </c>
      <c r="J2565" s="128">
        <v>550000</v>
      </c>
      <c r="K2565" s="127" t="s">
        <v>550</v>
      </c>
      <c r="L2565" s="151">
        <v>553191</v>
      </c>
      <c r="M2565" s="128">
        <v>0</v>
      </c>
      <c r="N2565" s="127" t="s">
        <v>562</v>
      </c>
      <c r="O2565" s="127" t="s">
        <v>457</v>
      </c>
      <c r="P2565" s="128">
        <v>-304053.55</v>
      </c>
      <c r="Q2565" s="128">
        <v>0</v>
      </c>
      <c r="R2565" s="128">
        <v>0</v>
      </c>
      <c r="S2565" s="128">
        <v>0</v>
      </c>
      <c r="T2565" s="128">
        <v>-304053.55</v>
      </c>
      <c r="U2565" s="128">
        <v>0</v>
      </c>
      <c r="V2565" s="128">
        <v>-304053.55</v>
      </c>
      <c r="W2565" s="128">
        <v>0</v>
      </c>
      <c r="X2565" s="128">
        <v>0</v>
      </c>
      <c r="Y2565" s="128">
        <v>0</v>
      </c>
      <c r="Z2565" s="128">
        <v>-304053.55</v>
      </c>
      <c r="AA2565" s="128">
        <v>0</v>
      </c>
      <c r="AB2565" s="126">
        <f t="shared" si="265"/>
        <v>3.0405354999999998E-2</v>
      </c>
      <c r="AC2565" s="122" t="s">
        <v>1838</v>
      </c>
      <c r="AD2565" s="123">
        <f t="shared" si="261"/>
        <v>0.26593442499999997</v>
      </c>
    </row>
    <row r="2566" spans="1:30" ht="12.75" hidden="1" customHeight="1">
      <c r="A2566" s="125" t="str">
        <f t="shared" si="262"/>
        <v>LIC37Other Expenses-RD</v>
      </c>
      <c r="B2566" s="125">
        <f>+IFERROR(VLOOKUP(L2566,'TB mapping'!A:D,4,0),0)</f>
        <v>0</v>
      </c>
      <c r="C2566" s="125">
        <f>+IFERROR(VLOOKUP(L2566,'TB mapping'!A:C,3,0),0)</f>
        <v>6.3</v>
      </c>
      <c r="D2566" s="125" t="str">
        <f t="shared" si="263"/>
        <v>LIC370</v>
      </c>
      <c r="E2566" s="125" t="str">
        <f t="shared" si="264"/>
        <v>LIC376.3</v>
      </c>
      <c r="F2566" s="158" t="str">
        <f>+VLOOKUP(H2566,'code mapping'!A:C,3,0)</f>
        <v>LIC37</v>
      </c>
      <c r="G2566" s="127" t="s">
        <v>453</v>
      </c>
      <c r="H2566" s="127" t="s">
        <v>769</v>
      </c>
      <c r="I2566" s="127" t="s">
        <v>770</v>
      </c>
      <c r="J2566" s="128">
        <v>550000</v>
      </c>
      <c r="K2566" s="127" t="s">
        <v>550</v>
      </c>
      <c r="L2566" s="151">
        <v>553192</v>
      </c>
      <c r="M2566" s="128">
        <v>0</v>
      </c>
      <c r="N2566" s="127" t="s">
        <v>563</v>
      </c>
      <c r="O2566" s="127" t="s">
        <v>457</v>
      </c>
      <c r="P2566" s="128">
        <v>-88011.15</v>
      </c>
      <c r="Q2566" s="128">
        <v>0</v>
      </c>
      <c r="R2566" s="128">
        <v>0</v>
      </c>
      <c r="S2566" s="128">
        <v>0</v>
      </c>
      <c r="T2566" s="128">
        <v>-88011.15</v>
      </c>
      <c r="U2566" s="128">
        <v>0</v>
      </c>
      <c r="V2566" s="128">
        <v>-88011.15</v>
      </c>
      <c r="W2566" s="128">
        <v>0</v>
      </c>
      <c r="X2566" s="128">
        <v>0</v>
      </c>
      <c r="Y2566" s="128">
        <v>0</v>
      </c>
      <c r="Z2566" s="128">
        <v>-88011.15</v>
      </c>
      <c r="AA2566" s="128">
        <v>0</v>
      </c>
      <c r="AB2566" s="126">
        <f t="shared" si="265"/>
        <v>8.801115E-3</v>
      </c>
      <c r="AC2566" s="122" t="s">
        <v>1838</v>
      </c>
      <c r="AD2566" s="123">
        <f t="shared" si="261"/>
        <v>0.26593442499999997</v>
      </c>
    </row>
    <row r="2567" spans="1:30" ht="12.75" hidden="1" customHeight="1">
      <c r="A2567" s="125" t="str">
        <f t="shared" si="262"/>
        <v>LIC37Misc Expenses</v>
      </c>
      <c r="B2567" s="125">
        <f>+IFERROR(VLOOKUP(L2567,'TB mapping'!A:D,4,0),0)</f>
        <v>0</v>
      </c>
      <c r="C2567" s="125">
        <f>+IFERROR(VLOOKUP(L2567,'TB mapping'!A:C,3,0),0)</f>
        <v>6.3</v>
      </c>
      <c r="D2567" s="125" t="str">
        <f t="shared" si="263"/>
        <v>LIC370</v>
      </c>
      <c r="E2567" s="125" t="str">
        <f t="shared" si="264"/>
        <v>LIC376.3</v>
      </c>
      <c r="F2567" s="158" t="str">
        <f>+VLOOKUP(H2567,'code mapping'!A:C,3,0)</f>
        <v>LIC37</v>
      </c>
      <c r="G2567" s="127" t="s">
        <v>453</v>
      </c>
      <c r="H2567" s="127" t="s">
        <v>769</v>
      </c>
      <c r="I2567" s="127" t="s">
        <v>770</v>
      </c>
      <c r="J2567" s="128">
        <v>550000</v>
      </c>
      <c r="K2567" s="127" t="s">
        <v>550</v>
      </c>
      <c r="L2567" s="151">
        <v>553197</v>
      </c>
      <c r="M2567" s="128">
        <v>0</v>
      </c>
      <c r="N2567" s="127" t="s">
        <v>675</v>
      </c>
      <c r="O2567" s="127" t="s">
        <v>457</v>
      </c>
      <c r="P2567" s="128">
        <v>-132.68</v>
      </c>
      <c r="Q2567" s="128">
        <v>0</v>
      </c>
      <c r="R2567" s="128">
        <v>0</v>
      </c>
      <c r="S2567" s="128">
        <v>0</v>
      </c>
      <c r="T2567" s="128">
        <v>-132.68</v>
      </c>
      <c r="U2567" s="128">
        <v>0</v>
      </c>
      <c r="V2567" s="128">
        <v>-132.68</v>
      </c>
      <c r="W2567" s="128">
        <v>0</v>
      </c>
      <c r="X2567" s="128">
        <v>0</v>
      </c>
      <c r="Y2567" s="128">
        <v>0</v>
      </c>
      <c r="Z2567" s="128">
        <v>-132.68</v>
      </c>
      <c r="AA2567" s="128">
        <v>0</v>
      </c>
      <c r="AB2567" s="126">
        <f t="shared" si="265"/>
        <v>1.3268000000000001E-5</v>
      </c>
      <c r="AC2567" s="122" t="s">
        <v>1838</v>
      </c>
      <c r="AD2567" s="123">
        <f t="shared" si="261"/>
        <v>0.26593442499999997</v>
      </c>
    </row>
    <row r="2568" spans="1:30" ht="12.75" hidden="1" customHeight="1">
      <c r="A2568" s="125" t="str">
        <f t="shared" si="262"/>
        <v>LIC37Other Exp - Brok - Indirect</v>
      </c>
      <c r="B2568" s="125">
        <f>+IFERROR(VLOOKUP(L2568,'TB mapping'!A:D,4,0),0)</f>
        <v>0</v>
      </c>
      <c r="C2568" s="125">
        <f>+IFERROR(VLOOKUP(L2568,'TB mapping'!A:C,3,0),0)</f>
        <v>6.3</v>
      </c>
      <c r="D2568" s="125" t="str">
        <f t="shared" si="263"/>
        <v>LIC370</v>
      </c>
      <c r="E2568" s="125" t="str">
        <f t="shared" si="264"/>
        <v>LIC376.3</v>
      </c>
      <c r="F2568" s="158" t="str">
        <f>+VLOOKUP(H2568,'code mapping'!A:C,3,0)</f>
        <v>LIC37</v>
      </c>
      <c r="G2568" s="127" t="s">
        <v>453</v>
      </c>
      <c r="H2568" s="127" t="s">
        <v>769</v>
      </c>
      <c r="I2568" s="127" t="s">
        <v>770</v>
      </c>
      <c r="J2568" s="128">
        <v>550000</v>
      </c>
      <c r="K2568" s="127" t="s">
        <v>550</v>
      </c>
      <c r="L2568" s="151">
        <v>553202</v>
      </c>
      <c r="M2568" s="128">
        <v>0</v>
      </c>
      <c r="N2568" s="127" t="s">
        <v>564</v>
      </c>
      <c r="O2568" s="127" t="s">
        <v>457</v>
      </c>
      <c r="P2568" s="128">
        <v>-382976.07</v>
      </c>
      <c r="Q2568" s="128">
        <v>0</v>
      </c>
      <c r="R2568" s="128">
        <v>0</v>
      </c>
      <c r="S2568" s="128">
        <v>0</v>
      </c>
      <c r="T2568" s="128">
        <v>-382976.07</v>
      </c>
      <c r="U2568" s="128">
        <v>0</v>
      </c>
      <c r="V2568" s="128">
        <v>-382976.07</v>
      </c>
      <c r="W2568" s="128">
        <v>0</v>
      </c>
      <c r="X2568" s="128">
        <v>0</v>
      </c>
      <c r="Y2568" s="128">
        <v>0</v>
      </c>
      <c r="Z2568" s="128">
        <v>-382976.07</v>
      </c>
      <c r="AA2568" s="128">
        <v>0</v>
      </c>
      <c r="AB2568" s="126">
        <f t="shared" si="265"/>
        <v>3.8297606999999997E-2</v>
      </c>
      <c r="AC2568" s="122" t="s">
        <v>1838</v>
      </c>
      <c r="AD2568" s="123">
        <f t="shared" si="261"/>
        <v>0.26593442499999997</v>
      </c>
    </row>
    <row r="2569" spans="1:30" ht="12.75" hidden="1" customHeight="1">
      <c r="A2569" s="125" t="str">
        <f t="shared" si="262"/>
        <v>LIC37Brokerage/Dist Exps</v>
      </c>
      <c r="B2569" s="125">
        <f>+IFERROR(VLOOKUP(L2569,'TB mapping'!A:D,4,0),0)</f>
        <v>0</v>
      </c>
      <c r="C2569" s="125">
        <f>+IFERROR(VLOOKUP(L2569,'TB mapping'!A:C,3,0),0)</f>
        <v>6.3</v>
      </c>
      <c r="D2569" s="125" t="str">
        <f t="shared" si="263"/>
        <v>LIC370</v>
      </c>
      <c r="E2569" s="125" t="str">
        <f t="shared" si="264"/>
        <v>LIC376.3</v>
      </c>
      <c r="F2569" s="158" t="str">
        <f>+VLOOKUP(H2569,'code mapping'!A:C,3,0)</f>
        <v>LIC37</v>
      </c>
      <c r="G2569" s="127" t="s">
        <v>453</v>
      </c>
      <c r="H2569" s="127" t="s">
        <v>769</v>
      </c>
      <c r="I2569" s="127" t="s">
        <v>770</v>
      </c>
      <c r="J2569" s="128">
        <v>550000</v>
      </c>
      <c r="K2569" s="127" t="s">
        <v>550</v>
      </c>
      <c r="L2569" s="151">
        <v>553208</v>
      </c>
      <c r="M2569" s="128">
        <v>0</v>
      </c>
      <c r="N2569" s="127" t="s">
        <v>565</v>
      </c>
      <c r="O2569" s="127" t="s">
        <v>457</v>
      </c>
      <c r="P2569" s="128">
        <v>0</v>
      </c>
      <c r="Q2569" s="128">
        <v>128616.64</v>
      </c>
      <c r="R2569" s="128">
        <v>0</v>
      </c>
      <c r="S2569" s="128">
        <v>0</v>
      </c>
      <c r="T2569" s="128">
        <v>0</v>
      </c>
      <c r="U2569" s="128">
        <v>128616.64</v>
      </c>
      <c r="V2569" s="128">
        <v>0</v>
      </c>
      <c r="W2569" s="128">
        <v>128616.64</v>
      </c>
      <c r="X2569" s="128">
        <v>0</v>
      </c>
      <c r="Y2569" s="128">
        <v>0</v>
      </c>
      <c r="Z2569" s="128">
        <v>0</v>
      </c>
      <c r="AA2569" s="128">
        <v>128616.64</v>
      </c>
      <c r="AB2569" s="126">
        <f t="shared" si="265"/>
        <v>-1.2861664E-2</v>
      </c>
      <c r="AC2569" s="122" t="s">
        <v>1838</v>
      </c>
      <c r="AD2569" s="123">
        <f t="shared" si="261"/>
        <v>0.26593442499999997</v>
      </c>
    </row>
    <row r="2570" spans="1:30" ht="12.75" hidden="1" customHeight="1">
      <c r="A2570" s="125" t="str">
        <f t="shared" si="262"/>
        <v>LIC37Internal Audit Fee</v>
      </c>
      <c r="B2570" s="125">
        <f>+IFERROR(VLOOKUP(L2570,'TB mapping'!A:D,4,0),0)</f>
        <v>0</v>
      </c>
      <c r="C2570" s="125">
        <f>+IFERROR(VLOOKUP(L2570,'TB mapping'!A:C,3,0),0)</f>
        <v>6.3</v>
      </c>
      <c r="D2570" s="125" t="str">
        <f t="shared" si="263"/>
        <v>LIC370</v>
      </c>
      <c r="E2570" s="125" t="str">
        <f t="shared" si="264"/>
        <v>LIC376.3</v>
      </c>
      <c r="F2570" s="158" t="str">
        <f>+VLOOKUP(H2570,'code mapping'!A:C,3,0)</f>
        <v>LIC37</v>
      </c>
      <c r="G2570" s="127" t="s">
        <v>453</v>
      </c>
      <c r="H2570" s="127" t="s">
        <v>769</v>
      </c>
      <c r="I2570" s="127" t="s">
        <v>770</v>
      </c>
      <c r="J2570" s="128">
        <v>550000</v>
      </c>
      <c r="K2570" s="127" t="s">
        <v>550</v>
      </c>
      <c r="L2570" s="151">
        <v>553213</v>
      </c>
      <c r="M2570" s="128">
        <v>0</v>
      </c>
      <c r="N2570" s="127" t="s">
        <v>566</v>
      </c>
      <c r="O2570" s="127" t="s">
        <v>457</v>
      </c>
      <c r="P2570" s="128">
        <v>-7030.81</v>
      </c>
      <c r="Q2570" s="128">
        <v>0</v>
      </c>
      <c r="R2570" s="128">
        <v>0</v>
      </c>
      <c r="S2570" s="128">
        <v>0</v>
      </c>
      <c r="T2570" s="128">
        <v>-7030.81</v>
      </c>
      <c r="U2570" s="128">
        <v>0</v>
      </c>
      <c r="V2570" s="128">
        <v>-7030.81</v>
      </c>
      <c r="W2570" s="128">
        <v>0</v>
      </c>
      <c r="X2570" s="128">
        <v>0</v>
      </c>
      <c r="Y2570" s="128">
        <v>0</v>
      </c>
      <c r="Z2570" s="128">
        <v>-7030.81</v>
      </c>
      <c r="AA2570" s="128">
        <v>0</v>
      </c>
      <c r="AB2570" s="126">
        <f t="shared" si="265"/>
        <v>7.0308100000000004E-4</v>
      </c>
      <c r="AC2570" s="122" t="s">
        <v>1838</v>
      </c>
      <c r="AD2570" s="123">
        <f t="shared" si="261"/>
        <v>0.26593442499999997</v>
      </c>
    </row>
    <row r="2571" spans="1:30" ht="12.75" hidden="1" customHeight="1">
      <c r="A2571" s="125" t="str">
        <f t="shared" si="262"/>
        <v>LIC37Other Expenses-GDP</v>
      </c>
      <c r="B2571" s="125">
        <f>+IFERROR(VLOOKUP(L2571,'TB mapping'!A:D,4,0),0)</f>
        <v>0</v>
      </c>
      <c r="C2571" s="125">
        <f>+IFERROR(VLOOKUP(L2571,'TB mapping'!A:C,3,0),0)</f>
        <v>6.3</v>
      </c>
      <c r="D2571" s="125" t="str">
        <f t="shared" si="263"/>
        <v>LIC370</v>
      </c>
      <c r="E2571" s="125" t="str">
        <f t="shared" si="264"/>
        <v>LIC376.3</v>
      </c>
      <c r="F2571" s="158" t="str">
        <f>+VLOOKUP(H2571,'code mapping'!A:C,3,0)</f>
        <v>LIC37</v>
      </c>
      <c r="G2571" s="127" t="s">
        <v>453</v>
      </c>
      <c r="H2571" s="127" t="s">
        <v>769</v>
      </c>
      <c r="I2571" s="127" t="s">
        <v>770</v>
      </c>
      <c r="J2571" s="128">
        <v>550000</v>
      </c>
      <c r="K2571" s="127" t="s">
        <v>550</v>
      </c>
      <c r="L2571" s="151">
        <v>553329</v>
      </c>
      <c r="M2571" s="128">
        <v>0</v>
      </c>
      <c r="N2571" s="127" t="s">
        <v>567</v>
      </c>
      <c r="O2571" s="127" t="s">
        <v>457</v>
      </c>
      <c r="P2571" s="128">
        <v>-79504.55</v>
      </c>
      <c r="Q2571" s="128">
        <v>0</v>
      </c>
      <c r="R2571" s="128">
        <v>0</v>
      </c>
      <c r="S2571" s="128">
        <v>0</v>
      </c>
      <c r="T2571" s="128">
        <v>-79504.55</v>
      </c>
      <c r="U2571" s="128">
        <v>0</v>
      </c>
      <c r="V2571" s="128">
        <v>-79504.55</v>
      </c>
      <c r="W2571" s="128">
        <v>0</v>
      </c>
      <c r="X2571" s="128">
        <v>0</v>
      </c>
      <c r="Y2571" s="128">
        <v>0</v>
      </c>
      <c r="Z2571" s="128">
        <v>-79504.55</v>
      </c>
      <c r="AA2571" s="128">
        <v>0</v>
      </c>
      <c r="AB2571" s="126">
        <f t="shared" si="265"/>
        <v>7.9504550000000004E-3</v>
      </c>
      <c r="AC2571" s="122" t="s">
        <v>1838</v>
      </c>
      <c r="AD2571" s="123">
        <f t="shared" si="261"/>
        <v>0.26593442499999997</v>
      </c>
    </row>
    <row r="2572" spans="1:30" ht="12.75" hidden="1" customHeight="1">
      <c r="A2572" s="125" t="str">
        <f t="shared" si="262"/>
        <v>LIC37Other Expenses-DDP</v>
      </c>
      <c r="B2572" s="125">
        <f>+IFERROR(VLOOKUP(L2572,'TB mapping'!A:D,4,0),0)</f>
        <v>0</v>
      </c>
      <c r="C2572" s="125">
        <f>+IFERROR(VLOOKUP(L2572,'TB mapping'!A:C,3,0),0)</f>
        <v>6.3</v>
      </c>
      <c r="D2572" s="125" t="str">
        <f t="shared" si="263"/>
        <v>LIC370</v>
      </c>
      <c r="E2572" s="125" t="str">
        <f t="shared" si="264"/>
        <v>LIC376.3</v>
      </c>
      <c r="F2572" s="158" t="str">
        <f>+VLOOKUP(H2572,'code mapping'!A:C,3,0)</f>
        <v>LIC37</v>
      </c>
      <c r="G2572" s="127" t="s">
        <v>453</v>
      </c>
      <c r="H2572" s="127" t="s">
        <v>769</v>
      </c>
      <c r="I2572" s="127" t="s">
        <v>770</v>
      </c>
      <c r="J2572" s="128">
        <v>550000</v>
      </c>
      <c r="K2572" s="127" t="s">
        <v>550</v>
      </c>
      <c r="L2572" s="151">
        <v>553330</v>
      </c>
      <c r="M2572" s="128">
        <v>0</v>
      </c>
      <c r="N2572" s="127" t="s">
        <v>568</v>
      </c>
      <c r="O2572" s="127" t="s">
        <v>457</v>
      </c>
      <c r="P2572" s="128">
        <v>-2821.76</v>
      </c>
      <c r="Q2572" s="128">
        <v>0</v>
      </c>
      <c r="R2572" s="128">
        <v>0</v>
      </c>
      <c r="S2572" s="128">
        <v>0</v>
      </c>
      <c r="T2572" s="128">
        <v>-2821.76</v>
      </c>
      <c r="U2572" s="128">
        <v>0</v>
      </c>
      <c r="V2572" s="128">
        <v>-2821.76</v>
      </c>
      <c r="W2572" s="128">
        <v>0</v>
      </c>
      <c r="X2572" s="128">
        <v>0</v>
      </c>
      <c r="Y2572" s="128">
        <v>0</v>
      </c>
      <c r="Z2572" s="128">
        <v>-2821.76</v>
      </c>
      <c r="AA2572" s="128">
        <v>0</v>
      </c>
      <c r="AB2572" s="126">
        <f t="shared" si="265"/>
        <v>2.8217600000000003E-4</v>
      </c>
      <c r="AC2572" s="122" t="s">
        <v>1838</v>
      </c>
      <c r="AD2572" s="123">
        <f t="shared" si="261"/>
        <v>0.26593442499999997</v>
      </c>
    </row>
    <row r="2573" spans="1:30" ht="12.75" hidden="1" customHeight="1">
      <c r="A2573" s="125" t="str">
        <f t="shared" si="262"/>
        <v>LIC37Inv Educ Fund Expense - Amfi</v>
      </c>
      <c r="B2573" s="125">
        <f>+IFERROR(VLOOKUP(L2573,'TB mapping'!A:D,4,0),0)</f>
        <v>0</v>
      </c>
      <c r="C2573" s="125">
        <f>+IFERROR(VLOOKUP(L2573,'TB mapping'!A:C,3,0),0)</f>
        <v>6.3</v>
      </c>
      <c r="D2573" s="125" t="str">
        <f t="shared" si="263"/>
        <v>LIC370</v>
      </c>
      <c r="E2573" s="125" t="str">
        <f t="shared" si="264"/>
        <v>LIC376.3</v>
      </c>
      <c r="F2573" s="158" t="str">
        <f>+VLOOKUP(H2573,'code mapping'!A:C,3,0)</f>
        <v>LIC37</v>
      </c>
      <c r="G2573" s="127" t="s">
        <v>453</v>
      </c>
      <c r="H2573" s="127" t="s">
        <v>769</v>
      </c>
      <c r="I2573" s="127" t="s">
        <v>770</v>
      </c>
      <c r="J2573" s="128">
        <v>550000</v>
      </c>
      <c r="K2573" s="127" t="s">
        <v>550</v>
      </c>
      <c r="L2573" s="151">
        <v>554526</v>
      </c>
      <c r="M2573" s="128">
        <v>0</v>
      </c>
      <c r="N2573" s="127" t="s">
        <v>569</v>
      </c>
      <c r="O2573" s="127" t="s">
        <v>457</v>
      </c>
      <c r="P2573" s="128">
        <v>-14867.22</v>
      </c>
      <c r="Q2573" s="128">
        <v>0</v>
      </c>
      <c r="R2573" s="128">
        <v>0</v>
      </c>
      <c r="S2573" s="128">
        <v>0</v>
      </c>
      <c r="T2573" s="128">
        <v>-14867.22</v>
      </c>
      <c r="U2573" s="128">
        <v>0</v>
      </c>
      <c r="V2573" s="128">
        <v>-14867.22</v>
      </c>
      <c r="W2573" s="128">
        <v>0</v>
      </c>
      <c r="X2573" s="128">
        <v>0</v>
      </c>
      <c r="Y2573" s="128">
        <v>0</v>
      </c>
      <c r="Z2573" s="128">
        <v>-14867.22</v>
      </c>
      <c r="AA2573" s="128">
        <v>0</v>
      </c>
      <c r="AB2573" s="126">
        <f t="shared" si="265"/>
        <v>1.486722E-3</v>
      </c>
      <c r="AC2573" s="122" t="s">
        <v>1838</v>
      </c>
      <c r="AD2573" s="123">
        <f t="shared" si="261"/>
        <v>0.26593442499999997</v>
      </c>
    </row>
    <row r="2574" spans="1:30" ht="12.75" hidden="1" customHeight="1">
      <c r="A2574" s="125" t="str">
        <f t="shared" si="262"/>
        <v>LIC37Transaction Processing Charges</v>
      </c>
      <c r="B2574" s="125">
        <f>+IFERROR(VLOOKUP(L2574,'TB mapping'!A:D,4,0),0)</f>
        <v>0</v>
      </c>
      <c r="C2574" s="125">
        <f>+IFERROR(VLOOKUP(L2574,'TB mapping'!A:C,3,0),0)</f>
        <v>6.3</v>
      </c>
      <c r="D2574" s="125" t="str">
        <f t="shared" si="263"/>
        <v>LIC370</v>
      </c>
      <c r="E2574" s="125" t="str">
        <f t="shared" si="264"/>
        <v>LIC376.3</v>
      </c>
      <c r="F2574" s="158" t="str">
        <f>+VLOOKUP(H2574,'code mapping'!A:C,3,0)</f>
        <v>LIC37</v>
      </c>
      <c r="G2574" s="127" t="s">
        <v>453</v>
      </c>
      <c r="H2574" s="127" t="s">
        <v>769</v>
      </c>
      <c r="I2574" s="127" t="s">
        <v>770</v>
      </c>
      <c r="J2574" s="128">
        <v>550000</v>
      </c>
      <c r="K2574" s="127" t="s">
        <v>550</v>
      </c>
      <c r="L2574" s="151">
        <v>554527</v>
      </c>
      <c r="M2574" s="128">
        <v>0</v>
      </c>
      <c r="N2574" s="127" t="s">
        <v>570</v>
      </c>
      <c r="O2574" s="127" t="s">
        <v>457</v>
      </c>
      <c r="P2574" s="128">
        <v>-260</v>
      </c>
      <c r="Q2574" s="128">
        <v>0</v>
      </c>
      <c r="R2574" s="128">
        <v>0</v>
      </c>
      <c r="S2574" s="128">
        <v>0</v>
      </c>
      <c r="T2574" s="128">
        <v>-260</v>
      </c>
      <c r="U2574" s="128">
        <v>0</v>
      </c>
      <c r="V2574" s="128">
        <v>-260</v>
      </c>
      <c r="W2574" s="128">
        <v>0</v>
      </c>
      <c r="X2574" s="128">
        <v>0</v>
      </c>
      <c r="Y2574" s="128">
        <v>0</v>
      </c>
      <c r="Z2574" s="128">
        <v>-260</v>
      </c>
      <c r="AA2574" s="128">
        <v>0</v>
      </c>
      <c r="AB2574" s="126">
        <f t="shared" si="265"/>
        <v>2.5999999999999998E-5</v>
      </c>
      <c r="AC2574" s="122" t="s">
        <v>1838</v>
      </c>
      <c r="AD2574" s="123">
        <f t="shared" si="261"/>
        <v>0.26593442499999997</v>
      </c>
    </row>
    <row r="2575" spans="1:30" ht="12.75" hidden="1" customHeight="1">
      <c r="A2575" s="125" t="str">
        <f t="shared" si="262"/>
        <v>LIC37Client Servicing Expenes</v>
      </c>
      <c r="B2575" s="125">
        <f>+IFERROR(VLOOKUP(L2575,'TB mapping'!A:D,4,0),0)</f>
        <v>0</v>
      </c>
      <c r="C2575" s="125">
        <f>+IFERROR(VLOOKUP(L2575,'TB mapping'!A:C,3,0),0)</f>
        <v>6.3</v>
      </c>
      <c r="D2575" s="125" t="str">
        <f t="shared" si="263"/>
        <v>LIC370</v>
      </c>
      <c r="E2575" s="125" t="str">
        <f t="shared" si="264"/>
        <v>LIC376.3</v>
      </c>
      <c r="F2575" s="158" t="str">
        <f>+VLOOKUP(H2575,'code mapping'!A:C,3,0)</f>
        <v>LIC37</v>
      </c>
      <c r="G2575" s="127" t="s">
        <v>453</v>
      </c>
      <c r="H2575" s="127" t="s">
        <v>769</v>
      </c>
      <c r="I2575" s="127" t="s">
        <v>770</v>
      </c>
      <c r="J2575" s="128">
        <v>550000</v>
      </c>
      <c r="K2575" s="127" t="s">
        <v>550</v>
      </c>
      <c r="L2575" s="151">
        <v>555157</v>
      </c>
      <c r="M2575" s="128">
        <v>0</v>
      </c>
      <c r="N2575" s="127" t="s">
        <v>571</v>
      </c>
      <c r="O2575" s="127" t="s">
        <v>457</v>
      </c>
      <c r="P2575" s="128">
        <v>-359099.82</v>
      </c>
      <c r="Q2575" s="128">
        <v>0</v>
      </c>
      <c r="R2575" s="128">
        <v>0</v>
      </c>
      <c r="S2575" s="128">
        <v>0</v>
      </c>
      <c r="T2575" s="128">
        <v>-359099.82</v>
      </c>
      <c r="U2575" s="128">
        <v>0</v>
      </c>
      <c r="V2575" s="128">
        <v>-359099.82</v>
      </c>
      <c r="W2575" s="128">
        <v>0</v>
      </c>
      <c r="X2575" s="128">
        <v>0</v>
      </c>
      <c r="Y2575" s="128">
        <v>0</v>
      </c>
      <c r="Z2575" s="128">
        <v>-359099.82</v>
      </c>
      <c r="AA2575" s="128">
        <v>0</v>
      </c>
      <c r="AB2575" s="126">
        <f t="shared" si="265"/>
        <v>3.5909982E-2</v>
      </c>
      <c r="AC2575" s="122" t="s">
        <v>1838</v>
      </c>
      <c r="AD2575" s="123">
        <f t="shared" si="261"/>
        <v>0.26593442499999997</v>
      </c>
    </row>
    <row r="2576" spans="1:30" ht="12.75" hidden="1" customHeight="1">
      <c r="A2576" s="125" t="str">
        <f t="shared" si="262"/>
        <v>LIC37Management Fee-Reclassfication</v>
      </c>
      <c r="B2576" s="125">
        <f>+IFERROR(VLOOKUP(L2576,'TB mapping'!A:D,4,0),0)</f>
        <v>6.1</v>
      </c>
      <c r="C2576" s="125">
        <f>+IFERROR(VLOOKUP(L2576,'TB mapping'!A:C,3,0),0)</f>
        <v>6.3</v>
      </c>
      <c r="D2576" s="125" t="str">
        <f t="shared" si="263"/>
        <v>LIC376.1</v>
      </c>
      <c r="E2576" s="125" t="str">
        <f t="shared" si="264"/>
        <v>LIC376.3</v>
      </c>
      <c r="F2576" s="158" t="str">
        <f>+VLOOKUP(H2576,'code mapping'!A:C,3,0)</f>
        <v>LIC37</v>
      </c>
      <c r="G2576" s="127" t="s">
        <v>453</v>
      </c>
      <c r="H2576" s="127" t="s">
        <v>769</v>
      </c>
      <c r="I2576" s="127" t="s">
        <v>770</v>
      </c>
      <c r="J2576" s="128">
        <v>550000</v>
      </c>
      <c r="K2576" s="127" t="s">
        <v>550</v>
      </c>
      <c r="L2576" s="151">
        <v>555274</v>
      </c>
      <c r="M2576" s="128">
        <v>0</v>
      </c>
      <c r="N2576" s="127" t="s">
        <v>583</v>
      </c>
      <c r="O2576" s="127" t="s">
        <v>457</v>
      </c>
      <c r="P2576" s="128">
        <v>-360169.72</v>
      </c>
      <c r="Q2576" s="128">
        <v>0</v>
      </c>
      <c r="R2576" s="128">
        <v>0</v>
      </c>
      <c r="S2576" s="128">
        <v>0</v>
      </c>
      <c r="T2576" s="128">
        <v>-360169.72</v>
      </c>
      <c r="U2576" s="128">
        <v>0</v>
      </c>
      <c r="V2576" s="128">
        <v>-360169.72</v>
      </c>
      <c r="W2576" s="128">
        <v>0</v>
      </c>
      <c r="X2576" s="128">
        <v>0</v>
      </c>
      <c r="Y2576" s="128">
        <v>0</v>
      </c>
      <c r="Z2576" s="128">
        <v>-360169.72</v>
      </c>
      <c r="AA2576" s="128">
        <v>0</v>
      </c>
      <c r="AB2576" s="126">
        <f t="shared" si="265"/>
        <v>3.6016971999999994E-2</v>
      </c>
      <c r="AC2576" s="122" t="s">
        <v>1838</v>
      </c>
      <c r="AD2576" s="123">
        <f t="shared" si="261"/>
        <v>0.26593442499999997</v>
      </c>
    </row>
    <row r="2577" spans="1:30" ht="12.75" hidden="1" customHeight="1">
      <c r="A2577" s="125" t="str">
        <f t="shared" si="262"/>
        <v>LIC37Brokerage_Indirect_Reclassify</v>
      </c>
      <c r="B2577" s="125">
        <f>+IFERROR(VLOOKUP(L2577,'TB mapping'!A:D,4,0),0)</f>
        <v>0</v>
      </c>
      <c r="C2577" s="125">
        <f>+IFERROR(VLOOKUP(L2577,'TB mapping'!A:C,3,0),0)</f>
        <v>6.3</v>
      </c>
      <c r="D2577" s="125" t="str">
        <f t="shared" si="263"/>
        <v>LIC370</v>
      </c>
      <c r="E2577" s="125" t="str">
        <f t="shared" si="264"/>
        <v>LIC376.3</v>
      </c>
      <c r="F2577" s="158" t="str">
        <f>+VLOOKUP(H2577,'code mapping'!A:C,3,0)</f>
        <v>LIC37</v>
      </c>
      <c r="G2577" s="127" t="s">
        <v>453</v>
      </c>
      <c r="H2577" s="127" t="s">
        <v>769</v>
      </c>
      <c r="I2577" s="127" t="s">
        <v>770</v>
      </c>
      <c r="J2577" s="128">
        <v>550000</v>
      </c>
      <c r="K2577" s="127" t="s">
        <v>550</v>
      </c>
      <c r="L2577" s="151">
        <v>555275</v>
      </c>
      <c r="M2577" s="128">
        <v>0</v>
      </c>
      <c r="N2577" s="127" t="s">
        <v>600</v>
      </c>
      <c r="O2577" s="127" t="s">
        <v>457</v>
      </c>
      <c r="P2577" s="128">
        <v>0</v>
      </c>
      <c r="Q2577" s="128">
        <v>25000</v>
      </c>
      <c r="R2577" s="128">
        <v>0</v>
      </c>
      <c r="S2577" s="128">
        <v>0</v>
      </c>
      <c r="T2577" s="128">
        <v>0</v>
      </c>
      <c r="U2577" s="128">
        <v>25000</v>
      </c>
      <c r="V2577" s="128">
        <v>0</v>
      </c>
      <c r="W2577" s="128">
        <v>25000</v>
      </c>
      <c r="X2577" s="128">
        <v>0</v>
      </c>
      <c r="Y2577" s="128">
        <v>0</v>
      </c>
      <c r="Z2577" s="128">
        <v>0</v>
      </c>
      <c r="AA2577" s="128">
        <v>25000</v>
      </c>
      <c r="AB2577" s="126">
        <f t="shared" si="265"/>
        <v>-2.5000000000000001E-3</v>
      </c>
      <c r="AC2577" s="122" t="s">
        <v>1838</v>
      </c>
      <c r="AD2577" s="123">
        <f t="shared" si="261"/>
        <v>0.26593442499999997</v>
      </c>
    </row>
    <row r="2578" spans="1:30" ht="12.75" hidden="1" customHeight="1">
      <c r="A2578" s="125" t="str">
        <f t="shared" si="262"/>
        <v>LIC37CGST on Reclassify of Exp</v>
      </c>
      <c r="B2578" s="125">
        <f>+IFERROR(VLOOKUP(L2578,'TB mapping'!A:D,4,0),0)</f>
        <v>0</v>
      </c>
      <c r="C2578" s="125">
        <f>+IFERROR(VLOOKUP(L2578,'TB mapping'!A:C,3,0),0)</f>
        <v>6.3</v>
      </c>
      <c r="D2578" s="125" t="str">
        <f t="shared" si="263"/>
        <v>LIC370</v>
      </c>
      <c r="E2578" s="125" t="str">
        <f t="shared" si="264"/>
        <v>LIC376.3</v>
      </c>
      <c r="F2578" s="158" t="str">
        <f>+VLOOKUP(H2578,'code mapping'!A:C,3,0)</f>
        <v>LIC37</v>
      </c>
      <c r="G2578" s="127" t="s">
        <v>453</v>
      </c>
      <c r="H2578" s="127" t="s">
        <v>769</v>
      </c>
      <c r="I2578" s="127" t="s">
        <v>770</v>
      </c>
      <c r="J2578" s="128">
        <v>550000</v>
      </c>
      <c r="K2578" s="127" t="s">
        <v>550</v>
      </c>
      <c r="L2578" s="151">
        <v>555276</v>
      </c>
      <c r="M2578" s="128">
        <v>0</v>
      </c>
      <c r="N2578" s="127" t="s">
        <v>572</v>
      </c>
      <c r="O2578" s="127" t="s">
        <v>457</v>
      </c>
      <c r="P2578" s="128">
        <v>-13347.46</v>
      </c>
      <c r="Q2578" s="128">
        <v>0</v>
      </c>
      <c r="R2578" s="128">
        <v>0</v>
      </c>
      <c r="S2578" s="128">
        <v>0</v>
      </c>
      <c r="T2578" s="128">
        <v>-13347.46</v>
      </c>
      <c r="U2578" s="128">
        <v>0</v>
      </c>
      <c r="V2578" s="128">
        <v>-13347.46</v>
      </c>
      <c r="W2578" s="128">
        <v>0</v>
      </c>
      <c r="X2578" s="128">
        <v>0</v>
      </c>
      <c r="Y2578" s="128">
        <v>0</v>
      </c>
      <c r="Z2578" s="128">
        <v>-13347.46</v>
      </c>
      <c r="AA2578" s="128">
        <v>0</v>
      </c>
      <c r="AB2578" s="126">
        <f t="shared" si="265"/>
        <v>1.3347459999999999E-3</v>
      </c>
      <c r="AC2578" s="122" t="s">
        <v>1838</v>
      </c>
      <c r="AD2578" s="123">
        <f t="shared" si="261"/>
        <v>0.26593442499999997</v>
      </c>
    </row>
    <row r="2579" spans="1:30" ht="12.75" hidden="1" customHeight="1">
      <c r="A2579" s="125" t="str">
        <f t="shared" si="262"/>
        <v>LIC37SGST on Reclassify of Exp</v>
      </c>
      <c r="B2579" s="125">
        <f>+IFERROR(VLOOKUP(L2579,'TB mapping'!A:D,4,0),0)</f>
        <v>0</v>
      </c>
      <c r="C2579" s="125">
        <f>+IFERROR(VLOOKUP(L2579,'TB mapping'!A:C,3,0),0)</f>
        <v>6.3</v>
      </c>
      <c r="D2579" s="125" t="str">
        <f t="shared" si="263"/>
        <v>LIC370</v>
      </c>
      <c r="E2579" s="125" t="str">
        <f t="shared" si="264"/>
        <v>LIC376.3</v>
      </c>
      <c r="F2579" s="158" t="str">
        <f>+VLOOKUP(H2579,'code mapping'!A:C,3,0)</f>
        <v>LIC37</v>
      </c>
      <c r="G2579" s="127" t="s">
        <v>453</v>
      </c>
      <c r="H2579" s="127" t="s">
        <v>769</v>
      </c>
      <c r="I2579" s="127" t="s">
        <v>770</v>
      </c>
      <c r="J2579" s="128">
        <v>550000</v>
      </c>
      <c r="K2579" s="127" t="s">
        <v>550</v>
      </c>
      <c r="L2579" s="151">
        <v>555277</v>
      </c>
      <c r="M2579" s="128">
        <v>0</v>
      </c>
      <c r="N2579" s="127" t="s">
        <v>573</v>
      </c>
      <c r="O2579" s="127" t="s">
        <v>457</v>
      </c>
      <c r="P2579" s="128">
        <v>-13347.46</v>
      </c>
      <c r="Q2579" s="128">
        <v>0</v>
      </c>
      <c r="R2579" s="128">
        <v>0</v>
      </c>
      <c r="S2579" s="128">
        <v>0</v>
      </c>
      <c r="T2579" s="128">
        <v>-13347.46</v>
      </c>
      <c r="U2579" s="128">
        <v>0</v>
      </c>
      <c r="V2579" s="128">
        <v>-13347.46</v>
      </c>
      <c r="W2579" s="128">
        <v>0</v>
      </c>
      <c r="X2579" s="128">
        <v>0</v>
      </c>
      <c r="Y2579" s="128">
        <v>0</v>
      </c>
      <c r="Z2579" s="128">
        <v>-13347.46</v>
      </c>
      <c r="AA2579" s="128">
        <v>0</v>
      </c>
      <c r="AB2579" s="126">
        <f t="shared" si="265"/>
        <v>1.3347459999999999E-3</v>
      </c>
      <c r="AC2579" s="122" t="s">
        <v>1838</v>
      </c>
      <c r="AD2579" s="123">
        <f t="shared" si="261"/>
        <v>0.26593442499999997</v>
      </c>
    </row>
    <row r="2580" spans="1:30" ht="12.75" hidden="1" customHeight="1">
      <c r="A2580" s="125" t="str">
        <f t="shared" si="262"/>
        <v>LIC37Other Expense-Reclassfication</v>
      </c>
      <c r="B2580" s="125">
        <f>+IFERROR(VLOOKUP(L2580,'TB mapping'!A:D,4,0),0)</f>
        <v>0</v>
      </c>
      <c r="C2580" s="125">
        <f>+IFERROR(VLOOKUP(L2580,'TB mapping'!A:C,3,0),0)</f>
        <v>0</v>
      </c>
      <c r="D2580" s="125" t="str">
        <f t="shared" si="263"/>
        <v>LIC370</v>
      </c>
      <c r="E2580" s="125" t="str">
        <f t="shared" si="264"/>
        <v>LIC370</v>
      </c>
      <c r="F2580" s="158" t="str">
        <f>+VLOOKUP(H2580,'code mapping'!A:C,3,0)</f>
        <v>LIC37</v>
      </c>
      <c r="G2580" s="127" t="s">
        <v>453</v>
      </c>
      <c r="H2580" s="127" t="s">
        <v>769</v>
      </c>
      <c r="I2580" s="127" t="s">
        <v>770</v>
      </c>
      <c r="J2580" s="128">
        <v>550000</v>
      </c>
      <c r="K2580" s="127" t="s">
        <v>550</v>
      </c>
      <c r="L2580" s="151">
        <v>555280</v>
      </c>
      <c r="M2580" s="128">
        <v>0</v>
      </c>
      <c r="N2580" s="127" t="s">
        <v>1590</v>
      </c>
      <c r="O2580" s="127" t="s">
        <v>457</v>
      </c>
      <c r="P2580" s="128">
        <v>0</v>
      </c>
      <c r="Q2580" s="128">
        <v>100000</v>
      </c>
      <c r="R2580" s="128">
        <v>0</v>
      </c>
      <c r="S2580" s="128">
        <v>0</v>
      </c>
      <c r="T2580" s="128">
        <v>0</v>
      </c>
      <c r="U2580" s="128">
        <v>100000</v>
      </c>
      <c r="V2580" s="128">
        <v>0</v>
      </c>
      <c r="W2580" s="128">
        <v>100000</v>
      </c>
      <c r="X2580" s="128">
        <v>0</v>
      </c>
      <c r="Y2580" s="128">
        <v>0</v>
      </c>
      <c r="Z2580" s="128">
        <v>0</v>
      </c>
      <c r="AA2580" s="128">
        <v>100000</v>
      </c>
      <c r="AB2580" s="126">
        <f t="shared" si="265"/>
        <v>-0.01</v>
      </c>
      <c r="AC2580" s="122" t="s">
        <v>1838</v>
      </c>
      <c r="AD2580" s="123">
        <f>SUMIF(C:C,C2580,AB:AB)</f>
        <v>1983.9723217250009</v>
      </c>
    </row>
    <row r="2581" spans="1:30" ht="12.75" hidden="1" customHeight="1">
      <c r="A2581" s="125" t="str">
        <f t="shared" si="262"/>
        <v>LIC37CGST on Mfees</v>
      </c>
      <c r="B2581" s="125">
        <f>+IFERROR(VLOOKUP(L2581,'TB mapping'!A:D,4,0),0)</f>
        <v>6.1</v>
      </c>
      <c r="C2581" s="125">
        <f>+IFERROR(VLOOKUP(L2581,'TB mapping'!A:C,3,0),0)</f>
        <v>6.3</v>
      </c>
      <c r="D2581" s="125" t="str">
        <f t="shared" si="263"/>
        <v>LIC376.1</v>
      </c>
      <c r="E2581" s="125" t="str">
        <f t="shared" si="264"/>
        <v>LIC376.3</v>
      </c>
      <c r="F2581" s="158" t="str">
        <f>+VLOOKUP(H2581,'code mapping'!A:C,3,0)</f>
        <v>LIC37</v>
      </c>
      <c r="G2581" s="127" t="s">
        <v>453</v>
      </c>
      <c r="H2581" s="127" t="s">
        <v>769</v>
      </c>
      <c r="I2581" s="127" t="s">
        <v>770</v>
      </c>
      <c r="J2581" s="128">
        <v>550000</v>
      </c>
      <c r="K2581" s="127" t="s">
        <v>550</v>
      </c>
      <c r="L2581" s="151">
        <v>555597</v>
      </c>
      <c r="M2581" s="128">
        <v>0</v>
      </c>
      <c r="N2581" s="127" t="s">
        <v>574</v>
      </c>
      <c r="O2581" s="127" t="s">
        <v>457</v>
      </c>
      <c r="P2581" s="128">
        <v>-88145.57</v>
      </c>
      <c r="Q2581" s="128">
        <v>0</v>
      </c>
      <c r="R2581" s="128">
        <v>0</v>
      </c>
      <c r="S2581" s="128">
        <v>0</v>
      </c>
      <c r="T2581" s="128">
        <v>-88145.57</v>
      </c>
      <c r="U2581" s="128">
        <v>0</v>
      </c>
      <c r="V2581" s="128">
        <v>-88145.57</v>
      </c>
      <c r="W2581" s="128">
        <v>0</v>
      </c>
      <c r="X2581" s="128">
        <v>0</v>
      </c>
      <c r="Y2581" s="128">
        <v>0</v>
      </c>
      <c r="Z2581" s="128">
        <v>-88145.57</v>
      </c>
      <c r="AA2581" s="128">
        <v>0</v>
      </c>
      <c r="AB2581" s="126">
        <f t="shared" si="265"/>
        <v>8.8145570000000006E-3</v>
      </c>
      <c r="AC2581" s="122" t="s">
        <v>1838</v>
      </c>
      <c r="AD2581" s="123">
        <f t="shared" ref="AD2581:AD2590" si="266">SUMIF(E:E,E2581,AB:AB)</f>
        <v>0.26593442499999997</v>
      </c>
    </row>
    <row r="2582" spans="1:30" ht="12.75" hidden="1" customHeight="1">
      <c r="A2582" s="125" t="str">
        <f t="shared" si="262"/>
        <v>LIC37SGST on Mfees</v>
      </c>
      <c r="B2582" s="125">
        <f>+IFERROR(VLOOKUP(L2582,'TB mapping'!A:D,4,0),0)</f>
        <v>6.1</v>
      </c>
      <c r="C2582" s="125">
        <f>+IFERROR(VLOOKUP(L2582,'TB mapping'!A:C,3,0),0)</f>
        <v>6.3</v>
      </c>
      <c r="D2582" s="125" t="str">
        <f t="shared" si="263"/>
        <v>LIC376.1</v>
      </c>
      <c r="E2582" s="125" t="str">
        <f t="shared" si="264"/>
        <v>LIC376.3</v>
      </c>
      <c r="F2582" s="158" t="str">
        <f>+VLOOKUP(H2582,'code mapping'!A:C,3,0)</f>
        <v>LIC37</v>
      </c>
      <c r="G2582" s="127" t="s">
        <v>453</v>
      </c>
      <c r="H2582" s="127" t="s">
        <v>769</v>
      </c>
      <c r="I2582" s="127" t="s">
        <v>770</v>
      </c>
      <c r="J2582" s="128">
        <v>550000</v>
      </c>
      <c r="K2582" s="127" t="s">
        <v>550</v>
      </c>
      <c r="L2582" s="151">
        <v>555598</v>
      </c>
      <c r="M2582" s="128">
        <v>0</v>
      </c>
      <c r="N2582" s="127" t="s">
        <v>575</v>
      </c>
      <c r="O2582" s="127" t="s">
        <v>457</v>
      </c>
      <c r="P2582" s="128">
        <v>-88145.57</v>
      </c>
      <c r="Q2582" s="128">
        <v>0</v>
      </c>
      <c r="R2582" s="128">
        <v>0</v>
      </c>
      <c r="S2582" s="128">
        <v>0</v>
      </c>
      <c r="T2582" s="128">
        <v>-88145.57</v>
      </c>
      <c r="U2582" s="128">
        <v>0</v>
      </c>
      <c r="V2582" s="128">
        <v>-88145.57</v>
      </c>
      <c r="W2582" s="128">
        <v>0</v>
      </c>
      <c r="X2582" s="128">
        <v>0</v>
      </c>
      <c r="Y2582" s="128">
        <v>0</v>
      </c>
      <c r="Z2582" s="128">
        <v>-88145.57</v>
      </c>
      <c r="AA2582" s="128">
        <v>0</v>
      </c>
      <c r="AB2582" s="126">
        <f t="shared" si="265"/>
        <v>8.8145570000000006E-3</v>
      </c>
      <c r="AC2582" s="122" t="s">
        <v>1838</v>
      </c>
      <c r="AD2582" s="123">
        <f t="shared" si="266"/>
        <v>0.26593442499999997</v>
      </c>
    </row>
    <row r="2583" spans="1:30" ht="12.75" hidden="1" customHeight="1">
      <c r="A2583" s="125" t="str">
        <f t="shared" si="262"/>
        <v>LIC37CGST on Mfees -GDP</v>
      </c>
      <c r="B2583" s="125">
        <f>+IFERROR(VLOOKUP(L2583,'TB mapping'!A:D,4,0),0)</f>
        <v>6.1</v>
      </c>
      <c r="C2583" s="125">
        <f>+IFERROR(VLOOKUP(L2583,'TB mapping'!A:C,3,0),0)</f>
        <v>6.3</v>
      </c>
      <c r="D2583" s="125" t="str">
        <f t="shared" si="263"/>
        <v>LIC376.1</v>
      </c>
      <c r="E2583" s="125" t="str">
        <f t="shared" si="264"/>
        <v>LIC376.3</v>
      </c>
      <c r="F2583" s="158" t="str">
        <f>+VLOOKUP(H2583,'code mapping'!A:C,3,0)</f>
        <v>LIC37</v>
      </c>
      <c r="G2583" s="127" t="s">
        <v>453</v>
      </c>
      <c r="H2583" s="127" t="s">
        <v>769</v>
      </c>
      <c r="I2583" s="127" t="s">
        <v>770</v>
      </c>
      <c r="J2583" s="128">
        <v>550000</v>
      </c>
      <c r="K2583" s="127" t="s">
        <v>550</v>
      </c>
      <c r="L2583" s="151">
        <v>555599</v>
      </c>
      <c r="M2583" s="128">
        <v>0</v>
      </c>
      <c r="N2583" s="127" t="s">
        <v>576</v>
      </c>
      <c r="O2583" s="127" t="s">
        <v>457</v>
      </c>
      <c r="P2583" s="128">
        <v>0</v>
      </c>
      <c r="Q2583" s="128">
        <v>527.03</v>
      </c>
      <c r="R2583" s="128">
        <v>0</v>
      </c>
      <c r="S2583" s="128">
        <v>0</v>
      </c>
      <c r="T2583" s="128">
        <v>0</v>
      </c>
      <c r="U2583" s="128">
        <v>527.03</v>
      </c>
      <c r="V2583" s="128">
        <v>0</v>
      </c>
      <c r="W2583" s="128">
        <v>527.03</v>
      </c>
      <c r="X2583" s="128">
        <v>0</v>
      </c>
      <c r="Y2583" s="128">
        <v>0</v>
      </c>
      <c r="Z2583" s="128">
        <v>0</v>
      </c>
      <c r="AA2583" s="128">
        <v>527.03</v>
      </c>
      <c r="AB2583" s="126">
        <f t="shared" si="265"/>
        <v>-5.2703E-5</v>
      </c>
      <c r="AC2583" s="122" t="s">
        <v>1838</v>
      </c>
      <c r="AD2583" s="123">
        <f t="shared" si="266"/>
        <v>0.26593442499999997</v>
      </c>
    </row>
    <row r="2584" spans="1:30" ht="12.75" hidden="1" customHeight="1">
      <c r="A2584" s="125" t="str">
        <f t="shared" si="262"/>
        <v>LIC37SGST on Mfees -GDP</v>
      </c>
      <c r="B2584" s="125">
        <f>+IFERROR(VLOOKUP(L2584,'TB mapping'!A:D,4,0),0)</f>
        <v>6.1</v>
      </c>
      <c r="C2584" s="125">
        <f>+IFERROR(VLOOKUP(L2584,'TB mapping'!A:C,3,0),0)</f>
        <v>6.3</v>
      </c>
      <c r="D2584" s="125" t="str">
        <f t="shared" si="263"/>
        <v>LIC376.1</v>
      </c>
      <c r="E2584" s="125" t="str">
        <f t="shared" si="264"/>
        <v>LIC376.3</v>
      </c>
      <c r="F2584" s="158" t="str">
        <f>+VLOOKUP(H2584,'code mapping'!A:C,3,0)</f>
        <v>LIC37</v>
      </c>
      <c r="G2584" s="127" t="s">
        <v>453</v>
      </c>
      <c r="H2584" s="127" t="s">
        <v>769</v>
      </c>
      <c r="I2584" s="127" t="s">
        <v>770</v>
      </c>
      <c r="J2584" s="128">
        <v>550000</v>
      </c>
      <c r="K2584" s="127" t="s">
        <v>550</v>
      </c>
      <c r="L2584" s="151">
        <v>555600</v>
      </c>
      <c r="M2584" s="128">
        <v>0</v>
      </c>
      <c r="N2584" s="127" t="s">
        <v>577</v>
      </c>
      <c r="O2584" s="127" t="s">
        <v>457</v>
      </c>
      <c r="P2584" s="128">
        <v>0</v>
      </c>
      <c r="Q2584" s="128">
        <v>527.03</v>
      </c>
      <c r="R2584" s="128">
        <v>0</v>
      </c>
      <c r="S2584" s="128">
        <v>0</v>
      </c>
      <c r="T2584" s="128">
        <v>0</v>
      </c>
      <c r="U2584" s="128">
        <v>527.03</v>
      </c>
      <c r="V2584" s="128">
        <v>0</v>
      </c>
      <c r="W2584" s="128">
        <v>527.03</v>
      </c>
      <c r="X2584" s="128">
        <v>0</v>
      </c>
      <c r="Y2584" s="128">
        <v>0</v>
      </c>
      <c r="Z2584" s="128">
        <v>0</v>
      </c>
      <c r="AA2584" s="128">
        <v>527.03</v>
      </c>
      <c r="AB2584" s="126">
        <f t="shared" si="265"/>
        <v>-5.2703E-5</v>
      </c>
      <c r="AC2584" s="122" t="s">
        <v>1838</v>
      </c>
      <c r="AD2584" s="123">
        <f t="shared" si="266"/>
        <v>0.26593442499999997</v>
      </c>
    </row>
    <row r="2585" spans="1:30" ht="12.75" hidden="1" customHeight="1">
      <c r="A2585" s="125" t="str">
        <f t="shared" si="262"/>
        <v>LIC37Operating Expenses</v>
      </c>
      <c r="B2585" s="125">
        <f>+IFERROR(VLOOKUP(L2585,'TB mapping'!A:D,4,0),0)</f>
        <v>0</v>
      </c>
      <c r="C2585" s="125">
        <f>+IFERROR(VLOOKUP(L2585,'TB mapping'!A:C,3,0),0)</f>
        <v>6.3</v>
      </c>
      <c r="D2585" s="125" t="str">
        <f t="shared" si="263"/>
        <v>LIC370</v>
      </c>
      <c r="E2585" s="125" t="str">
        <f t="shared" si="264"/>
        <v>LIC376.3</v>
      </c>
      <c r="F2585" s="158" t="str">
        <f>+VLOOKUP(H2585,'code mapping'!A:C,3,0)</f>
        <v>LIC37</v>
      </c>
      <c r="G2585" s="127" t="s">
        <v>453</v>
      </c>
      <c r="H2585" s="127" t="s">
        <v>769</v>
      </c>
      <c r="I2585" s="127" t="s">
        <v>770</v>
      </c>
      <c r="J2585" s="128">
        <v>550000</v>
      </c>
      <c r="K2585" s="127" t="s">
        <v>550</v>
      </c>
      <c r="L2585" s="151">
        <v>556421</v>
      </c>
      <c r="M2585" s="128">
        <v>0</v>
      </c>
      <c r="N2585" s="127" t="s">
        <v>578</v>
      </c>
      <c r="O2585" s="127" t="s">
        <v>457</v>
      </c>
      <c r="P2585" s="128">
        <v>-6593.29</v>
      </c>
      <c r="Q2585" s="128">
        <v>0</v>
      </c>
      <c r="R2585" s="128">
        <v>0</v>
      </c>
      <c r="S2585" s="128">
        <v>0</v>
      </c>
      <c r="T2585" s="128">
        <v>-6593.29</v>
      </c>
      <c r="U2585" s="128">
        <v>0</v>
      </c>
      <c r="V2585" s="128">
        <v>-6593.29</v>
      </c>
      <c r="W2585" s="128">
        <v>0</v>
      </c>
      <c r="X2585" s="128">
        <v>0</v>
      </c>
      <c r="Y2585" s="128">
        <v>0</v>
      </c>
      <c r="Z2585" s="128">
        <v>-6593.29</v>
      </c>
      <c r="AA2585" s="128">
        <v>0</v>
      </c>
      <c r="AB2585" s="126">
        <f t="shared" si="265"/>
        <v>6.5932899999999995E-4</v>
      </c>
      <c r="AC2585" s="122" t="s">
        <v>1838</v>
      </c>
      <c r="AD2585" s="123">
        <f t="shared" si="266"/>
        <v>0.26593442499999997</v>
      </c>
    </row>
    <row r="2586" spans="1:30" ht="12.75" hidden="1" customHeight="1">
      <c r="A2586" s="125" t="str">
        <f t="shared" si="262"/>
        <v>LIC37Management Fee</v>
      </c>
      <c r="B2586" s="125">
        <f>+IFERROR(VLOOKUP(L2586,'TB mapping'!A:D,4,0),0)</f>
        <v>6.1</v>
      </c>
      <c r="C2586" s="125">
        <f>+IFERROR(VLOOKUP(L2586,'TB mapping'!A:C,3,0),0)</f>
        <v>6.3</v>
      </c>
      <c r="D2586" s="125" t="str">
        <f t="shared" si="263"/>
        <v>LIC376.1</v>
      </c>
      <c r="E2586" s="125" t="str">
        <f t="shared" si="264"/>
        <v>LIC376.3</v>
      </c>
      <c r="F2586" s="158" t="str">
        <f>+VLOOKUP(H2586,'code mapping'!A:C,3,0)</f>
        <v>LIC37</v>
      </c>
      <c r="G2586" s="127" t="s">
        <v>453</v>
      </c>
      <c r="H2586" s="127" t="s">
        <v>769</v>
      </c>
      <c r="I2586" s="127" t="s">
        <v>770</v>
      </c>
      <c r="J2586" s="128">
        <v>555100</v>
      </c>
      <c r="K2586" s="127" t="s">
        <v>579</v>
      </c>
      <c r="L2586" s="151">
        <v>555100</v>
      </c>
      <c r="M2586" s="128">
        <v>0</v>
      </c>
      <c r="N2586" s="127" t="s">
        <v>580</v>
      </c>
      <c r="O2586" s="127" t="s">
        <v>457</v>
      </c>
      <c r="P2586" s="128">
        <v>-376536.66</v>
      </c>
      <c r="Q2586" s="128">
        <v>0</v>
      </c>
      <c r="R2586" s="128">
        <v>0</v>
      </c>
      <c r="S2586" s="128">
        <v>0</v>
      </c>
      <c r="T2586" s="128">
        <v>-376536.66</v>
      </c>
      <c r="U2586" s="128">
        <v>0</v>
      </c>
      <c r="V2586" s="128">
        <v>-376536.66</v>
      </c>
      <c r="W2586" s="128">
        <v>0</v>
      </c>
      <c r="X2586" s="128">
        <v>0</v>
      </c>
      <c r="Y2586" s="128">
        <v>0</v>
      </c>
      <c r="Z2586" s="128">
        <v>-376536.66</v>
      </c>
      <c r="AA2586" s="128">
        <v>0</v>
      </c>
      <c r="AB2586" s="126">
        <f t="shared" si="265"/>
        <v>3.7653665999999995E-2</v>
      </c>
      <c r="AC2586" s="122" t="s">
        <v>1838</v>
      </c>
      <c r="AD2586" s="123">
        <f t="shared" si="266"/>
        <v>0.26593442499999997</v>
      </c>
    </row>
    <row r="2587" spans="1:30" ht="12.75" hidden="1" customHeight="1">
      <c r="A2587" s="125" t="str">
        <f t="shared" si="262"/>
        <v>LIC37Management Fees-RG</v>
      </c>
      <c r="B2587" s="125">
        <f>+IFERROR(VLOOKUP(L2587,'TB mapping'!A:D,4,0),0)</f>
        <v>6.1</v>
      </c>
      <c r="C2587" s="125">
        <f>+IFERROR(VLOOKUP(L2587,'TB mapping'!A:C,3,0),0)</f>
        <v>6.3</v>
      </c>
      <c r="D2587" s="125" t="str">
        <f t="shared" si="263"/>
        <v>LIC376.1</v>
      </c>
      <c r="E2587" s="125" t="str">
        <f t="shared" si="264"/>
        <v>LIC376.3</v>
      </c>
      <c r="F2587" s="158" t="str">
        <f>+VLOOKUP(H2587,'code mapping'!A:C,3,0)</f>
        <v>LIC37</v>
      </c>
      <c r="G2587" s="127" t="s">
        <v>453</v>
      </c>
      <c r="H2587" s="127" t="s">
        <v>769</v>
      </c>
      <c r="I2587" s="127" t="s">
        <v>770</v>
      </c>
      <c r="J2587" s="128">
        <v>555100</v>
      </c>
      <c r="K2587" s="127" t="s">
        <v>579</v>
      </c>
      <c r="L2587" s="151">
        <v>555191</v>
      </c>
      <c r="M2587" s="128">
        <v>0</v>
      </c>
      <c r="N2587" s="127" t="s">
        <v>581</v>
      </c>
      <c r="O2587" s="127" t="s">
        <v>457</v>
      </c>
      <c r="P2587" s="128">
        <v>-425672.55</v>
      </c>
      <c r="Q2587" s="128">
        <v>0</v>
      </c>
      <c r="R2587" s="128">
        <v>0</v>
      </c>
      <c r="S2587" s="128">
        <v>0</v>
      </c>
      <c r="T2587" s="128">
        <v>-425672.55</v>
      </c>
      <c r="U2587" s="128">
        <v>0</v>
      </c>
      <c r="V2587" s="128">
        <v>-425672.55</v>
      </c>
      <c r="W2587" s="128">
        <v>0</v>
      </c>
      <c r="X2587" s="128">
        <v>0</v>
      </c>
      <c r="Y2587" s="128">
        <v>0</v>
      </c>
      <c r="Z2587" s="128">
        <v>-425672.55</v>
      </c>
      <c r="AA2587" s="128">
        <v>0</v>
      </c>
      <c r="AB2587" s="126">
        <f t="shared" si="265"/>
        <v>4.2567254999999998E-2</v>
      </c>
      <c r="AC2587" s="122" t="s">
        <v>1838</v>
      </c>
      <c r="AD2587" s="123">
        <f t="shared" si="266"/>
        <v>0.26593442499999997</v>
      </c>
    </row>
    <row r="2588" spans="1:30" ht="12.75" hidden="1" customHeight="1">
      <c r="A2588" s="125" t="str">
        <f t="shared" si="262"/>
        <v>LIC37Management Fees-RD</v>
      </c>
      <c r="B2588" s="125">
        <f>+IFERROR(VLOOKUP(L2588,'TB mapping'!A:D,4,0),0)</f>
        <v>6.1</v>
      </c>
      <c r="C2588" s="125">
        <f>+IFERROR(VLOOKUP(L2588,'TB mapping'!A:C,3,0),0)</f>
        <v>6.3</v>
      </c>
      <c r="D2588" s="125" t="str">
        <f t="shared" si="263"/>
        <v>LIC376.1</v>
      </c>
      <c r="E2588" s="125" t="str">
        <f t="shared" si="264"/>
        <v>LIC376.3</v>
      </c>
      <c r="F2588" s="158" t="str">
        <f>+VLOOKUP(H2588,'code mapping'!A:C,3,0)</f>
        <v>LIC37</v>
      </c>
      <c r="G2588" s="127" t="s">
        <v>453</v>
      </c>
      <c r="H2588" s="127" t="s">
        <v>769</v>
      </c>
      <c r="I2588" s="127" t="s">
        <v>770</v>
      </c>
      <c r="J2588" s="128">
        <v>555100</v>
      </c>
      <c r="K2588" s="127" t="s">
        <v>579</v>
      </c>
      <c r="L2588" s="151">
        <v>555192</v>
      </c>
      <c r="M2588" s="128">
        <v>0</v>
      </c>
      <c r="N2588" s="127" t="s">
        <v>582</v>
      </c>
      <c r="O2588" s="127" t="s">
        <v>457</v>
      </c>
      <c r="P2588" s="128">
        <v>-123215.08</v>
      </c>
      <c r="Q2588" s="128">
        <v>0</v>
      </c>
      <c r="R2588" s="128">
        <v>0</v>
      </c>
      <c r="S2588" s="128">
        <v>0</v>
      </c>
      <c r="T2588" s="128">
        <v>-123215.08</v>
      </c>
      <c r="U2588" s="128">
        <v>0</v>
      </c>
      <c r="V2588" s="128">
        <v>-123215.08</v>
      </c>
      <c r="W2588" s="128">
        <v>0</v>
      </c>
      <c r="X2588" s="128">
        <v>0</v>
      </c>
      <c r="Y2588" s="128">
        <v>0</v>
      </c>
      <c r="Z2588" s="128">
        <v>-123215.08</v>
      </c>
      <c r="AA2588" s="128">
        <v>0</v>
      </c>
      <c r="AB2588" s="126">
        <f t="shared" si="265"/>
        <v>1.2321508E-2</v>
      </c>
      <c r="AC2588" s="122" t="s">
        <v>1838</v>
      </c>
      <c r="AD2588" s="123">
        <f t="shared" si="266"/>
        <v>0.26593442499999997</v>
      </c>
    </row>
    <row r="2589" spans="1:30" ht="12.75" hidden="1" customHeight="1">
      <c r="A2589" s="125" t="str">
        <f t="shared" si="262"/>
        <v>LIC37Management Fees-GDP</v>
      </c>
      <c r="B2589" s="125">
        <f>+IFERROR(VLOOKUP(L2589,'TB mapping'!A:D,4,0),0)</f>
        <v>6.1</v>
      </c>
      <c r="C2589" s="125">
        <f>+IFERROR(VLOOKUP(L2589,'TB mapping'!A:C,3,0),0)</f>
        <v>6.3</v>
      </c>
      <c r="D2589" s="125" t="str">
        <f t="shared" si="263"/>
        <v>LIC376.1</v>
      </c>
      <c r="E2589" s="125" t="str">
        <f t="shared" si="264"/>
        <v>LIC376.3</v>
      </c>
      <c r="F2589" s="158" t="str">
        <f>+VLOOKUP(H2589,'code mapping'!A:C,3,0)</f>
        <v>LIC37</v>
      </c>
      <c r="G2589" s="127" t="s">
        <v>453</v>
      </c>
      <c r="H2589" s="127" t="s">
        <v>769</v>
      </c>
      <c r="I2589" s="127" t="s">
        <v>770</v>
      </c>
      <c r="J2589" s="128">
        <v>555100</v>
      </c>
      <c r="K2589" s="127" t="s">
        <v>579</v>
      </c>
      <c r="L2589" s="151">
        <v>555329</v>
      </c>
      <c r="M2589" s="128">
        <v>0</v>
      </c>
      <c r="N2589" s="127" t="s">
        <v>584</v>
      </c>
      <c r="O2589" s="127" t="s">
        <v>457</v>
      </c>
      <c r="P2589" s="128">
        <v>-96323.31</v>
      </c>
      <c r="Q2589" s="128">
        <v>0</v>
      </c>
      <c r="R2589" s="128">
        <v>0</v>
      </c>
      <c r="S2589" s="128">
        <v>0</v>
      </c>
      <c r="T2589" s="128">
        <v>-96323.31</v>
      </c>
      <c r="U2589" s="128">
        <v>0</v>
      </c>
      <c r="V2589" s="128">
        <v>-96323.31</v>
      </c>
      <c r="W2589" s="128">
        <v>0</v>
      </c>
      <c r="X2589" s="128">
        <v>0</v>
      </c>
      <c r="Y2589" s="128">
        <v>0</v>
      </c>
      <c r="Z2589" s="128">
        <v>-96323.31</v>
      </c>
      <c r="AA2589" s="128">
        <v>0</v>
      </c>
      <c r="AB2589" s="126">
        <f t="shared" si="265"/>
        <v>9.6323309999999992E-3</v>
      </c>
      <c r="AC2589" s="122" t="s">
        <v>1838</v>
      </c>
      <c r="AD2589" s="123">
        <f t="shared" si="266"/>
        <v>0.26593442499999997</v>
      </c>
    </row>
    <row r="2590" spans="1:30" ht="12.75" hidden="1" customHeight="1">
      <c r="A2590" s="125" t="str">
        <f t="shared" si="262"/>
        <v>LIC37Management Fees-DDP</v>
      </c>
      <c r="B2590" s="125">
        <f>+IFERROR(VLOOKUP(L2590,'TB mapping'!A:D,4,0),0)</f>
        <v>6.1</v>
      </c>
      <c r="C2590" s="125">
        <f>+IFERROR(VLOOKUP(L2590,'TB mapping'!A:C,3,0),0)</f>
        <v>6.3</v>
      </c>
      <c r="D2590" s="125" t="str">
        <f t="shared" si="263"/>
        <v>LIC376.1</v>
      </c>
      <c r="E2590" s="125" t="str">
        <f t="shared" si="264"/>
        <v>LIC376.3</v>
      </c>
      <c r="F2590" s="158" t="str">
        <f>+VLOOKUP(H2590,'code mapping'!A:C,3,0)</f>
        <v>LIC37</v>
      </c>
      <c r="G2590" s="127" t="s">
        <v>453</v>
      </c>
      <c r="H2590" s="127" t="s">
        <v>769</v>
      </c>
      <c r="I2590" s="127" t="s">
        <v>770</v>
      </c>
      <c r="J2590" s="128">
        <v>555100</v>
      </c>
      <c r="K2590" s="127" t="s">
        <v>579</v>
      </c>
      <c r="L2590" s="151">
        <v>555330</v>
      </c>
      <c r="M2590" s="128">
        <v>0</v>
      </c>
      <c r="N2590" s="127" t="s">
        <v>585</v>
      </c>
      <c r="O2590" s="127" t="s">
        <v>457</v>
      </c>
      <c r="P2590" s="128">
        <v>-3950.52</v>
      </c>
      <c r="Q2590" s="128">
        <v>0</v>
      </c>
      <c r="R2590" s="128">
        <v>0</v>
      </c>
      <c r="S2590" s="128">
        <v>0</v>
      </c>
      <c r="T2590" s="128">
        <v>-3950.52</v>
      </c>
      <c r="U2590" s="128">
        <v>0</v>
      </c>
      <c r="V2590" s="128">
        <v>-3950.52</v>
      </c>
      <c r="W2590" s="128">
        <v>0</v>
      </c>
      <c r="X2590" s="128">
        <v>0</v>
      </c>
      <c r="Y2590" s="128">
        <v>0</v>
      </c>
      <c r="Z2590" s="128">
        <v>-3950.52</v>
      </c>
      <c r="AA2590" s="128">
        <v>0</v>
      </c>
      <c r="AB2590" s="126">
        <f t="shared" si="265"/>
        <v>3.9505200000000001E-4</v>
      </c>
      <c r="AC2590" s="122" t="s">
        <v>1838</v>
      </c>
      <c r="AD2590" s="123">
        <f t="shared" si="266"/>
        <v>0.26593442499999997</v>
      </c>
    </row>
    <row r="2591" spans="1:30" ht="12.75" hidden="1" customHeight="1">
      <c r="A2591" s="125" t="str">
        <f t="shared" si="262"/>
        <v>LIC170Investment - Equities</v>
      </c>
      <c r="B2591" s="125">
        <f>+IFERROR(VLOOKUP(L2591,'TB mapping'!A:D,4,0),0)</f>
        <v>0</v>
      </c>
      <c r="C2591" s="125">
        <f>+IFERROR(VLOOKUP(L2591,'TB mapping'!A:C,3,0),0)</f>
        <v>0</v>
      </c>
      <c r="D2591" s="125" t="str">
        <f t="shared" si="263"/>
        <v>LIC1700</v>
      </c>
      <c r="E2591" s="125" t="str">
        <f t="shared" si="264"/>
        <v>LIC1700</v>
      </c>
      <c r="F2591" s="158" t="str">
        <f>+VLOOKUP(H2591,'code mapping'!A:C,3,0)</f>
        <v>LIC170</v>
      </c>
      <c r="G2591" s="127" t="s">
        <v>453</v>
      </c>
      <c r="H2591" s="127" t="s">
        <v>773</v>
      </c>
      <c r="I2591" s="127" t="s">
        <v>774</v>
      </c>
      <c r="J2591" s="128">
        <v>101000</v>
      </c>
      <c r="K2591" s="127" t="s">
        <v>591</v>
      </c>
      <c r="L2591" s="151">
        <v>101100</v>
      </c>
      <c r="M2591" s="128">
        <v>0</v>
      </c>
      <c r="N2591" s="127" t="s">
        <v>592</v>
      </c>
      <c r="O2591" s="127" t="s">
        <v>457</v>
      </c>
      <c r="P2591" s="128">
        <v>-2274631734.3699999</v>
      </c>
      <c r="Q2591" s="128">
        <v>0</v>
      </c>
      <c r="R2591" s="128">
        <v>0</v>
      </c>
      <c r="S2591" s="128">
        <v>0</v>
      </c>
      <c r="T2591" s="128">
        <v>-2274631734.3699999</v>
      </c>
      <c r="U2591" s="128">
        <v>0</v>
      </c>
      <c r="V2591" s="128">
        <v>-2274631734.3699999</v>
      </c>
      <c r="W2591" s="128">
        <v>0</v>
      </c>
      <c r="X2591" s="128">
        <v>0</v>
      </c>
      <c r="Y2591" s="128">
        <v>0</v>
      </c>
      <c r="Z2591" s="128">
        <v>-2274631734.3699999</v>
      </c>
      <c r="AA2591" s="128">
        <v>0</v>
      </c>
      <c r="AB2591" s="126">
        <f t="shared" si="265"/>
        <v>227.46317343699999</v>
      </c>
      <c r="AC2591" s="122" t="s">
        <v>1838</v>
      </c>
      <c r="AD2591" s="123">
        <f t="shared" ref="AD2591:AD2635" si="267">SUMIF(C:C,C2591,AB:AB)</f>
        <v>1983.9723217250009</v>
      </c>
    </row>
    <row r="2592" spans="1:30" ht="12.75" hidden="1" customHeight="1">
      <c r="A2592" s="125" t="str">
        <f t="shared" si="262"/>
        <v>LIC170Investment Mutual Fund</v>
      </c>
      <c r="B2592" s="125">
        <f>+IFERROR(VLOOKUP(L2592,'TB mapping'!A:D,4,0),0)</f>
        <v>0</v>
      </c>
      <c r="C2592" s="125">
        <f>+IFERROR(VLOOKUP(L2592,'TB mapping'!A:C,3,0),0)</f>
        <v>0</v>
      </c>
      <c r="D2592" s="125" t="str">
        <f t="shared" si="263"/>
        <v>LIC1700</v>
      </c>
      <c r="E2592" s="125" t="str">
        <f t="shared" si="264"/>
        <v>LIC1700</v>
      </c>
      <c r="F2592" s="158" t="str">
        <f>+VLOOKUP(H2592,'code mapping'!A:C,3,0)</f>
        <v>LIC170</v>
      </c>
      <c r="G2592" s="127" t="s">
        <v>453</v>
      </c>
      <c r="H2592" s="127" t="s">
        <v>773</v>
      </c>
      <c r="I2592" s="127" t="s">
        <v>774</v>
      </c>
      <c r="J2592" s="128">
        <v>105000</v>
      </c>
      <c r="K2592" s="127" t="s">
        <v>460</v>
      </c>
      <c r="L2592" s="151">
        <v>105100</v>
      </c>
      <c r="M2592" s="128">
        <v>0</v>
      </c>
      <c r="N2592" s="127" t="s">
        <v>461</v>
      </c>
      <c r="O2592" s="127" t="s">
        <v>457</v>
      </c>
      <c r="P2592" s="128">
        <v>0</v>
      </c>
      <c r="Q2592" s="128">
        <v>0.14000000000000001</v>
      </c>
      <c r="R2592" s="128">
        <v>0</v>
      </c>
      <c r="S2592" s="128">
        <v>0</v>
      </c>
      <c r="T2592" s="128">
        <v>0</v>
      </c>
      <c r="U2592" s="128">
        <v>0.14000000000000001</v>
      </c>
      <c r="V2592" s="128">
        <v>0</v>
      </c>
      <c r="W2592" s="128">
        <v>0.14000000000000001</v>
      </c>
      <c r="X2592" s="128">
        <v>0</v>
      </c>
      <c r="Y2592" s="128">
        <v>0</v>
      </c>
      <c r="Z2592" s="128">
        <v>0</v>
      </c>
      <c r="AA2592" s="128">
        <v>0.14000000000000001</v>
      </c>
      <c r="AB2592" s="126">
        <f t="shared" si="265"/>
        <v>-1.4000000000000001E-8</v>
      </c>
      <c r="AC2592" s="122" t="s">
        <v>1838</v>
      </c>
      <c r="AD2592" s="123">
        <f t="shared" si="267"/>
        <v>1983.9723217250009</v>
      </c>
    </row>
    <row r="2593" spans="1:30" ht="12.75" hidden="1" customHeight="1">
      <c r="A2593" s="125" t="str">
        <f t="shared" si="262"/>
        <v>LIC170Investment - CBLO</v>
      </c>
      <c r="B2593" s="125">
        <f>+IFERROR(VLOOKUP(L2593,'TB mapping'!A:D,4,0),0)</f>
        <v>0</v>
      </c>
      <c r="C2593" s="125">
        <f>+IFERROR(VLOOKUP(L2593,'TB mapping'!A:C,3,0),0)</f>
        <v>0</v>
      </c>
      <c r="D2593" s="125" t="str">
        <f t="shared" si="263"/>
        <v>LIC1700</v>
      </c>
      <c r="E2593" s="125" t="str">
        <f t="shared" si="264"/>
        <v>LIC1700</v>
      </c>
      <c r="F2593" s="158" t="str">
        <f>+VLOOKUP(H2593,'code mapping'!A:C,3,0)</f>
        <v>LIC170</v>
      </c>
      <c r="G2593" s="127" t="s">
        <v>453</v>
      </c>
      <c r="H2593" s="127" t="s">
        <v>773</v>
      </c>
      <c r="I2593" s="127" t="s">
        <v>774</v>
      </c>
      <c r="J2593" s="128">
        <v>110000</v>
      </c>
      <c r="K2593" s="127" t="s">
        <v>462</v>
      </c>
      <c r="L2593" s="151">
        <v>110100</v>
      </c>
      <c r="M2593" s="128">
        <v>0</v>
      </c>
      <c r="N2593" s="127" t="s">
        <v>463</v>
      </c>
      <c r="O2593" s="127" t="s">
        <v>457</v>
      </c>
      <c r="P2593" s="128">
        <v>-332311931.42000002</v>
      </c>
      <c r="Q2593" s="128">
        <v>0</v>
      </c>
      <c r="R2593" s="128">
        <v>0</v>
      </c>
      <c r="S2593" s="128">
        <v>0</v>
      </c>
      <c r="T2593" s="128">
        <v>-332311931.42000002</v>
      </c>
      <c r="U2593" s="128">
        <v>0</v>
      </c>
      <c r="V2593" s="128">
        <v>-332311931.42000002</v>
      </c>
      <c r="W2593" s="128">
        <v>0</v>
      </c>
      <c r="X2593" s="128">
        <v>0</v>
      </c>
      <c r="Y2593" s="128">
        <v>0</v>
      </c>
      <c r="Z2593" s="128">
        <v>-332311931.42000002</v>
      </c>
      <c r="AA2593" s="128">
        <v>0</v>
      </c>
      <c r="AB2593" s="126">
        <f t="shared" si="265"/>
        <v>33.231193142000002</v>
      </c>
      <c r="AC2593" s="122" t="s">
        <v>1838</v>
      </c>
      <c r="AD2593" s="123">
        <f t="shared" si="267"/>
        <v>1983.9723217250009</v>
      </c>
    </row>
    <row r="2594" spans="1:30" ht="12.75" hidden="1" customHeight="1">
      <c r="A2594" s="125" t="str">
        <f t="shared" si="262"/>
        <v>LIC170Margin Deposit For CCIL</v>
      </c>
      <c r="B2594" s="125">
        <f>+IFERROR(VLOOKUP(L2594,'TB mapping'!A:D,4,0),0)</f>
        <v>0</v>
      </c>
      <c r="C2594" s="125">
        <f>+IFERROR(VLOOKUP(L2594,'TB mapping'!A:C,3,0),0)</f>
        <v>0</v>
      </c>
      <c r="D2594" s="125" t="str">
        <f t="shared" si="263"/>
        <v>LIC1700</v>
      </c>
      <c r="E2594" s="125" t="str">
        <f t="shared" si="264"/>
        <v>LIC1700</v>
      </c>
      <c r="F2594" s="158" t="str">
        <f>+VLOOKUP(H2594,'code mapping'!A:C,3,0)</f>
        <v>LIC170</v>
      </c>
      <c r="G2594" s="127" t="s">
        <v>453</v>
      </c>
      <c r="H2594" s="127" t="s">
        <v>773</v>
      </c>
      <c r="I2594" s="127" t="s">
        <v>774</v>
      </c>
      <c r="J2594" s="128">
        <v>110000</v>
      </c>
      <c r="K2594" s="127" t="s">
        <v>462</v>
      </c>
      <c r="L2594" s="151">
        <v>110116</v>
      </c>
      <c r="M2594" s="128">
        <v>0</v>
      </c>
      <c r="N2594" s="127" t="s">
        <v>465</v>
      </c>
      <c r="O2594" s="127" t="s">
        <v>457</v>
      </c>
      <c r="P2594" s="128">
        <v>-129120.8</v>
      </c>
      <c r="Q2594" s="128">
        <v>0</v>
      </c>
      <c r="R2594" s="128">
        <v>0</v>
      </c>
      <c r="S2594" s="128">
        <v>0</v>
      </c>
      <c r="T2594" s="128">
        <v>-129120.8</v>
      </c>
      <c r="U2594" s="128">
        <v>0</v>
      </c>
      <c r="V2594" s="128">
        <v>-129120.8</v>
      </c>
      <c r="W2594" s="128">
        <v>0</v>
      </c>
      <c r="X2594" s="128">
        <v>0</v>
      </c>
      <c r="Y2594" s="128">
        <v>0</v>
      </c>
      <c r="Z2594" s="128">
        <v>-129120.8</v>
      </c>
      <c r="AA2594" s="128">
        <v>0</v>
      </c>
      <c r="AB2594" s="126">
        <f t="shared" si="265"/>
        <v>1.2912080000000001E-2</v>
      </c>
      <c r="AC2594" s="122" t="s">
        <v>1838</v>
      </c>
      <c r="AD2594" s="123">
        <f t="shared" si="267"/>
        <v>1983.9723217250009</v>
      </c>
    </row>
    <row r="2595" spans="1:30" ht="12.75" hidden="1" customHeight="1">
      <c r="A2595" s="125" t="str">
        <f t="shared" si="262"/>
        <v>LIC170Sub. Rec. Control Account</v>
      </c>
      <c r="B2595" s="125">
        <f>+IFERROR(VLOOKUP(L2595,'TB mapping'!A:D,4,0),0)</f>
        <v>0</v>
      </c>
      <c r="C2595" s="125">
        <f>+IFERROR(VLOOKUP(L2595,'TB mapping'!A:C,3,0),0)</f>
        <v>0</v>
      </c>
      <c r="D2595" s="125" t="str">
        <f t="shared" si="263"/>
        <v>LIC1700</v>
      </c>
      <c r="E2595" s="125" t="str">
        <f t="shared" si="264"/>
        <v>LIC1700</v>
      </c>
      <c r="F2595" s="158" t="str">
        <f>+VLOOKUP(H2595,'code mapping'!A:C,3,0)</f>
        <v>LIC170</v>
      </c>
      <c r="G2595" s="127" t="s">
        <v>453</v>
      </c>
      <c r="H2595" s="127" t="s">
        <v>773</v>
      </c>
      <c r="I2595" s="127" t="s">
        <v>774</v>
      </c>
      <c r="J2595" s="128">
        <v>132000</v>
      </c>
      <c r="K2595" s="127" t="s">
        <v>466</v>
      </c>
      <c r="L2595" s="151">
        <v>132121</v>
      </c>
      <c r="M2595" s="128">
        <v>0</v>
      </c>
      <c r="N2595" s="127" t="s">
        <v>467</v>
      </c>
      <c r="O2595" s="127" t="s">
        <v>457</v>
      </c>
      <c r="P2595" s="128">
        <v>-12961129.800000001</v>
      </c>
      <c r="Q2595" s="128">
        <v>0</v>
      </c>
      <c r="R2595" s="128">
        <v>0</v>
      </c>
      <c r="S2595" s="128">
        <v>0</v>
      </c>
      <c r="T2595" s="128">
        <v>-12961129.800000001</v>
      </c>
      <c r="U2595" s="128">
        <v>0</v>
      </c>
      <c r="V2595" s="128">
        <v>-12961129.800000001</v>
      </c>
      <c r="W2595" s="128">
        <v>0</v>
      </c>
      <c r="X2595" s="128">
        <v>0</v>
      </c>
      <c r="Y2595" s="128">
        <v>0</v>
      </c>
      <c r="Z2595" s="128">
        <v>-12961129.800000001</v>
      </c>
      <c r="AA2595" s="128">
        <v>0</v>
      </c>
      <c r="AB2595" s="126">
        <f t="shared" si="265"/>
        <v>1.29611298</v>
      </c>
      <c r="AC2595" s="122" t="s">
        <v>1838</v>
      </c>
      <c r="AD2595" s="123">
        <f t="shared" si="267"/>
        <v>1983.9723217250009</v>
      </c>
    </row>
    <row r="2596" spans="1:30" ht="12.75" hidden="1" customHeight="1">
      <c r="A2596" s="125" t="str">
        <f t="shared" si="262"/>
        <v>LIC170Switch in Receivable Ct</v>
      </c>
      <c r="B2596" s="125">
        <f>+IFERROR(VLOOKUP(L2596,'TB mapping'!A:D,4,0),0)</f>
        <v>0</v>
      </c>
      <c r="C2596" s="125">
        <f>+IFERROR(VLOOKUP(L2596,'TB mapping'!A:C,3,0),0)</f>
        <v>0</v>
      </c>
      <c r="D2596" s="125" t="str">
        <f t="shared" si="263"/>
        <v>LIC1700</v>
      </c>
      <c r="E2596" s="125" t="str">
        <f t="shared" si="264"/>
        <v>LIC1700</v>
      </c>
      <c r="F2596" s="158" t="str">
        <f>+VLOOKUP(H2596,'code mapping'!A:C,3,0)</f>
        <v>LIC170</v>
      </c>
      <c r="G2596" s="127" t="s">
        <v>453</v>
      </c>
      <c r="H2596" s="127" t="s">
        <v>773</v>
      </c>
      <c r="I2596" s="127" t="s">
        <v>774</v>
      </c>
      <c r="J2596" s="128">
        <v>132000</v>
      </c>
      <c r="K2596" s="127" t="s">
        <v>466</v>
      </c>
      <c r="L2596" s="151">
        <v>132124</v>
      </c>
      <c r="M2596" s="128">
        <v>0</v>
      </c>
      <c r="N2596" s="127" t="s">
        <v>468</v>
      </c>
      <c r="O2596" s="127" t="s">
        <v>457</v>
      </c>
      <c r="P2596" s="128">
        <v>-3454954.48</v>
      </c>
      <c r="Q2596" s="128">
        <v>0</v>
      </c>
      <c r="R2596" s="128">
        <v>0</v>
      </c>
      <c r="S2596" s="128">
        <v>0</v>
      </c>
      <c r="T2596" s="128">
        <v>-3454954.48</v>
      </c>
      <c r="U2596" s="128">
        <v>0</v>
      </c>
      <c r="V2596" s="128">
        <v>-3454954.48</v>
      </c>
      <c r="W2596" s="128">
        <v>0</v>
      </c>
      <c r="X2596" s="128">
        <v>0</v>
      </c>
      <c r="Y2596" s="128">
        <v>0</v>
      </c>
      <c r="Z2596" s="128">
        <v>-3454954.48</v>
      </c>
      <c r="AA2596" s="128">
        <v>0</v>
      </c>
      <c r="AB2596" s="126">
        <f t="shared" si="265"/>
        <v>0.34549544799999998</v>
      </c>
      <c r="AC2596" s="122" t="s">
        <v>1838</v>
      </c>
      <c r="AD2596" s="123">
        <f t="shared" si="267"/>
        <v>1983.9723217250009</v>
      </c>
    </row>
    <row r="2597" spans="1:30" ht="12.75" hidden="1" customHeight="1">
      <c r="A2597" s="125" t="str">
        <f t="shared" si="262"/>
        <v>LIC170Receivable from AMC</v>
      </c>
      <c r="B2597" s="125">
        <f>+IFERROR(VLOOKUP(L2597,'TB mapping'!A:D,4,0),0)</f>
        <v>0</v>
      </c>
      <c r="C2597" s="125">
        <f>+IFERROR(VLOOKUP(L2597,'TB mapping'!A:C,3,0),0)</f>
        <v>0</v>
      </c>
      <c r="D2597" s="125" t="str">
        <f t="shared" si="263"/>
        <v>LIC1700</v>
      </c>
      <c r="E2597" s="125" t="str">
        <f t="shared" si="264"/>
        <v>LIC1700</v>
      </c>
      <c r="F2597" s="158" t="str">
        <f>+VLOOKUP(H2597,'code mapping'!A:C,3,0)</f>
        <v>LIC170</v>
      </c>
      <c r="G2597" s="127" t="s">
        <v>453</v>
      </c>
      <c r="H2597" s="127" t="s">
        <v>773</v>
      </c>
      <c r="I2597" s="127" t="s">
        <v>774</v>
      </c>
      <c r="J2597" s="128">
        <v>132000</v>
      </c>
      <c r="K2597" s="127" t="s">
        <v>466</v>
      </c>
      <c r="L2597" s="151">
        <v>152400</v>
      </c>
      <c r="M2597" s="128">
        <v>0</v>
      </c>
      <c r="N2597" s="127" t="s">
        <v>471</v>
      </c>
      <c r="O2597" s="127" t="s">
        <v>457</v>
      </c>
      <c r="P2597" s="128">
        <v>-1.52</v>
      </c>
      <c r="Q2597" s="128">
        <v>0</v>
      </c>
      <c r="R2597" s="128">
        <v>0</v>
      </c>
      <c r="S2597" s="128">
        <v>0</v>
      </c>
      <c r="T2597" s="128">
        <v>-1.52</v>
      </c>
      <c r="U2597" s="128">
        <v>0</v>
      </c>
      <c r="V2597" s="128">
        <v>-1.52</v>
      </c>
      <c r="W2597" s="128">
        <v>0</v>
      </c>
      <c r="X2597" s="128">
        <v>0</v>
      </c>
      <c r="Y2597" s="128">
        <v>0</v>
      </c>
      <c r="Z2597" s="128">
        <v>-1.52</v>
      </c>
      <c r="AA2597" s="128">
        <v>0</v>
      </c>
      <c r="AB2597" s="126">
        <f t="shared" si="265"/>
        <v>1.5200000000000001E-7</v>
      </c>
      <c r="AC2597" s="122" t="s">
        <v>1838</v>
      </c>
      <c r="AD2597" s="123">
        <f t="shared" si="267"/>
        <v>1983.9723217250009</v>
      </c>
    </row>
    <row r="2598" spans="1:30" ht="12.75" hidden="1" customHeight="1">
      <c r="A2598" s="125" t="str">
        <f t="shared" si="262"/>
        <v>LIC170CCIL Settlement A/C</v>
      </c>
      <c r="B2598" s="125">
        <f>+IFERROR(VLOOKUP(L2598,'TB mapping'!A:D,4,0),0)</f>
        <v>0</v>
      </c>
      <c r="C2598" s="125">
        <f>+IFERROR(VLOOKUP(L2598,'TB mapping'!A:C,3,0),0)</f>
        <v>0</v>
      </c>
      <c r="D2598" s="125" t="str">
        <f t="shared" si="263"/>
        <v>LIC1700</v>
      </c>
      <c r="E2598" s="125" t="str">
        <f t="shared" si="264"/>
        <v>LIC1700</v>
      </c>
      <c r="F2598" s="158" t="str">
        <f>+VLOOKUP(H2598,'code mapping'!A:C,3,0)</f>
        <v>LIC170</v>
      </c>
      <c r="G2598" s="127" t="s">
        <v>453</v>
      </c>
      <c r="H2598" s="127" t="s">
        <v>773</v>
      </c>
      <c r="I2598" s="127" t="s">
        <v>774</v>
      </c>
      <c r="J2598" s="128">
        <v>140000</v>
      </c>
      <c r="K2598" s="127" t="s">
        <v>472</v>
      </c>
      <c r="L2598" s="151">
        <v>132237</v>
      </c>
      <c r="M2598" s="128">
        <v>0</v>
      </c>
      <c r="N2598" s="127" t="s">
        <v>473</v>
      </c>
      <c r="O2598" s="127" t="s">
        <v>457</v>
      </c>
      <c r="P2598" s="128">
        <v>-0.06</v>
      </c>
      <c r="Q2598" s="128">
        <v>0</v>
      </c>
      <c r="R2598" s="128">
        <v>0</v>
      </c>
      <c r="S2598" s="128">
        <v>0</v>
      </c>
      <c r="T2598" s="128">
        <v>-0.06</v>
      </c>
      <c r="U2598" s="128">
        <v>0</v>
      </c>
      <c r="V2598" s="128">
        <v>-0.06</v>
      </c>
      <c r="W2598" s="128">
        <v>0</v>
      </c>
      <c r="X2598" s="128">
        <v>0</v>
      </c>
      <c r="Y2598" s="128">
        <v>0</v>
      </c>
      <c r="Z2598" s="128">
        <v>-0.06</v>
      </c>
      <c r="AA2598" s="128">
        <v>0</v>
      </c>
      <c r="AB2598" s="126">
        <f t="shared" si="265"/>
        <v>6E-9</v>
      </c>
      <c r="AC2598" s="122" t="s">
        <v>1838</v>
      </c>
      <c r="AD2598" s="123">
        <f t="shared" si="267"/>
        <v>1983.9723217250009</v>
      </c>
    </row>
    <row r="2599" spans="1:30" ht="12.75" hidden="1" customHeight="1">
      <c r="A2599" s="125" t="str">
        <f t="shared" si="262"/>
        <v>LIC170HDFC Current Account</v>
      </c>
      <c r="B2599" s="125">
        <f>+IFERROR(VLOOKUP(L2599,'TB mapping'!A:D,4,0),0)</f>
        <v>0</v>
      </c>
      <c r="C2599" s="125">
        <f>+IFERROR(VLOOKUP(L2599,'TB mapping'!A:C,3,0),0)</f>
        <v>0</v>
      </c>
      <c r="D2599" s="125" t="str">
        <f t="shared" si="263"/>
        <v>LIC1700</v>
      </c>
      <c r="E2599" s="125" t="str">
        <f t="shared" si="264"/>
        <v>LIC1700</v>
      </c>
      <c r="F2599" s="158" t="str">
        <f>+VLOOKUP(H2599,'code mapping'!A:C,3,0)</f>
        <v>LIC170</v>
      </c>
      <c r="G2599" s="127" t="s">
        <v>453</v>
      </c>
      <c r="H2599" s="127" t="s">
        <v>773</v>
      </c>
      <c r="I2599" s="127" t="s">
        <v>774</v>
      </c>
      <c r="J2599" s="128">
        <v>140000</v>
      </c>
      <c r="K2599" s="127" t="s">
        <v>472</v>
      </c>
      <c r="L2599" s="151">
        <v>140330</v>
      </c>
      <c r="M2599" s="128">
        <v>0</v>
      </c>
      <c r="N2599" s="127" t="s">
        <v>475</v>
      </c>
      <c r="O2599" s="127" t="s">
        <v>457</v>
      </c>
      <c r="P2599" s="128">
        <v>-0.05</v>
      </c>
      <c r="Q2599" s="128">
        <v>0</v>
      </c>
      <c r="R2599" s="128">
        <v>0</v>
      </c>
      <c r="S2599" s="128">
        <v>0</v>
      </c>
      <c r="T2599" s="128">
        <v>-0.05</v>
      </c>
      <c r="U2599" s="128">
        <v>0</v>
      </c>
      <c r="V2599" s="128">
        <v>-0.05</v>
      </c>
      <c r="W2599" s="128">
        <v>0</v>
      </c>
      <c r="X2599" s="128">
        <v>0</v>
      </c>
      <c r="Y2599" s="128">
        <v>0</v>
      </c>
      <c r="Z2599" s="128">
        <v>-0.05</v>
      </c>
      <c r="AA2599" s="128">
        <v>0</v>
      </c>
      <c r="AB2599" s="126">
        <f t="shared" si="265"/>
        <v>5.0000000000000001E-9</v>
      </c>
      <c r="AC2599" s="122" t="s">
        <v>1838</v>
      </c>
      <c r="AD2599" s="123">
        <f t="shared" si="267"/>
        <v>1983.9723217250009</v>
      </c>
    </row>
    <row r="2600" spans="1:30" ht="12.75" hidden="1" customHeight="1">
      <c r="A2600" s="125" t="str">
        <f t="shared" si="262"/>
        <v>LIC170HDFC Bank Ltd</v>
      </c>
      <c r="B2600" s="125">
        <f>+IFERROR(VLOOKUP(L2600,'TB mapping'!A:D,4,0),0)</f>
        <v>0</v>
      </c>
      <c r="C2600" s="125">
        <f>+IFERROR(VLOOKUP(L2600,'TB mapping'!A:C,3,0),0)</f>
        <v>0</v>
      </c>
      <c r="D2600" s="125" t="str">
        <f t="shared" si="263"/>
        <v>LIC1700</v>
      </c>
      <c r="E2600" s="125" t="str">
        <f t="shared" si="264"/>
        <v>LIC1700</v>
      </c>
      <c r="F2600" s="158" t="str">
        <f>+VLOOKUP(H2600,'code mapping'!A:C,3,0)</f>
        <v>LIC170</v>
      </c>
      <c r="G2600" s="127" t="s">
        <v>453</v>
      </c>
      <c r="H2600" s="127" t="s">
        <v>773</v>
      </c>
      <c r="I2600" s="127" t="s">
        <v>774</v>
      </c>
      <c r="J2600" s="128">
        <v>140000</v>
      </c>
      <c r="K2600" s="127" t="s">
        <v>472</v>
      </c>
      <c r="L2600" s="151">
        <v>140372</v>
      </c>
      <c r="M2600" s="128">
        <v>0</v>
      </c>
      <c r="N2600" s="127" t="s">
        <v>476</v>
      </c>
      <c r="O2600" s="127" t="s">
        <v>457</v>
      </c>
      <c r="P2600" s="128">
        <v>0</v>
      </c>
      <c r="Q2600" s="128">
        <v>6.63</v>
      </c>
      <c r="R2600" s="128">
        <v>0</v>
      </c>
      <c r="S2600" s="128">
        <v>0</v>
      </c>
      <c r="T2600" s="128">
        <v>0</v>
      </c>
      <c r="U2600" s="128">
        <v>6.63</v>
      </c>
      <c r="V2600" s="128">
        <v>0</v>
      </c>
      <c r="W2600" s="128">
        <v>6.63</v>
      </c>
      <c r="X2600" s="128">
        <v>0</v>
      </c>
      <c r="Y2600" s="128">
        <v>0</v>
      </c>
      <c r="Z2600" s="128">
        <v>0</v>
      </c>
      <c r="AA2600" s="128">
        <v>6.63</v>
      </c>
      <c r="AB2600" s="126">
        <f t="shared" si="265"/>
        <v>-6.6299999999999994E-7</v>
      </c>
      <c r="AC2600" s="122" t="s">
        <v>1838</v>
      </c>
      <c r="AD2600" s="123">
        <f t="shared" si="267"/>
        <v>1983.9723217250009</v>
      </c>
    </row>
    <row r="2601" spans="1:30" ht="12.75" hidden="1" customHeight="1">
      <c r="A2601" s="125" t="str">
        <f t="shared" si="262"/>
        <v>LIC170Standard Chartered Bank- India</v>
      </c>
      <c r="B2601" s="125">
        <f>+IFERROR(VLOOKUP(L2601,'TB mapping'!A:D,4,0),0)</f>
        <v>0</v>
      </c>
      <c r="C2601" s="125">
        <f>+IFERROR(VLOOKUP(L2601,'TB mapping'!A:C,3,0),0)</f>
        <v>0</v>
      </c>
      <c r="D2601" s="125" t="str">
        <f t="shared" si="263"/>
        <v>LIC1700</v>
      </c>
      <c r="E2601" s="125" t="str">
        <f t="shared" si="264"/>
        <v>LIC1700</v>
      </c>
      <c r="F2601" s="158" t="str">
        <f>+VLOOKUP(H2601,'code mapping'!A:C,3,0)</f>
        <v>LIC170</v>
      </c>
      <c r="G2601" s="127" t="s">
        <v>453</v>
      </c>
      <c r="H2601" s="127" t="s">
        <v>773</v>
      </c>
      <c r="I2601" s="127" t="s">
        <v>774</v>
      </c>
      <c r="J2601" s="128">
        <v>140000</v>
      </c>
      <c r="K2601" s="127" t="s">
        <v>472</v>
      </c>
      <c r="L2601" s="151">
        <v>140500</v>
      </c>
      <c r="M2601" s="128">
        <v>0</v>
      </c>
      <c r="N2601" s="127" t="s">
        <v>477</v>
      </c>
      <c r="O2601" s="127" t="s">
        <v>457</v>
      </c>
      <c r="P2601" s="128">
        <v>-222994.67</v>
      </c>
      <c r="Q2601" s="128">
        <v>0</v>
      </c>
      <c r="R2601" s="128">
        <v>0</v>
      </c>
      <c r="S2601" s="128">
        <v>0</v>
      </c>
      <c r="T2601" s="128">
        <v>-222994.67</v>
      </c>
      <c r="U2601" s="128">
        <v>0</v>
      </c>
      <c r="V2601" s="128">
        <v>-222994.67</v>
      </c>
      <c r="W2601" s="128">
        <v>0</v>
      </c>
      <c r="X2601" s="128">
        <v>0</v>
      </c>
      <c r="Y2601" s="128">
        <v>0</v>
      </c>
      <c r="Z2601" s="128">
        <v>-222994.67</v>
      </c>
      <c r="AA2601" s="128">
        <v>0</v>
      </c>
      <c r="AB2601" s="126">
        <f t="shared" si="265"/>
        <v>2.2299467E-2</v>
      </c>
      <c r="AC2601" s="122" t="s">
        <v>1838</v>
      </c>
      <c r="AD2601" s="123">
        <f t="shared" si="267"/>
        <v>1983.9723217250009</v>
      </c>
    </row>
    <row r="2602" spans="1:30" ht="12.75" hidden="1" customHeight="1">
      <c r="A2602" s="125" t="str">
        <f t="shared" si="262"/>
        <v>LIC170Amort Receivable - CBLO</v>
      </c>
      <c r="B2602" s="125">
        <f>+IFERROR(VLOOKUP(L2602,'TB mapping'!A:D,4,0),0)</f>
        <v>0</v>
      </c>
      <c r="C2602" s="125">
        <f>+IFERROR(VLOOKUP(L2602,'TB mapping'!A:C,3,0),0)</f>
        <v>0</v>
      </c>
      <c r="D2602" s="125" t="str">
        <f t="shared" si="263"/>
        <v>LIC1700</v>
      </c>
      <c r="E2602" s="125" t="str">
        <f t="shared" si="264"/>
        <v>LIC1700</v>
      </c>
      <c r="F2602" s="158" t="str">
        <f>+VLOOKUP(H2602,'code mapping'!A:C,3,0)</f>
        <v>LIC170</v>
      </c>
      <c r="G2602" s="127" t="s">
        <v>453</v>
      </c>
      <c r="H2602" s="127" t="s">
        <v>773</v>
      </c>
      <c r="I2602" s="127" t="s">
        <v>774</v>
      </c>
      <c r="J2602" s="128">
        <v>152000</v>
      </c>
      <c r="K2602" s="127" t="s">
        <v>478</v>
      </c>
      <c r="L2602" s="151">
        <v>152232</v>
      </c>
      <c r="M2602" s="128">
        <v>0</v>
      </c>
      <c r="N2602" s="127" t="s">
        <v>482</v>
      </c>
      <c r="O2602" s="127" t="s">
        <v>457</v>
      </c>
      <c r="P2602" s="128">
        <v>-148666.4</v>
      </c>
      <c r="Q2602" s="128">
        <v>0</v>
      </c>
      <c r="R2602" s="128">
        <v>0</v>
      </c>
      <c r="S2602" s="128">
        <v>0</v>
      </c>
      <c r="T2602" s="128">
        <v>-148666.4</v>
      </c>
      <c r="U2602" s="128">
        <v>0</v>
      </c>
      <c r="V2602" s="128">
        <v>-148666.4</v>
      </c>
      <c r="W2602" s="128">
        <v>0</v>
      </c>
      <c r="X2602" s="128">
        <v>0</v>
      </c>
      <c r="Y2602" s="128">
        <v>0</v>
      </c>
      <c r="Z2602" s="128">
        <v>-148666.4</v>
      </c>
      <c r="AA2602" s="128">
        <v>0</v>
      </c>
      <c r="AB2602" s="126">
        <f t="shared" si="265"/>
        <v>1.4866639999999999E-2</v>
      </c>
      <c r="AC2602" s="122" t="s">
        <v>1838</v>
      </c>
      <c r="AD2602" s="123">
        <f t="shared" si="267"/>
        <v>1983.9723217250009</v>
      </c>
    </row>
    <row r="2603" spans="1:30" ht="12.75" hidden="1" customHeight="1">
      <c r="A2603" s="125" t="str">
        <f t="shared" si="262"/>
        <v>LIC170Prov Unr P/L - Equities</v>
      </c>
      <c r="B2603" s="125">
        <f>+IFERROR(VLOOKUP(L2603,'TB mapping'!A:D,4,0),0)</f>
        <v>0</v>
      </c>
      <c r="C2603" s="125">
        <f>+IFERROR(VLOOKUP(L2603,'TB mapping'!A:C,3,0),0)</f>
        <v>0</v>
      </c>
      <c r="D2603" s="125" t="str">
        <f t="shared" si="263"/>
        <v>LIC1700</v>
      </c>
      <c r="E2603" s="125" t="str">
        <f t="shared" si="264"/>
        <v>LIC1700</v>
      </c>
      <c r="F2603" s="158" t="str">
        <f>+VLOOKUP(H2603,'code mapping'!A:C,3,0)</f>
        <v>LIC170</v>
      </c>
      <c r="G2603" s="127" t="s">
        <v>453</v>
      </c>
      <c r="H2603" s="127" t="s">
        <v>773</v>
      </c>
      <c r="I2603" s="127" t="s">
        <v>774</v>
      </c>
      <c r="J2603" s="128">
        <v>160000</v>
      </c>
      <c r="K2603" s="127" t="s">
        <v>483</v>
      </c>
      <c r="L2603" s="151">
        <v>161100</v>
      </c>
      <c r="M2603" s="128">
        <v>0</v>
      </c>
      <c r="N2603" s="127" t="s">
        <v>595</v>
      </c>
      <c r="O2603" s="127" t="s">
        <v>457</v>
      </c>
      <c r="P2603" s="128">
        <v>-241808773.33000001</v>
      </c>
      <c r="Q2603" s="128">
        <v>0</v>
      </c>
      <c r="R2603" s="128">
        <v>0</v>
      </c>
      <c r="S2603" s="128">
        <v>0</v>
      </c>
      <c r="T2603" s="128">
        <v>-241808773.33000001</v>
      </c>
      <c r="U2603" s="128">
        <v>0</v>
      </c>
      <c r="V2603" s="128">
        <v>-241808773.33000001</v>
      </c>
      <c r="W2603" s="128">
        <v>0</v>
      </c>
      <c r="X2603" s="128">
        <v>0</v>
      </c>
      <c r="Y2603" s="128">
        <v>0</v>
      </c>
      <c r="Z2603" s="128">
        <v>-241808773.33000001</v>
      </c>
      <c r="AA2603" s="128">
        <v>0</v>
      </c>
      <c r="AB2603" s="126">
        <f t="shared" si="265"/>
        <v>24.180877333000002</v>
      </c>
      <c r="AC2603" s="122" t="s">
        <v>1838</v>
      </c>
      <c r="AD2603" s="123">
        <f t="shared" si="267"/>
        <v>1983.9723217250009</v>
      </c>
    </row>
    <row r="2604" spans="1:30" ht="12.75" hidden="1" customHeight="1">
      <c r="A2604" s="125" t="str">
        <f t="shared" si="262"/>
        <v>LIC170Payable - Withhold Brokerage</v>
      </c>
      <c r="B2604" s="125">
        <f>+IFERROR(VLOOKUP(L2604,'TB mapping'!A:D,4,0),0)</f>
        <v>0</v>
      </c>
      <c r="C2604" s="125">
        <f>+IFERROR(VLOOKUP(L2604,'TB mapping'!A:C,3,0),0)</f>
        <v>0</v>
      </c>
      <c r="D2604" s="125" t="str">
        <f t="shared" si="263"/>
        <v>LIC1700</v>
      </c>
      <c r="E2604" s="125" t="str">
        <f t="shared" si="264"/>
        <v>LIC1700</v>
      </c>
      <c r="F2604" s="158" t="str">
        <f>+VLOOKUP(H2604,'code mapping'!A:C,3,0)</f>
        <v>LIC170</v>
      </c>
      <c r="G2604" s="127" t="s">
        <v>453</v>
      </c>
      <c r="H2604" s="127" t="s">
        <v>773</v>
      </c>
      <c r="I2604" s="127" t="s">
        <v>774</v>
      </c>
      <c r="J2604" s="128">
        <v>212000</v>
      </c>
      <c r="K2604" s="127" t="s">
        <v>487</v>
      </c>
      <c r="L2604" s="151">
        <v>210164</v>
      </c>
      <c r="M2604" s="128">
        <v>0</v>
      </c>
      <c r="N2604" s="127" t="s">
        <v>488</v>
      </c>
      <c r="O2604" s="127" t="s">
        <v>457</v>
      </c>
      <c r="P2604" s="128">
        <v>-8419.66</v>
      </c>
      <c r="Q2604" s="128">
        <v>0</v>
      </c>
      <c r="R2604" s="128">
        <v>0</v>
      </c>
      <c r="S2604" s="128">
        <v>0</v>
      </c>
      <c r="T2604" s="128">
        <v>-8419.66</v>
      </c>
      <c r="U2604" s="128">
        <v>0</v>
      </c>
      <c r="V2604" s="128">
        <v>-8419.66</v>
      </c>
      <c r="W2604" s="128">
        <v>0</v>
      </c>
      <c r="X2604" s="128">
        <v>0</v>
      </c>
      <c r="Y2604" s="128">
        <v>0</v>
      </c>
      <c r="Z2604" s="128">
        <v>-8419.66</v>
      </c>
      <c r="AA2604" s="128">
        <v>0</v>
      </c>
      <c r="AB2604" s="126">
        <f t="shared" si="265"/>
        <v>8.4196599999999998E-4</v>
      </c>
      <c r="AC2604" s="122" t="s">
        <v>1838</v>
      </c>
      <c r="AD2604" s="123">
        <f t="shared" si="267"/>
        <v>1983.9723217250009</v>
      </c>
    </row>
    <row r="2605" spans="1:30" ht="12.75" hidden="1" customHeight="1">
      <c r="A2605" s="125" t="str">
        <f t="shared" si="262"/>
        <v>LIC170Dividend Payable</v>
      </c>
      <c r="B2605" s="125">
        <f>+IFERROR(VLOOKUP(L2605,'TB mapping'!A:D,4,0),0)</f>
        <v>0</v>
      </c>
      <c r="C2605" s="125">
        <f>+IFERROR(VLOOKUP(L2605,'TB mapping'!A:C,3,0),0)</f>
        <v>0</v>
      </c>
      <c r="D2605" s="125" t="str">
        <f t="shared" si="263"/>
        <v>LIC1700</v>
      </c>
      <c r="E2605" s="125" t="str">
        <f t="shared" si="264"/>
        <v>LIC1700</v>
      </c>
      <c r="F2605" s="158" t="str">
        <f>+VLOOKUP(H2605,'code mapping'!A:C,3,0)</f>
        <v>LIC170</v>
      </c>
      <c r="G2605" s="127" t="s">
        <v>453</v>
      </c>
      <c r="H2605" s="127" t="s">
        <v>773</v>
      </c>
      <c r="I2605" s="127" t="s">
        <v>774</v>
      </c>
      <c r="J2605" s="128">
        <v>212000</v>
      </c>
      <c r="K2605" s="127" t="s">
        <v>487</v>
      </c>
      <c r="L2605" s="151">
        <v>212100</v>
      </c>
      <c r="M2605" s="128">
        <v>0</v>
      </c>
      <c r="N2605" s="127" t="s">
        <v>489</v>
      </c>
      <c r="O2605" s="127" t="s">
        <v>457</v>
      </c>
      <c r="P2605" s="128">
        <v>0</v>
      </c>
      <c r="Q2605" s="128">
        <v>3258712.76</v>
      </c>
      <c r="R2605" s="128">
        <v>0</v>
      </c>
      <c r="S2605" s="128">
        <v>0</v>
      </c>
      <c r="T2605" s="128">
        <v>0</v>
      </c>
      <c r="U2605" s="128">
        <v>3258712.76</v>
      </c>
      <c r="V2605" s="128">
        <v>0</v>
      </c>
      <c r="W2605" s="128">
        <v>3258712.76</v>
      </c>
      <c r="X2605" s="128">
        <v>0</v>
      </c>
      <c r="Y2605" s="128">
        <v>0</v>
      </c>
      <c r="Z2605" s="128">
        <v>0</v>
      </c>
      <c r="AA2605" s="128">
        <v>3258712.76</v>
      </c>
      <c r="AB2605" s="126">
        <f t="shared" si="265"/>
        <v>-0.32587127599999999</v>
      </c>
      <c r="AC2605" s="122" t="s">
        <v>1838</v>
      </c>
      <c r="AD2605" s="123">
        <f t="shared" si="267"/>
        <v>1983.9723217250009</v>
      </c>
    </row>
    <row r="2606" spans="1:30" ht="12.75" hidden="1" customHeight="1">
      <c r="A2606" s="125" t="str">
        <f t="shared" si="262"/>
        <v>LIC170CGST Payable</v>
      </c>
      <c r="B2606" s="125">
        <f>+IFERROR(VLOOKUP(L2606,'TB mapping'!A:D,4,0),0)</f>
        <v>0</v>
      </c>
      <c r="C2606" s="125">
        <f>+IFERROR(VLOOKUP(L2606,'TB mapping'!A:C,3,0),0)</f>
        <v>0</v>
      </c>
      <c r="D2606" s="125" t="str">
        <f t="shared" si="263"/>
        <v>LIC1700</v>
      </c>
      <c r="E2606" s="125" t="str">
        <f t="shared" si="264"/>
        <v>LIC1700</v>
      </c>
      <c r="F2606" s="158" t="str">
        <f>+VLOOKUP(H2606,'code mapping'!A:C,3,0)</f>
        <v>LIC170</v>
      </c>
      <c r="G2606" s="127" t="s">
        <v>453</v>
      </c>
      <c r="H2606" s="127" t="s">
        <v>773</v>
      </c>
      <c r="I2606" s="127" t="s">
        <v>774</v>
      </c>
      <c r="J2606" s="128">
        <v>212000</v>
      </c>
      <c r="K2606" s="127" t="s">
        <v>487</v>
      </c>
      <c r="L2606" s="151">
        <v>212112</v>
      </c>
      <c r="M2606" s="128">
        <v>0</v>
      </c>
      <c r="N2606" s="127" t="s">
        <v>490</v>
      </c>
      <c r="O2606" s="127" t="s">
        <v>457</v>
      </c>
      <c r="P2606" s="128">
        <v>0</v>
      </c>
      <c r="Q2606" s="128">
        <v>2391.83</v>
      </c>
      <c r="R2606" s="128">
        <v>0</v>
      </c>
      <c r="S2606" s="128">
        <v>0</v>
      </c>
      <c r="T2606" s="128">
        <v>0</v>
      </c>
      <c r="U2606" s="128">
        <v>2391.83</v>
      </c>
      <c r="V2606" s="128">
        <v>0</v>
      </c>
      <c r="W2606" s="128">
        <v>2391.83</v>
      </c>
      <c r="X2606" s="128">
        <v>0</v>
      </c>
      <c r="Y2606" s="128">
        <v>0</v>
      </c>
      <c r="Z2606" s="128">
        <v>0</v>
      </c>
      <c r="AA2606" s="128">
        <v>2391.83</v>
      </c>
      <c r="AB2606" s="126">
        <f t="shared" si="265"/>
        <v>-2.3918299999999999E-4</v>
      </c>
      <c r="AC2606" s="122" t="s">
        <v>1838</v>
      </c>
      <c r="AD2606" s="123">
        <f t="shared" si="267"/>
        <v>1983.9723217250009</v>
      </c>
    </row>
    <row r="2607" spans="1:30" ht="12.75" hidden="1" customHeight="1">
      <c r="A2607" s="125" t="str">
        <f t="shared" si="262"/>
        <v>LIC170SGST Payable</v>
      </c>
      <c r="B2607" s="125">
        <f>+IFERROR(VLOOKUP(L2607,'TB mapping'!A:D,4,0),0)</f>
        <v>0</v>
      </c>
      <c r="C2607" s="125">
        <f>+IFERROR(VLOOKUP(L2607,'TB mapping'!A:C,3,0),0)</f>
        <v>0</v>
      </c>
      <c r="D2607" s="125" t="str">
        <f t="shared" si="263"/>
        <v>LIC1700</v>
      </c>
      <c r="E2607" s="125" t="str">
        <f t="shared" si="264"/>
        <v>LIC1700</v>
      </c>
      <c r="F2607" s="158" t="str">
        <f>+VLOOKUP(H2607,'code mapping'!A:C,3,0)</f>
        <v>LIC170</v>
      </c>
      <c r="G2607" s="127" t="s">
        <v>453</v>
      </c>
      <c r="H2607" s="127" t="s">
        <v>773</v>
      </c>
      <c r="I2607" s="127" t="s">
        <v>774</v>
      </c>
      <c r="J2607" s="128">
        <v>212000</v>
      </c>
      <c r="K2607" s="127" t="s">
        <v>487</v>
      </c>
      <c r="L2607" s="151">
        <v>212113</v>
      </c>
      <c r="M2607" s="128">
        <v>0</v>
      </c>
      <c r="N2607" s="127" t="s">
        <v>491</v>
      </c>
      <c r="O2607" s="127" t="s">
        <v>457</v>
      </c>
      <c r="P2607" s="128">
        <v>0</v>
      </c>
      <c r="Q2607" s="128">
        <v>2391.46</v>
      </c>
      <c r="R2607" s="128">
        <v>0</v>
      </c>
      <c r="S2607" s="128">
        <v>0</v>
      </c>
      <c r="T2607" s="128">
        <v>0</v>
      </c>
      <c r="U2607" s="128">
        <v>2391.46</v>
      </c>
      <c r="V2607" s="128">
        <v>0</v>
      </c>
      <c r="W2607" s="128">
        <v>2391.46</v>
      </c>
      <c r="X2607" s="128">
        <v>0</v>
      </c>
      <c r="Y2607" s="128">
        <v>0</v>
      </c>
      <c r="Z2607" s="128">
        <v>0</v>
      </c>
      <c r="AA2607" s="128">
        <v>2391.46</v>
      </c>
      <c r="AB2607" s="126">
        <f t="shared" si="265"/>
        <v>-2.39146E-4</v>
      </c>
      <c r="AC2607" s="122" t="s">
        <v>1838</v>
      </c>
      <c r="AD2607" s="123">
        <f t="shared" si="267"/>
        <v>1983.9723217250009</v>
      </c>
    </row>
    <row r="2608" spans="1:30" ht="12.75" hidden="1" customHeight="1">
      <c r="A2608" s="125" t="str">
        <f t="shared" si="262"/>
        <v>LIC170IGST Payable</v>
      </c>
      <c r="B2608" s="125">
        <f>+IFERROR(VLOOKUP(L2608,'TB mapping'!A:D,4,0),0)</f>
        <v>0</v>
      </c>
      <c r="C2608" s="125">
        <f>+IFERROR(VLOOKUP(L2608,'TB mapping'!A:C,3,0),0)</f>
        <v>0</v>
      </c>
      <c r="D2608" s="125" t="str">
        <f t="shared" si="263"/>
        <v>LIC1700</v>
      </c>
      <c r="E2608" s="125" t="str">
        <f t="shared" si="264"/>
        <v>LIC1700</v>
      </c>
      <c r="F2608" s="158" t="str">
        <f>+VLOOKUP(H2608,'code mapping'!A:C,3,0)</f>
        <v>LIC170</v>
      </c>
      <c r="G2608" s="127" t="s">
        <v>453</v>
      </c>
      <c r="H2608" s="127" t="s">
        <v>773</v>
      </c>
      <c r="I2608" s="127" t="s">
        <v>774</v>
      </c>
      <c r="J2608" s="128">
        <v>212000</v>
      </c>
      <c r="K2608" s="127" t="s">
        <v>487</v>
      </c>
      <c r="L2608" s="151">
        <v>212114</v>
      </c>
      <c r="M2608" s="128">
        <v>0</v>
      </c>
      <c r="N2608" s="127" t="s">
        <v>492</v>
      </c>
      <c r="O2608" s="127" t="s">
        <v>457</v>
      </c>
      <c r="P2608" s="128">
        <v>0</v>
      </c>
      <c r="Q2608" s="128">
        <v>25314.560000000001</v>
      </c>
      <c r="R2608" s="128">
        <v>0</v>
      </c>
      <c r="S2608" s="128">
        <v>0</v>
      </c>
      <c r="T2608" s="128">
        <v>0</v>
      </c>
      <c r="U2608" s="128">
        <v>25314.560000000001</v>
      </c>
      <c r="V2608" s="128">
        <v>0</v>
      </c>
      <c r="W2608" s="128">
        <v>25314.560000000001</v>
      </c>
      <c r="X2608" s="128">
        <v>0</v>
      </c>
      <c r="Y2608" s="128">
        <v>0</v>
      </c>
      <c r="Z2608" s="128">
        <v>0</v>
      </c>
      <c r="AA2608" s="128">
        <v>25314.560000000001</v>
      </c>
      <c r="AB2608" s="126">
        <f t="shared" si="265"/>
        <v>-2.5314560000000001E-3</v>
      </c>
      <c r="AC2608" s="122" t="s">
        <v>1838</v>
      </c>
      <c r="AD2608" s="123">
        <f t="shared" si="267"/>
        <v>1983.9723217250009</v>
      </c>
    </row>
    <row r="2609" spans="1:30" ht="12.75" hidden="1" customHeight="1">
      <c r="A2609" s="125" t="str">
        <f t="shared" si="262"/>
        <v>LIC170Redemption Payable Ct</v>
      </c>
      <c r="B2609" s="125">
        <f>+IFERROR(VLOOKUP(L2609,'TB mapping'!A:D,4,0),0)</f>
        <v>0</v>
      </c>
      <c r="C2609" s="125">
        <f>+IFERROR(VLOOKUP(L2609,'TB mapping'!A:C,3,0),0)</f>
        <v>0</v>
      </c>
      <c r="D2609" s="125" t="str">
        <f t="shared" si="263"/>
        <v>LIC1700</v>
      </c>
      <c r="E2609" s="125" t="str">
        <f t="shared" si="264"/>
        <v>LIC1700</v>
      </c>
      <c r="F2609" s="158" t="str">
        <f>+VLOOKUP(H2609,'code mapping'!A:C,3,0)</f>
        <v>LIC170</v>
      </c>
      <c r="G2609" s="127" t="s">
        <v>453</v>
      </c>
      <c r="H2609" s="127" t="s">
        <v>773</v>
      </c>
      <c r="I2609" s="127" t="s">
        <v>774</v>
      </c>
      <c r="J2609" s="128">
        <v>212000</v>
      </c>
      <c r="K2609" s="127" t="s">
        <v>487</v>
      </c>
      <c r="L2609" s="151">
        <v>212121</v>
      </c>
      <c r="M2609" s="128">
        <v>0</v>
      </c>
      <c r="N2609" s="127" t="s">
        <v>493</v>
      </c>
      <c r="O2609" s="127" t="s">
        <v>457</v>
      </c>
      <c r="P2609" s="128">
        <v>0</v>
      </c>
      <c r="Q2609" s="128">
        <v>4509646.53</v>
      </c>
      <c r="R2609" s="128">
        <v>0</v>
      </c>
      <c r="S2609" s="128">
        <v>0</v>
      </c>
      <c r="T2609" s="128">
        <v>0</v>
      </c>
      <c r="U2609" s="128">
        <v>4509646.53</v>
      </c>
      <c r="V2609" s="128">
        <v>0</v>
      </c>
      <c r="W2609" s="128">
        <v>4509646.53</v>
      </c>
      <c r="X2609" s="128">
        <v>0</v>
      </c>
      <c r="Y2609" s="128">
        <v>0</v>
      </c>
      <c r="Z2609" s="128">
        <v>0</v>
      </c>
      <c r="AA2609" s="128">
        <v>4509646.53</v>
      </c>
      <c r="AB2609" s="126">
        <f t="shared" si="265"/>
        <v>-0.45096465300000005</v>
      </c>
      <c r="AC2609" s="122" t="s">
        <v>1838</v>
      </c>
      <c r="AD2609" s="123">
        <f t="shared" si="267"/>
        <v>1983.9723217250009</v>
      </c>
    </row>
    <row r="2610" spans="1:30" ht="12.75" hidden="1" customHeight="1">
      <c r="A2610" s="125" t="str">
        <f t="shared" si="262"/>
        <v>LIC170Switch Out Payable Ct</v>
      </c>
      <c r="B2610" s="125">
        <f>+IFERROR(VLOOKUP(L2610,'TB mapping'!A:D,4,0),0)</f>
        <v>0</v>
      </c>
      <c r="C2610" s="125">
        <f>+IFERROR(VLOOKUP(L2610,'TB mapping'!A:C,3,0),0)</f>
        <v>0</v>
      </c>
      <c r="D2610" s="125" t="str">
        <f t="shared" si="263"/>
        <v>LIC1700</v>
      </c>
      <c r="E2610" s="125" t="str">
        <f t="shared" si="264"/>
        <v>LIC1700</v>
      </c>
      <c r="F2610" s="158" t="str">
        <f>+VLOOKUP(H2610,'code mapping'!A:C,3,0)</f>
        <v>LIC170</v>
      </c>
      <c r="G2610" s="127" t="s">
        <v>453</v>
      </c>
      <c r="H2610" s="127" t="s">
        <v>773</v>
      </c>
      <c r="I2610" s="127" t="s">
        <v>774</v>
      </c>
      <c r="J2610" s="128">
        <v>212000</v>
      </c>
      <c r="K2610" s="127" t="s">
        <v>487</v>
      </c>
      <c r="L2610" s="151">
        <v>212124</v>
      </c>
      <c r="M2610" s="128">
        <v>0</v>
      </c>
      <c r="N2610" s="127" t="s">
        <v>494</v>
      </c>
      <c r="O2610" s="127" t="s">
        <v>457</v>
      </c>
      <c r="P2610" s="128">
        <v>0</v>
      </c>
      <c r="Q2610" s="128">
        <v>1603282.3</v>
      </c>
      <c r="R2610" s="128">
        <v>0</v>
      </c>
      <c r="S2610" s="128">
        <v>0</v>
      </c>
      <c r="T2610" s="128">
        <v>0</v>
      </c>
      <c r="U2610" s="128">
        <v>1603282.3</v>
      </c>
      <c r="V2610" s="128">
        <v>0</v>
      </c>
      <c r="W2610" s="128">
        <v>1603282.3</v>
      </c>
      <c r="X2610" s="128">
        <v>0</v>
      </c>
      <c r="Y2610" s="128">
        <v>0</v>
      </c>
      <c r="Z2610" s="128">
        <v>0</v>
      </c>
      <c r="AA2610" s="128">
        <v>1603282.3</v>
      </c>
      <c r="AB2610" s="126">
        <f t="shared" si="265"/>
        <v>-0.16032823000000002</v>
      </c>
      <c r="AC2610" s="122" t="s">
        <v>1838</v>
      </c>
      <c r="AD2610" s="123">
        <f t="shared" si="267"/>
        <v>1983.9723217250009</v>
      </c>
    </row>
    <row r="2611" spans="1:30" ht="12.75" hidden="1" customHeight="1">
      <c r="A2611" s="125" t="str">
        <f t="shared" si="262"/>
        <v>LIC170Due to Broker - Equity</v>
      </c>
      <c r="B2611" s="125">
        <f>+IFERROR(VLOOKUP(L2611,'TB mapping'!A:D,4,0),0)</f>
        <v>0</v>
      </c>
      <c r="C2611" s="125">
        <f>+IFERROR(VLOOKUP(L2611,'TB mapping'!A:C,3,0),0)</f>
        <v>0</v>
      </c>
      <c r="D2611" s="125" t="str">
        <f t="shared" si="263"/>
        <v>LIC1700</v>
      </c>
      <c r="E2611" s="125" t="str">
        <f t="shared" si="264"/>
        <v>LIC1700</v>
      </c>
      <c r="F2611" s="158" t="str">
        <f>+VLOOKUP(H2611,'code mapping'!A:C,3,0)</f>
        <v>LIC170</v>
      </c>
      <c r="G2611" s="127" t="s">
        <v>453</v>
      </c>
      <c r="H2611" s="127" t="s">
        <v>773</v>
      </c>
      <c r="I2611" s="127" t="s">
        <v>774</v>
      </c>
      <c r="J2611" s="128">
        <v>212000</v>
      </c>
      <c r="K2611" s="127" t="s">
        <v>487</v>
      </c>
      <c r="L2611" s="151">
        <v>212150</v>
      </c>
      <c r="M2611" s="128">
        <v>0</v>
      </c>
      <c r="N2611" s="127" t="s">
        <v>747</v>
      </c>
      <c r="O2611" s="127" t="s">
        <v>457</v>
      </c>
      <c r="P2611" s="128">
        <v>-42329536.380000003</v>
      </c>
      <c r="Q2611" s="128">
        <v>0</v>
      </c>
      <c r="R2611" s="128">
        <v>0</v>
      </c>
      <c r="S2611" s="128">
        <v>0</v>
      </c>
      <c r="T2611" s="128">
        <v>-42329536.380000003</v>
      </c>
      <c r="U2611" s="128">
        <v>0</v>
      </c>
      <c r="V2611" s="128">
        <v>-42329536.380000003</v>
      </c>
      <c r="W2611" s="128">
        <v>0</v>
      </c>
      <c r="X2611" s="128">
        <v>0</v>
      </c>
      <c r="Y2611" s="128">
        <v>0</v>
      </c>
      <c r="Z2611" s="128">
        <v>-42329536.380000003</v>
      </c>
      <c r="AA2611" s="128">
        <v>0</v>
      </c>
      <c r="AB2611" s="126">
        <f t="shared" si="265"/>
        <v>4.2329536380000006</v>
      </c>
      <c r="AC2611" s="122" t="s">
        <v>1838</v>
      </c>
      <c r="AD2611" s="123">
        <f t="shared" si="267"/>
        <v>1983.9723217250009</v>
      </c>
    </row>
    <row r="2612" spans="1:30" ht="12.75" hidden="1" customHeight="1">
      <c r="A2612" s="125" t="str">
        <f t="shared" si="262"/>
        <v>LIC170Due to Broker</v>
      </c>
      <c r="B2612" s="125">
        <f>+IFERROR(VLOOKUP(L2612,'TB mapping'!A:D,4,0),0)</f>
        <v>0</v>
      </c>
      <c r="C2612" s="125">
        <f>+IFERROR(VLOOKUP(L2612,'TB mapping'!A:C,3,0),0)</f>
        <v>0</v>
      </c>
      <c r="D2612" s="125" t="str">
        <f t="shared" si="263"/>
        <v>LIC1700</v>
      </c>
      <c r="E2612" s="125" t="str">
        <f t="shared" si="264"/>
        <v>LIC1700</v>
      </c>
      <c r="F2612" s="158" t="str">
        <f>+VLOOKUP(H2612,'code mapping'!A:C,3,0)</f>
        <v>LIC170</v>
      </c>
      <c r="G2612" s="127" t="s">
        <v>453</v>
      </c>
      <c r="H2612" s="127" t="s">
        <v>773</v>
      </c>
      <c r="I2612" s="127" t="s">
        <v>774</v>
      </c>
      <c r="J2612" s="128">
        <v>212000</v>
      </c>
      <c r="K2612" s="127" t="s">
        <v>487</v>
      </c>
      <c r="L2612" s="151">
        <v>212153</v>
      </c>
      <c r="M2612" s="128">
        <v>0</v>
      </c>
      <c r="N2612" s="127" t="s">
        <v>626</v>
      </c>
      <c r="O2612" s="127" t="s">
        <v>457</v>
      </c>
      <c r="P2612" s="128">
        <v>0</v>
      </c>
      <c r="Q2612" s="128">
        <v>42329536.780000001</v>
      </c>
      <c r="R2612" s="128">
        <v>0</v>
      </c>
      <c r="S2612" s="128">
        <v>0</v>
      </c>
      <c r="T2612" s="128">
        <v>0</v>
      </c>
      <c r="U2612" s="128">
        <v>42329536.780000001</v>
      </c>
      <c r="V2612" s="128">
        <v>0</v>
      </c>
      <c r="W2612" s="128">
        <v>42329536.780000001</v>
      </c>
      <c r="X2612" s="128">
        <v>0</v>
      </c>
      <c r="Y2612" s="128">
        <v>0</v>
      </c>
      <c r="Z2612" s="128">
        <v>0</v>
      </c>
      <c r="AA2612" s="128">
        <v>42329536.780000001</v>
      </c>
      <c r="AB2612" s="126">
        <f t="shared" si="265"/>
        <v>-4.2329536780000003</v>
      </c>
      <c r="AC2612" s="122" t="s">
        <v>1838</v>
      </c>
      <c r="AD2612" s="123">
        <f t="shared" si="267"/>
        <v>1983.9723217250009</v>
      </c>
    </row>
    <row r="2613" spans="1:30" ht="12.75" hidden="1" customHeight="1">
      <c r="A2613" s="125" t="str">
        <f t="shared" si="262"/>
        <v>LIC170Audit Fee-Payable</v>
      </c>
      <c r="B2613" s="125">
        <f>+IFERROR(VLOOKUP(L2613,'TB mapping'!A:D,4,0),0)</f>
        <v>0</v>
      </c>
      <c r="C2613" s="125">
        <f>+IFERROR(VLOOKUP(L2613,'TB mapping'!A:C,3,0),0)</f>
        <v>0</v>
      </c>
      <c r="D2613" s="125" t="str">
        <f t="shared" si="263"/>
        <v>LIC1700</v>
      </c>
      <c r="E2613" s="125" t="str">
        <f t="shared" si="264"/>
        <v>LIC1700</v>
      </c>
      <c r="F2613" s="158" t="str">
        <f>+VLOOKUP(H2613,'code mapping'!A:C,3,0)</f>
        <v>LIC170</v>
      </c>
      <c r="G2613" s="127" t="s">
        <v>453</v>
      </c>
      <c r="H2613" s="127" t="s">
        <v>773</v>
      </c>
      <c r="I2613" s="127" t="s">
        <v>774</v>
      </c>
      <c r="J2613" s="128">
        <v>212000</v>
      </c>
      <c r="K2613" s="127" t="s">
        <v>487</v>
      </c>
      <c r="L2613" s="151">
        <v>212194</v>
      </c>
      <c r="M2613" s="128">
        <v>0</v>
      </c>
      <c r="N2613" s="127" t="s">
        <v>496</v>
      </c>
      <c r="O2613" s="127" t="s">
        <v>457</v>
      </c>
      <c r="P2613" s="128">
        <v>-573.06000000000006</v>
      </c>
      <c r="Q2613" s="128">
        <v>0</v>
      </c>
      <c r="R2613" s="128">
        <v>0</v>
      </c>
      <c r="S2613" s="128">
        <v>0</v>
      </c>
      <c r="T2613" s="128">
        <v>-573.06000000000006</v>
      </c>
      <c r="U2613" s="128">
        <v>0</v>
      </c>
      <c r="V2613" s="128">
        <v>-573.06000000000006</v>
      </c>
      <c r="W2613" s="128">
        <v>0</v>
      </c>
      <c r="X2613" s="128">
        <v>0</v>
      </c>
      <c r="Y2613" s="128">
        <v>0</v>
      </c>
      <c r="Z2613" s="128">
        <v>-573.06000000000006</v>
      </c>
      <c r="AA2613" s="128">
        <v>0</v>
      </c>
      <c r="AB2613" s="126">
        <f t="shared" si="265"/>
        <v>5.7306000000000003E-5</v>
      </c>
      <c r="AC2613" s="122" t="s">
        <v>1838</v>
      </c>
      <c r="AD2613" s="123">
        <f t="shared" si="267"/>
        <v>1983.9723217250009</v>
      </c>
    </row>
    <row r="2614" spans="1:30" ht="12.75" hidden="1" customHeight="1">
      <c r="A2614" s="125" t="str">
        <f t="shared" si="262"/>
        <v>LIC170Other Exp- Payable</v>
      </c>
      <c r="B2614" s="125">
        <f>+IFERROR(VLOOKUP(L2614,'TB mapping'!A:D,4,0),0)</f>
        <v>0</v>
      </c>
      <c r="C2614" s="125">
        <f>+IFERROR(VLOOKUP(L2614,'TB mapping'!A:C,3,0),0)</f>
        <v>0</v>
      </c>
      <c r="D2614" s="125" t="str">
        <f t="shared" si="263"/>
        <v>LIC1700</v>
      </c>
      <c r="E2614" s="125" t="str">
        <f t="shared" si="264"/>
        <v>LIC1700</v>
      </c>
      <c r="F2614" s="158" t="str">
        <f>+VLOOKUP(H2614,'code mapping'!A:C,3,0)</f>
        <v>LIC170</v>
      </c>
      <c r="G2614" s="127" t="s">
        <v>453</v>
      </c>
      <c r="H2614" s="127" t="s">
        <v>773</v>
      </c>
      <c r="I2614" s="127" t="s">
        <v>774</v>
      </c>
      <c r="J2614" s="128">
        <v>212000</v>
      </c>
      <c r="K2614" s="127" t="s">
        <v>487</v>
      </c>
      <c r="L2614" s="151">
        <v>212220</v>
      </c>
      <c r="M2614" s="128">
        <v>0</v>
      </c>
      <c r="N2614" s="127" t="s">
        <v>497</v>
      </c>
      <c r="O2614" s="127" t="s">
        <v>457</v>
      </c>
      <c r="P2614" s="128">
        <v>0</v>
      </c>
      <c r="Q2614" s="128">
        <v>2380034.7200000002</v>
      </c>
      <c r="R2614" s="128">
        <v>0</v>
      </c>
      <c r="S2614" s="128">
        <v>0</v>
      </c>
      <c r="T2614" s="128">
        <v>0</v>
      </c>
      <c r="U2614" s="128">
        <v>2380034.7200000002</v>
      </c>
      <c r="V2614" s="128">
        <v>0</v>
      </c>
      <c r="W2614" s="128">
        <v>2380034.7200000002</v>
      </c>
      <c r="X2614" s="128">
        <v>0</v>
      </c>
      <c r="Y2614" s="128">
        <v>0</v>
      </c>
      <c r="Z2614" s="128">
        <v>0</v>
      </c>
      <c r="AA2614" s="128">
        <v>2380034.7200000002</v>
      </c>
      <c r="AB2614" s="126">
        <f t="shared" si="265"/>
        <v>-0.23800347200000002</v>
      </c>
      <c r="AC2614" s="122" t="s">
        <v>1838</v>
      </c>
      <c r="AD2614" s="123">
        <f t="shared" si="267"/>
        <v>1983.9723217250009</v>
      </c>
    </row>
    <row r="2615" spans="1:30" ht="12.75" hidden="1" customHeight="1">
      <c r="A2615" s="125" t="str">
        <f t="shared" si="262"/>
        <v>LIC170Expense Allocation-Liab'ity Ac</v>
      </c>
      <c r="B2615" s="125">
        <f>+IFERROR(VLOOKUP(L2615,'TB mapping'!A:D,4,0),0)</f>
        <v>0</v>
      </c>
      <c r="C2615" s="125">
        <f>+IFERROR(VLOOKUP(L2615,'TB mapping'!A:C,3,0),0)</f>
        <v>0</v>
      </c>
      <c r="D2615" s="125" t="str">
        <f t="shared" si="263"/>
        <v>LIC1700</v>
      </c>
      <c r="E2615" s="125" t="str">
        <f t="shared" si="264"/>
        <v>LIC1700</v>
      </c>
      <c r="F2615" s="158" t="str">
        <f>+VLOOKUP(H2615,'code mapping'!A:C,3,0)</f>
        <v>LIC170</v>
      </c>
      <c r="G2615" s="127" t="s">
        <v>453</v>
      </c>
      <c r="H2615" s="127" t="s">
        <v>773</v>
      </c>
      <c r="I2615" s="127" t="s">
        <v>774</v>
      </c>
      <c r="J2615" s="128">
        <v>212000</v>
      </c>
      <c r="K2615" s="127" t="s">
        <v>487</v>
      </c>
      <c r="L2615" s="151">
        <v>212223</v>
      </c>
      <c r="M2615" s="128">
        <v>0</v>
      </c>
      <c r="N2615" s="127" t="s">
        <v>498</v>
      </c>
      <c r="O2615" s="127" t="s">
        <v>457</v>
      </c>
      <c r="P2615" s="128">
        <v>-1332157.54</v>
      </c>
      <c r="Q2615" s="128">
        <v>0</v>
      </c>
      <c r="R2615" s="128">
        <v>0</v>
      </c>
      <c r="S2615" s="128">
        <v>0</v>
      </c>
      <c r="T2615" s="128">
        <v>-1332157.54</v>
      </c>
      <c r="U2615" s="128">
        <v>0</v>
      </c>
      <c r="V2615" s="128">
        <v>-1332157.54</v>
      </c>
      <c r="W2615" s="128">
        <v>0</v>
      </c>
      <c r="X2615" s="128">
        <v>0</v>
      </c>
      <c r="Y2615" s="128">
        <v>0</v>
      </c>
      <c r="Z2615" s="128">
        <v>-1332157.54</v>
      </c>
      <c r="AA2615" s="128">
        <v>0</v>
      </c>
      <c r="AB2615" s="126">
        <f t="shared" si="265"/>
        <v>0.13321575399999999</v>
      </c>
      <c r="AC2615" s="122" t="s">
        <v>1838</v>
      </c>
      <c r="AD2615" s="123">
        <f t="shared" si="267"/>
        <v>1983.9723217250009</v>
      </c>
    </row>
    <row r="2616" spans="1:30" ht="12.75" hidden="1" customHeight="1">
      <c r="A2616" s="125" t="str">
        <f t="shared" si="262"/>
        <v>LIC170Exp- Additional TER Payable</v>
      </c>
      <c r="B2616" s="125">
        <f>+IFERROR(VLOOKUP(L2616,'TB mapping'!A:D,4,0),0)</f>
        <v>0</v>
      </c>
      <c r="C2616" s="125">
        <f>+IFERROR(VLOOKUP(L2616,'TB mapping'!A:C,3,0),0)</f>
        <v>0</v>
      </c>
      <c r="D2616" s="125" t="str">
        <f t="shared" si="263"/>
        <v>LIC1700</v>
      </c>
      <c r="E2616" s="125" t="str">
        <f t="shared" si="264"/>
        <v>LIC1700</v>
      </c>
      <c r="F2616" s="158" t="str">
        <f>+VLOOKUP(H2616,'code mapping'!A:C,3,0)</f>
        <v>LIC170</v>
      </c>
      <c r="G2616" s="127" t="s">
        <v>453</v>
      </c>
      <c r="H2616" s="127" t="s">
        <v>773</v>
      </c>
      <c r="I2616" s="127" t="s">
        <v>774</v>
      </c>
      <c r="J2616" s="128">
        <v>212000</v>
      </c>
      <c r="K2616" s="127" t="s">
        <v>487</v>
      </c>
      <c r="L2616" s="151">
        <v>212227</v>
      </c>
      <c r="M2616" s="128">
        <v>0</v>
      </c>
      <c r="N2616" s="127" t="s">
        <v>627</v>
      </c>
      <c r="O2616" s="127" t="s">
        <v>457</v>
      </c>
      <c r="P2616" s="128">
        <v>-5252958.91</v>
      </c>
      <c r="Q2616" s="128">
        <v>0</v>
      </c>
      <c r="R2616" s="128">
        <v>0</v>
      </c>
      <c r="S2616" s="128">
        <v>0</v>
      </c>
      <c r="T2616" s="128">
        <v>-5252958.91</v>
      </c>
      <c r="U2616" s="128">
        <v>0</v>
      </c>
      <c r="V2616" s="128">
        <v>-5252958.91</v>
      </c>
      <c r="W2616" s="128">
        <v>0</v>
      </c>
      <c r="X2616" s="128">
        <v>0</v>
      </c>
      <c r="Y2616" s="128">
        <v>0</v>
      </c>
      <c r="Z2616" s="128">
        <v>-5252958.91</v>
      </c>
      <c r="AA2616" s="128">
        <v>0</v>
      </c>
      <c r="AB2616" s="126">
        <f t="shared" si="265"/>
        <v>0.52529589100000007</v>
      </c>
      <c r="AC2616" s="122" t="s">
        <v>1838</v>
      </c>
      <c r="AD2616" s="123">
        <f t="shared" si="267"/>
        <v>1983.9723217250009</v>
      </c>
    </row>
    <row r="2617" spans="1:30" ht="12.75" hidden="1" customHeight="1">
      <c r="A2617" s="125" t="str">
        <f t="shared" ref="A2617:A2680" si="268">+F2617&amp;N2617</f>
        <v>LIC170STT Payable</v>
      </c>
      <c r="B2617" s="125">
        <f>+IFERROR(VLOOKUP(L2617,'TB mapping'!A:D,4,0),0)</f>
        <v>0</v>
      </c>
      <c r="C2617" s="125">
        <f>+IFERROR(VLOOKUP(L2617,'TB mapping'!A:C,3,0),0)</f>
        <v>0</v>
      </c>
      <c r="D2617" s="125" t="str">
        <f t="shared" ref="D2617:D2680" si="269">+F2617&amp;B2617</f>
        <v>LIC1700</v>
      </c>
      <c r="E2617" s="125" t="str">
        <f t="shared" ref="E2617:E2680" si="270">+F2617&amp;C2617</f>
        <v>LIC1700</v>
      </c>
      <c r="F2617" s="158" t="str">
        <f>+VLOOKUP(H2617,'code mapping'!A:C,3,0)</f>
        <v>LIC170</v>
      </c>
      <c r="G2617" s="127" t="s">
        <v>453</v>
      </c>
      <c r="H2617" s="127" t="s">
        <v>773</v>
      </c>
      <c r="I2617" s="127" t="s">
        <v>774</v>
      </c>
      <c r="J2617" s="128">
        <v>212000</v>
      </c>
      <c r="K2617" s="127" t="s">
        <v>487</v>
      </c>
      <c r="L2617" s="151">
        <v>212231</v>
      </c>
      <c r="M2617" s="128">
        <v>0</v>
      </c>
      <c r="N2617" s="127" t="s">
        <v>748</v>
      </c>
      <c r="O2617" s="127" t="s">
        <v>457</v>
      </c>
      <c r="P2617" s="128">
        <v>0</v>
      </c>
      <c r="Q2617" s="128">
        <v>763.73</v>
      </c>
      <c r="R2617" s="128">
        <v>0</v>
      </c>
      <c r="S2617" s="128">
        <v>0</v>
      </c>
      <c r="T2617" s="128">
        <v>0</v>
      </c>
      <c r="U2617" s="128">
        <v>763.73</v>
      </c>
      <c r="V2617" s="128">
        <v>0</v>
      </c>
      <c r="W2617" s="128">
        <v>763.73</v>
      </c>
      <c r="X2617" s="128">
        <v>0</v>
      </c>
      <c r="Y2617" s="128">
        <v>0</v>
      </c>
      <c r="Z2617" s="128">
        <v>0</v>
      </c>
      <c r="AA2617" s="128">
        <v>763.73</v>
      </c>
      <c r="AB2617" s="126">
        <f t="shared" ref="AB2617:AB2680" si="271">SUM(-Z2617-AA2617)/10^7</f>
        <v>-7.6372999999999995E-5</v>
      </c>
      <c r="AC2617" s="122" t="s">
        <v>1838</v>
      </c>
      <c r="AD2617" s="123">
        <f t="shared" si="267"/>
        <v>1983.9723217250009</v>
      </c>
    </row>
    <row r="2618" spans="1:30" ht="12.75" hidden="1" customHeight="1">
      <c r="A2618" s="125" t="str">
        <f t="shared" si="268"/>
        <v>LIC170NRI TDS Payable</v>
      </c>
      <c r="B2618" s="125">
        <f>+IFERROR(VLOOKUP(L2618,'TB mapping'!A:D,4,0),0)</f>
        <v>0</v>
      </c>
      <c r="C2618" s="125">
        <f>+IFERROR(VLOOKUP(L2618,'TB mapping'!A:C,3,0),0)</f>
        <v>0</v>
      </c>
      <c r="D2618" s="125" t="str">
        <f t="shared" si="269"/>
        <v>LIC1700</v>
      </c>
      <c r="E2618" s="125" t="str">
        <f t="shared" si="270"/>
        <v>LIC1700</v>
      </c>
      <c r="F2618" s="158" t="str">
        <f>+VLOOKUP(H2618,'code mapping'!A:C,3,0)</f>
        <v>LIC170</v>
      </c>
      <c r="G2618" s="127" t="s">
        <v>453</v>
      </c>
      <c r="H2618" s="127" t="s">
        <v>773</v>
      </c>
      <c r="I2618" s="127" t="s">
        <v>774</v>
      </c>
      <c r="J2618" s="128">
        <v>212000</v>
      </c>
      <c r="K2618" s="127" t="s">
        <v>487</v>
      </c>
      <c r="L2618" s="151">
        <v>212233</v>
      </c>
      <c r="M2618" s="128">
        <v>0</v>
      </c>
      <c r="N2618" s="127" t="s">
        <v>499</v>
      </c>
      <c r="O2618" s="127" t="s">
        <v>457</v>
      </c>
      <c r="P2618" s="128">
        <v>0</v>
      </c>
      <c r="Q2618" s="128">
        <v>3</v>
      </c>
      <c r="R2618" s="128">
        <v>0</v>
      </c>
      <c r="S2618" s="128">
        <v>0</v>
      </c>
      <c r="T2618" s="128">
        <v>0</v>
      </c>
      <c r="U2618" s="128">
        <v>3</v>
      </c>
      <c r="V2618" s="128">
        <v>0</v>
      </c>
      <c r="W2618" s="128">
        <v>3</v>
      </c>
      <c r="X2618" s="128">
        <v>0</v>
      </c>
      <c r="Y2618" s="128">
        <v>0</v>
      </c>
      <c r="Z2618" s="128">
        <v>0</v>
      </c>
      <c r="AA2618" s="128">
        <v>3</v>
      </c>
      <c r="AB2618" s="126">
        <f t="shared" si="271"/>
        <v>-2.9999999999999999E-7</v>
      </c>
      <c r="AC2618" s="122" t="s">
        <v>1838</v>
      </c>
      <c r="AD2618" s="123">
        <f t="shared" si="267"/>
        <v>1983.9723217250009</v>
      </c>
    </row>
    <row r="2619" spans="1:30" ht="12.75" hidden="1" customHeight="1">
      <c r="A2619" s="125" t="str">
        <f t="shared" si="268"/>
        <v>LIC170Investor Education Payable</v>
      </c>
      <c r="B2619" s="125">
        <f>+IFERROR(VLOOKUP(L2619,'TB mapping'!A:D,4,0),0)</f>
        <v>0</v>
      </c>
      <c r="C2619" s="125">
        <f>+IFERROR(VLOOKUP(L2619,'TB mapping'!A:C,3,0),0)</f>
        <v>0</v>
      </c>
      <c r="D2619" s="125" t="str">
        <f t="shared" si="269"/>
        <v>LIC1700</v>
      </c>
      <c r="E2619" s="125" t="str">
        <f t="shared" si="270"/>
        <v>LIC1700</v>
      </c>
      <c r="F2619" s="158" t="str">
        <f>+VLOOKUP(H2619,'code mapping'!A:C,3,0)</f>
        <v>LIC170</v>
      </c>
      <c r="G2619" s="127" t="s">
        <v>453</v>
      </c>
      <c r="H2619" s="127" t="s">
        <v>773</v>
      </c>
      <c r="I2619" s="127" t="s">
        <v>774</v>
      </c>
      <c r="J2619" s="128">
        <v>212000</v>
      </c>
      <c r="K2619" s="127" t="s">
        <v>487</v>
      </c>
      <c r="L2619" s="151">
        <v>212240</v>
      </c>
      <c r="M2619" s="128">
        <v>0</v>
      </c>
      <c r="N2619" s="127" t="s">
        <v>500</v>
      </c>
      <c r="O2619" s="127" t="s">
        <v>457</v>
      </c>
      <c r="P2619" s="128">
        <v>0</v>
      </c>
      <c r="Q2619" s="128">
        <v>23767.97</v>
      </c>
      <c r="R2619" s="128">
        <v>0</v>
      </c>
      <c r="S2619" s="128">
        <v>0</v>
      </c>
      <c r="T2619" s="128">
        <v>0</v>
      </c>
      <c r="U2619" s="128">
        <v>23767.97</v>
      </c>
      <c r="V2619" s="128">
        <v>0</v>
      </c>
      <c r="W2619" s="128">
        <v>23767.97</v>
      </c>
      <c r="X2619" s="128">
        <v>0</v>
      </c>
      <c r="Y2619" s="128">
        <v>0</v>
      </c>
      <c r="Z2619" s="128">
        <v>0</v>
      </c>
      <c r="AA2619" s="128">
        <v>23767.97</v>
      </c>
      <c r="AB2619" s="126">
        <f t="shared" si="271"/>
        <v>-2.3767969999999999E-3</v>
      </c>
      <c r="AC2619" s="122" t="s">
        <v>1838</v>
      </c>
      <c r="AD2619" s="123">
        <f t="shared" si="267"/>
        <v>1983.9723217250009</v>
      </c>
    </row>
    <row r="2620" spans="1:30" ht="12.75" hidden="1" customHeight="1">
      <c r="A2620" s="125" t="str">
        <f t="shared" si="268"/>
        <v>LIC170Transaction Charges Payable</v>
      </c>
      <c r="B2620" s="125">
        <f>+IFERROR(VLOOKUP(L2620,'TB mapping'!A:D,4,0),0)</f>
        <v>0</v>
      </c>
      <c r="C2620" s="125">
        <f>+IFERROR(VLOOKUP(L2620,'TB mapping'!A:C,3,0),0)</f>
        <v>0</v>
      </c>
      <c r="D2620" s="125" t="str">
        <f t="shared" si="269"/>
        <v>LIC1700</v>
      </c>
      <c r="E2620" s="125" t="str">
        <f t="shared" si="270"/>
        <v>LIC1700</v>
      </c>
      <c r="F2620" s="158" t="str">
        <f>+VLOOKUP(H2620,'code mapping'!A:C,3,0)</f>
        <v>LIC170</v>
      </c>
      <c r="G2620" s="127" t="s">
        <v>453</v>
      </c>
      <c r="H2620" s="127" t="s">
        <v>773</v>
      </c>
      <c r="I2620" s="127" t="s">
        <v>774</v>
      </c>
      <c r="J2620" s="128">
        <v>212000</v>
      </c>
      <c r="K2620" s="127" t="s">
        <v>487</v>
      </c>
      <c r="L2620" s="151">
        <v>212247</v>
      </c>
      <c r="M2620" s="128">
        <v>0</v>
      </c>
      <c r="N2620" s="127" t="s">
        <v>501</v>
      </c>
      <c r="O2620" s="127" t="s">
        <v>457</v>
      </c>
      <c r="P2620" s="128">
        <v>0</v>
      </c>
      <c r="Q2620" s="128">
        <v>35112.5</v>
      </c>
      <c r="R2620" s="128">
        <v>0</v>
      </c>
      <c r="S2620" s="128">
        <v>0</v>
      </c>
      <c r="T2620" s="128">
        <v>0</v>
      </c>
      <c r="U2620" s="128">
        <v>35112.5</v>
      </c>
      <c r="V2620" s="128">
        <v>0</v>
      </c>
      <c r="W2620" s="128">
        <v>35112.5</v>
      </c>
      <c r="X2620" s="128">
        <v>0</v>
      </c>
      <c r="Y2620" s="128">
        <v>0</v>
      </c>
      <c r="Z2620" s="128">
        <v>0</v>
      </c>
      <c r="AA2620" s="128">
        <v>35112.5</v>
      </c>
      <c r="AB2620" s="126">
        <f t="shared" si="271"/>
        <v>-3.51125E-3</v>
      </c>
      <c r="AC2620" s="122" t="s">
        <v>1838</v>
      </c>
      <c r="AD2620" s="123">
        <f t="shared" si="267"/>
        <v>1983.9723217250009</v>
      </c>
    </row>
    <row r="2621" spans="1:30" ht="12.75" hidden="1" customHeight="1">
      <c r="A2621" s="125" t="str">
        <f t="shared" si="268"/>
        <v>LIC170Brokerage &amp; Dist Exp Payable</v>
      </c>
      <c r="B2621" s="125">
        <f>+IFERROR(VLOOKUP(L2621,'TB mapping'!A:D,4,0),0)</f>
        <v>0</v>
      </c>
      <c r="C2621" s="125">
        <f>+IFERROR(VLOOKUP(L2621,'TB mapping'!A:C,3,0),0)</f>
        <v>0</v>
      </c>
      <c r="D2621" s="125" t="str">
        <f t="shared" si="269"/>
        <v>LIC1700</v>
      </c>
      <c r="E2621" s="125" t="str">
        <f t="shared" si="270"/>
        <v>LIC1700</v>
      </c>
      <c r="F2621" s="158" t="str">
        <f>+VLOOKUP(H2621,'code mapping'!A:C,3,0)</f>
        <v>LIC170</v>
      </c>
      <c r="G2621" s="127" t="s">
        <v>453</v>
      </c>
      <c r="H2621" s="127" t="s">
        <v>773</v>
      </c>
      <c r="I2621" s="127" t="s">
        <v>774</v>
      </c>
      <c r="J2621" s="128">
        <v>212000</v>
      </c>
      <c r="K2621" s="127" t="s">
        <v>487</v>
      </c>
      <c r="L2621" s="151">
        <v>212255</v>
      </c>
      <c r="M2621" s="128">
        <v>0</v>
      </c>
      <c r="N2621" s="127" t="s">
        <v>503</v>
      </c>
      <c r="O2621" s="127" t="s">
        <v>457</v>
      </c>
      <c r="P2621" s="128">
        <v>0</v>
      </c>
      <c r="Q2621" s="128">
        <v>11515552.369999999</v>
      </c>
      <c r="R2621" s="128">
        <v>0</v>
      </c>
      <c r="S2621" s="128">
        <v>0</v>
      </c>
      <c r="T2621" s="128">
        <v>0</v>
      </c>
      <c r="U2621" s="128">
        <v>11515552.369999999</v>
      </c>
      <c r="V2621" s="128">
        <v>0</v>
      </c>
      <c r="W2621" s="128">
        <v>11515552.369999999</v>
      </c>
      <c r="X2621" s="128">
        <v>0</v>
      </c>
      <c r="Y2621" s="128">
        <v>0</v>
      </c>
      <c r="Z2621" s="128">
        <v>0</v>
      </c>
      <c r="AA2621" s="128">
        <v>11515552.369999999</v>
      </c>
      <c r="AB2621" s="126">
        <f t="shared" si="271"/>
        <v>-1.151555237</v>
      </c>
      <c r="AC2621" s="122" t="s">
        <v>1838</v>
      </c>
      <c r="AD2621" s="123">
        <f t="shared" si="267"/>
        <v>1983.9723217250009</v>
      </c>
    </row>
    <row r="2622" spans="1:30" ht="12.75" hidden="1" customHeight="1">
      <c r="A2622" s="125" t="str">
        <f t="shared" si="268"/>
        <v>LIC170Upfront Brk &amp; Trail Paid-Liab</v>
      </c>
      <c r="B2622" s="125">
        <f>+IFERROR(VLOOKUP(L2622,'TB mapping'!A:D,4,0),0)</f>
        <v>0</v>
      </c>
      <c r="C2622" s="125">
        <f>+IFERROR(VLOOKUP(L2622,'TB mapping'!A:C,3,0),0)</f>
        <v>0</v>
      </c>
      <c r="D2622" s="125" t="str">
        <f t="shared" si="269"/>
        <v>LIC1700</v>
      </c>
      <c r="E2622" s="125" t="str">
        <f t="shared" si="270"/>
        <v>LIC1700</v>
      </c>
      <c r="F2622" s="158" t="str">
        <f>+VLOOKUP(H2622,'code mapping'!A:C,3,0)</f>
        <v>LIC170</v>
      </c>
      <c r="G2622" s="127" t="s">
        <v>453</v>
      </c>
      <c r="H2622" s="127" t="s">
        <v>773</v>
      </c>
      <c r="I2622" s="127" t="s">
        <v>774</v>
      </c>
      <c r="J2622" s="128">
        <v>212000</v>
      </c>
      <c r="K2622" s="127" t="s">
        <v>487</v>
      </c>
      <c r="L2622" s="151">
        <v>212257</v>
      </c>
      <c r="M2622" s="128">
        <v>0</v>
      </c>
      <c r="N2622" s="127" t="s">
        <v>504</v>
      </c>
      <c r="O2622" s="127" t="s">
        <v>457</v>
      </c>
      <c r="P2622" s="128">
        <v>0</v>
      </c>
      <c r="Q2622" s="128">
        <v>29141.02</v>
      </c>
      <c r="R2622" s="128">
        <v>0</v>
      </c>
      <c r="S2622" s="128">
        <v>0</v>
      </c>
      <c r="T2622" s="128">
        <v>0</v>
      </c>
      <c r="U2622" s="128">
        <v>29141.02</v>
      </c>
      <c r="V2622" s="128">
        <v>0</v>
      </c>
      <c r="W2622" s="128">
        <v>29141.02</v>
      </c>
      <c r="X2622" s="128">
        <v>0</v>
      </c>
      <c r="Y2622" s="128">
        <v>0</v>
      </c>
      <c r="Z2622" s="128">
        <v>0</v>
      </c>
      <c r="AA2622" s="128">
        <v>29141.02</v>
      </c>
      <c r="AB2622" s="126">
        <f t="shared" si="271"/>
        <v>-2.914102E-3</v>
      </c>
      <c r="AC2622" s="122" t="s">
        <v>1838</v>
      </c>
      <c r="AD2622" s="123">
        <f t="shared" si="267"/>
        <v>1983.9723217250009</v>
      </c>
    </row>
    <row r="2623" spans="1:30" ht="12.75" hidden="1" customHeight="1">
      <c r="A2623" s="125" t="str">
        <f t="shared" si="268"/>
        <v>LIC170Payable CGST on Mfees</v>
      </c>
      <c r="B2623" s="125">
        <f>+IFERROR(VLOOKUP(L2623,'TB mapping'!A:D,4,0),0)</f>
        <v>0</v>
      </c>
      <c r="C2623" s="125">
        <f>+IFERROR(VLOOKUP(L2623,'TB mapping'!A:C,3,0),0)</f>
        <v>0</v>
      </c>
      <c r="D2623" s="125" t="str">
        <f t="shared" si="269"/>
        <v>LIC1700</v>
      </c>
      <c r="E2623" s="125" t="str">
        <f t="shared" si="270"/>
        <v>LIC1700</v>
      </c>
      <c r="F2623" s="158" t="str">
        <f>+VLOOKUP(H2623,'code mapping'!A:C,3,0)</f>
        <v>LIC170</v>
      </c>
      <c r="G2623" s="127" t="s">
        <v>453</v>
      </c>
      <c r="H2623" s="127" t="s">
        <v>773</v>
      </c>
      <c r="I2623" s="127" t="s">
        <v>774</v>
      </c>
      <c r="J2623" s="128">
        <v>212000</v>
      </c>
      <c r="K2623" s="127" t="s">
        <v>487</v>
      </c>
      <c r="L2623" s="151">
        <v>212271</v>
      </c>
      <c r="M2623" s="128">
        <v>0</v>
      </c>
      <c r="N2623" s="127" t="s">
        <v>505</v>
      </c>
      <c r="O2623" s="127" t="s">
        <v>457</v>
      </c>
      <c r="P2623" s="128">
        <v>0</v>
      </c>
      <c r="Q2623" s="128">
        <v>11802.77</v>
      </c>
      <c r="R2623" s="128">
        <v>0</v>
      </c>
      <c r="S2623" s="128">
        <v>0</v>
      </c>
      <c r="T2623" s="128">
        <v>0</v>
      </c>
      <c r="U2623" s="128">
        <v>11802.77</v>
      </c>
      <c r="V2623" s="128">
        <v>0</v>
      </c>
      <c r="W2623" s="128">
        <v>11802.77</v>
      </c>
      <c r="X2623" s="128">
        <v>0</v>
      </c>
      <c r="Y2623" s="128">
        <v>0</v>
      </c>
      <c r="Z2623" s="128">
        <v>0</v>
      </c>
      <c r="AA2623" s="128">
        <v>11802.77</v>
      </c>
      <c r="AB2623" s="126">
        <f t="shared" si="271"/>
        <v>-1.180277E-3</v>
      </c>
      <c r="AC2623" s="122" t="s">
        <v>1838</v>
      </c>
      <c r="AD2623" s="123">
        <f t="shared" si="267"/>
        <v>1983.9723217250009</v>
      </c>
    </row>
    <row r="2624" spans="1:30" ht="12.75" hidden="1" customHeight="1">
      <c r="A2624" s="125" t="str">
        <f t="shared" si="268"/>
        <v>LIC170Payable SGST on Mfees</v>
      </c>
      <c r="B2624" s="125">
        <f>+IFERROR(VLOOKUP(L2624,'TB mapping'!A:D,4,0),0)</f>
        <v>0</v>
      </c>
      <c r="C2624" s="125">
        <f>+IFERROR(VLOOKUP(L2624,'TB mapping'!A:C,3,0),0)</f>
        <v>0</v>
      </c>
      <c r="D2624" s="125" t="str">
        <f t="shared" si="269"/>
        <v>LIC1700</v>
      </c>
      <c r="E2624" s="125" t="str">
        <f t="shared" si="270"/>
        <v>LIC1700</v>
      </c>
      <c r="F2624" s="158" t="str">
        <f>+VLOOKUP(H2624,'code mapping'!A:C,3,0)</f>
        <v>LIC170</v>
      </c>
      <c r="G2624" s="127" t="s">
        <v>453</v>
      </c>
      <c r="H2624" s="127" t="s">
        <v>773</v>
      </c>
      <c r="I2624" s="127" t="s">
        <v>774</v>
      </c>
      <c r="J2624" s="128">
        <v>212000</v>
      </c>
      <c r="K2624" s="127" t="s">
        <v>487</v>
      </c>
      <c r="L2624" s="151">
        <v>212272</v>
      </c>
      <c r="M2624" s="128">
        <v>0</v>
      </c>
      <c r="N2624" s="127" t="s">
        <v>506</v>
      </c>
      <c r="O2624" s="127" t="s">
        <v>457</v>
      </c>
      <c r="P2624" s="128">
        <v>0</v>
      </c>
      <c r="Q2624" s="128">
        <v>11802.77</v>
      </c>
      <c r="R2624" s="128">
        <v>0</v>
      </c>
      <c r="S2624" s="128">
        <v>0</v>
      </c>
      <c r="T2624" s="128">
        <v>0</v>
      </c>
      <c r="U2624" s="128">
        <v>11802.77</v>
      </c>
      <c r="V2624" s="128">
        <v>0</v>
      </c>
      <c r="W2624" s="128">
        <v>11802.77</v>
      </c>
      <c r="X2624" s="128">
        <v>0</v>
      </c>
      <c r="Y2624" s="128">
        <v>0</v>
      </c>
      <c r="Z2624" s="128">
        <v>0</v>
      </c>
      <c r="AA2624" s="128">
        <v>11802.77</v>
      </c>
      <c r="AB2624" s="126">
        <f t="shared" si="271"/>
        <v>-1.180277E-3</v>
      </c>
      <c r="AC2624" s="122" t="s">
        <v>1838</v>
      </c>
      <c r="AD2624" s="123">
        <f t="shared" si="267"/>
        <v>1983.9723217250009</v>
      </c>
    </row>
    <row r="2625" spans="1:30" ht="12.75" hidden="1" customHeight="1">
      <c r="A2625" s="125" t="str">
        <f t="shared" si="268"/>
        <v>LIC170Payable -Inv Educ Fund-AMFI</v>
      </c>
      <c r="B2625" s="125">
        <f>+IFERROR(VLOOKUP(L2625,'TB mapping'!A:D,4,0),0)</f>
        <v>0</v>
      </c>
      <c r="C2625" s="125">
        <f>+IFERROR(VLOOKUP(L2625,'TB mapping'!A:C,3,0),0)</f>
        <v>0</v>
      </c>
      <c r="D2625" s="125" t="str">
        <f t="shared" si="269"/>
        <v>LIC1700</v>
      </c>
      <c r="E2625" s="125" t="str">
        <f t="shared" si="270"/>
        <v>LIC1700</v>
      </c>
      <c r="F2625" s="158" t="str">
        <f>+VLOOKUP(H2625,'code mapping'!A:C,3,0)</f>
        <v>LIC170</v>
      </c>
      <c r="G2625" s="127" t="s">
        <v>453</v>
      </c>
      <c r="H2625" s="127" t="s">
        <v>773</v>
      </c>
      <c r="I2625" s="127" t="s">
        <v>774</v>
      </c>
      <c r="J2625" s="128">
        <v>212000</v>
      </c>
      <c r="K2625" s="127" t="s">
        <v>487</v>
      </c>
      <c r="L2625" s="151">
        <v>213166</v>
      </c>
      <c r="M2625" s="128">
        <v>0</v>
      </c>
      <c r="N2625" s="127" t="s">
        <v>507</v>
      </c>
      <c r="O2625" s="127" t="s">
        <v>457</v>
      </c>
      <c r="P2625" s="128">
        <v>0</v>
      </c>
      <c r="Q2625" s="128">
        <v>23767.97</v>
      </c>
      <c r="R2625" s="128">
        <v>0</v>
      </c>
      <c r="S2625" s="128">
        <v>0</v>
      </c>
      <c r="T2625" s="128">
        <v>0</v>
      </c>
      <c r="U2625" s="128">
        <v>23767.97</v>
      </c>
      <c r="V2625" s="128">
        <v>0</v>
      </c>
      <c r="W2625" s="128">
        <v>23767.97</v>
      </c>
      <c r="X2625" s="128">
        <v>0</v>
      </c>
      <c r="Y2625" s="128">
        <v>0</v>
      </c>
      <c r="Z2625" s="128">
        <v>0</v>
      </c>
      <c r="AA2625" s="128">
        <v>23767.97</v>
      </c>
      <c r="AB2625" s="126">
        <f t="shared" si="271"/>
        <v>-2.3767969999999999E-3</v>
      </c>
      <c r="AC2625" s="122" t="s">
        <v>1838</v>
      </c>
      <c r="AD2625" s="123">
        <f t="shared" si="267"/>
        <v>1983.9723217250009</v>
      </c>
    </row>
    <row r="2626" spans="1:30" ht="12.75" hidden="1" customHeight="1">
      <c r="A2626" s="125" t="str">
        <f t="shared" si="268"/>
        <v>LIC170Management Fee Payable</v>
      </c>
      <c r="B2626" s="125">
        <f>+IFERROR(VLOOKUP(L2626,'TB mapping'!A:D,4,0),0)</f>
        <v>0</v>
      </c>
      <c r="C2626" s="125">
        <f>+IFERROR(VLOOKUP(L2626,'TB mapping'!A:C,3,0),0)</f>
        <v>0</v>
      </c>
      <c r="D2626" s="125" t="str">
        <f t="shared" si="269"/>
        <v>LIC1700</v>
      </c>
      <c r="E2626" s="125" t="str">
        <f t="shared" si="270"/>
        <v>LIC1700</v>
      </c>
      <c r="F2626" s="158" t="str">
        <f>+VLOOKUP(H2626,'code mapping'!A:C,3,0)</f>
        <v>LIC170</v>
      </c>
      <c r="G2626" s="127" t="s">
        <v>453</v>
      </c>
      <c r="H2626" s="127" t="s">
        <v>773</v>
      </c>
      <c r="I2626" s="127" t="s">
        <v>774</v>
      </c>
      <c r="J2626" s="128">
        <v>213000</v>
      </c>
      <c r="K2626" s="127" t="s">
        <v>508</v>
      </c>
      <c r="L2626" s="151">
        <v>213500</v>
      </c>
      <c r="M2626" s="128">
        <v>0</v>
      </c>
      <c r="N2626" s="127" t="s">
        <v>509</v>
      </c>
      <c r="O2626" s="127" t="s">
        <v>457</v>
      </c>
      <c r="P2626" s="128">
        <v>0</v>
      </c>
      <c r="Q2626" s="128">
        <v>131137.49</v>
      </c>
      <c r="R2626" s="128">
        <v>0</v>
      </c>
      <c r="S2626" s="128">
        <v>0</v>
      </c>
      <c r="T2626" s="128">
        <v>0</v>
      </c>
      <c r="U2626" s="128">
        <v>131137.49</v>
      </c>
      <c r="V2626" s="128">
        <v>0</v>
      </c>
      <c r="W2626" s="128">
        <v>131137.49</v>
      </c>
      <c r="X2626" s="128">
        <v>0</v>
      </c>
      <c r="Y2626" s="128">
        <v>0</v>
      </c>
      <c r="Z2626" s="128">
        <v>0</v>
      </c>
      <c r="AA2626" s="128">
        <v>131137.49</v>
      </c>
      <c r="AB2626" s="126">
        <f t="shared" si="271"/>
        <v>-1.3113748999999999E-2</v>
      </c>
      <c r="AC2626" s="122" t="s">
        <v>1838</v>
      </c>
      <c r="AD2626" s="123">
        <f t="shared" si="267"/>
        <v>1983.9723217250009</v>
      </c>
    </row>
    <row r="2627" spans="1:30" ht="12.75" hidden="1" customHeight="1">
      <c r="A2627" s="125" t="str">
        <f t="shared" si="268"/>
        <v>LIC170Other Adjustment A/c.</v>
      </c>
      <c r="B2627" s="125">
        <f>+IFERROR(VLOOKUP(L2627,'TB mapping'!A:D,4,0),0)</f>
        <v>0</v>
      </c>
      <c r="C2627" s="125">
        <f>+IFERROR(VLOOKUP(L2627,'TB mapping'!A:C,3,0),0)</f>
        <v>0</v>
      </c>
      <c r="D2627" s="125" t="str">
        <f t="shared" si="269"/>
        <v>LIC1700</v>
      </c>
      <c r="E2627" s="125" t="str">
        <f t="shared" si="270"/>
        <v>LIC1700</v>
      </c>
      <c r="F2627" s="158" t="str">
        <f>+VLOOKUP(H2627,'code mapping'!A:C,3,0)</f>
        <v>LIC170</v>
      </c>
      <c r="G2627" s="127" t="s">
        <v>453</v>
      </c>
      <c r="H2627" s="127" t="s">
        <v>773</v>
      </c>
      <c r="I2627" s="127" t="s">
        <v>774</v>
      </c>
      <c r="J2627" s="128">
        <v>220000</v>
      </c>
      <c r="K2627" s="127" t="s">
        <v>510</v>
      </c>
      <c r="L2627" s="151">
        <v>190000</v>
      </c>
      <c r="M2627" s="128">
        <v>0</v>
      </c>
      <c r="N2627" s="127" t="s">
        <v>511</v>
      </c>
      <c r="O2627" s="127" t="s">
        <v>457</v>
      </c>
      <c r="P2627" s="128">
        <v>-2.33</v>
      </c>
      <c r="Q2627" s="128">
        <v>0</v>
      </c>
      <c r="R2627" s="128">
        <v>0</v>
      </c>
      <c r="S2627" s="128">
        <v>0</v>
      </c>
      <c r="T2627" s="128">
        <v>-2.33</v>
      </c>
      <c r="U2627" s="128">
        <v>0</v>
      </c>
      <c r="V2627" s="128">
        <v>-2.33</v>
      </c>
      <c r="W2627" s="128">
        <v>0</v>
      </c>
      <c r="X2627" s="128">
        <v>0</v>
      </c>
      <c r="Y2627" s="128">
        <v>0</v>
      </c>
      <c r="Z2627" s="128">
        <v>-2.33</v>
      </c>
      <c r="AA2627" s="128">
        <v>0</v>
      </c>
      <c r="AB2627" s="126">
        <f t="shared" si="271"/>
        <v>2.3300000000000001E-7</v>
      </c>
      <c r="AC2627" s="122" t="s">
        <v>1838</v>
      </c>
      <c r="AD2627" s="123">
        <f t="shared" si="267"/>
        <v>1983.9723217250009</v>
      </c>
    </row>
    <row r="2628" spans="1:30" ht="12.75" hidden="1" customHeight="1">
      <c r="A2628" s="125" t="str">
        <f t="shared" si="268"/>
        <v>LIC170Prov For Withholding Brokerage</v>
      </c>
      <c r="B2628" s="125">
        <f>+IFERROR(VLOOKUP(L2628,'TB mapping'!A:D,4,0),0)</f>
        <v>0</v>
      </c>
      <c r="C2628" s="125">
        <f>+IFERROR(VLOOKUP(L2628,'TB mapping'!A:C,3,0),0)</f>
        <v>0</v>
      </c>
      <c r="D2628" s="125" t="str">
        <f t="shared" si="269"/>
        <v>LIC1700</v>
      </c>
      <c r="E2628" s="125" t="str">
        <f t="shared" si="270"/>
        <v>LIC1700</v>
      </c>
      <c r="F2628" s="158" t="str">
        <f>+VLOOKUP(H2628,'code mapping'!A:C,3,0)</f>
        <v>LIC170</v>
      </c>
      <c r="G2628" s="127" t="s">
        <v>453</v>
      </c>
      <c r="H2628" s="127" t="s">
        <v>773</v>
      </c>
      <c r="I2628" s="127" t="s">
        <v>774</v>
      </c>
      <c r="J2628" s="128">
        <v>220000</v>
      </c>
      <c r="K2628" s="127" t="s">
        <v>510</v>
      </c>
      <c r="L2628" s="151">
        <v>210162</v>
      </c>
      <c r="M2628" s="128">
        <v>0</v>
      </c>
      <c r="N2628" s="127" t="s">
        <v>512</v>
      </c>
      <c r="O2628" s="127" t="s">
        <v>457</v>
      </c>
      <c r="P2628" s="128">
        <v>0</v>
      </c>
      <c r="Q2628" s="128">
        <v>37420.61</v>
      </c>
      <c r="R2628" s="128">
        <v>0</v>
      </c>
      <c r="S2628" s="128">
        <v>0</v>
      </c>
      <c r="T2628" s="128">
        <v>0</v>
      </c>
      <c r="U2628" s="128">
        <v>37420.61</v>
      </c>
      <c r="V2628" s="128">
        <v>0</v>
      </c>
      <c r="W2628" s="128">
        <v>37420.61</v>
      </c>
      <c r="X2628" s="128">
        <v>0</v>
      </c>
      <c r="Y2628" s="128">
        <v>0</v>
      </c>
      <c r="Z2628" s="128">
        <v>0</v>
      </c>
      <c r="AA2628" s="128">
        <v>37420.61</v>
      </c>
      <c r="AB2628" s="126">
        <f t="shared" si="271"/>
        <v>-3.7420610000000001E-3</v>
      </c>
      <c r="AC2628" s="122" t="s">
        <v>1838</v>
      </c>
      <c r="AD2628" s="123">
        <f t="shared" si="267"/>
        <v>1983.9723217250009</v>
      </c>
    </row>
    <row r="2629" spans="1:30" ht="12.75" hidden="1" customHeight="1">
      <c r="A2629" s="125" t="str">
        <f t="shared" si="268"/>
        <v>LIC170Prov  Withholding Brok 2016-17</v>
      </c>
      <c r="B2629" s="125">
        <f>+IFERROR(VLOOKUP(L2629,'TB mapping'!A:D,4,0),0)</f>
        <v>0</v>
      </c>
      <c r="C2629" s="125">
        <f>+IFERROR(VLOOKUP(L2629,'TB mapping'!A:C,3,0),0)</f>
        <v>0</v>
      </c>
      <c r="D2629" s="125" t="str">
        <f t="shared" si="269"/>
        <v>LIC1700</v>
      </c>
      <c r="E2629" s="125" t="str">
        <f t="shared" si="270"/>
        <v>LIC1700</v>
      </c>
      <c r="F2629" s="158" t="str">
        <f>+VLOOKUP(H2629,'code mapping'!A:C,3,0)</f>
        <v>LIC170</v>
      </c>
      <c r="G2629" s="127" t="s">
        <v>453</v>
      </c>
      <c r="H2629" s="127" t="s">
        <v>773</v>
      </c>
      <c r="I2629" s="127" t="s">
        <v>774</v>
      </c>
      <c r="J2629" s="128">
        <v>220000</v>
      </c>
      <c r="K2629" s="127" t="s">
        <v>510</v>
      </c>
      <c r="L2629" s="151">
        <v>210163</v>
      </c>
      <c r="M2629" s="128">
        <v>0</v>
      </c>
      <c r="N2629" s="127" t="s">
        <v>513</v>
      </c>
      <c r="O2629" s="127" t="s">
        <v>457</v>
      </c>
      <c r="P2629" s="128">
        <v>0</v>
      </c>
      <c r="Q2629" s="128">
        <v>208761.19</v>
      </c>
      <c r="R2629" s="128">
        <v>0</v>
      </c>
      <c r="S2629" s="128">
        <v>0</v>
      </c>
      <c r="T2629" s="128">
        <v>0</v>
      </c>
      <c r="U2629" s="128">
        <v>208761.19</v>
      </c>
      <c r="V2629" s="128">
        <v>0</v>
      </c>
      <c r="W2629" s="128">
        <v>208761.19</v>
      </c>
      <c r="X2629" s="128">
        <v>0</v>
      </c>
      <c r="Y2629" s="128">
        <v>0</v>
      </c>
      <c r="Z2629" s="128">
        <v>0</v>
      </c>
      <c r="AA2629" s="128">
        <v>208761.19</v>
      </c>
      <c r="AB2629" s="126">
        <f t="shared" si="271"/>
        <v>-2.0876118999999999E-2</v>
      </c>
      <c r="AC2629" s="122" t="s">
        <v>1838</v>
      </c>
      <c r="AD2629" s="123">
        <f t="shared" si="267"/>
        <v>1983.9723217250009</v>
      </c>
    </row>
    <row r="2630" spans="1:30" ht="12.75" hidden="1" customHeight="1">
      <c r="A2630" s="125" t="str">
        <f t="shared" si="268"/>
        <v>LIC170Unit Capital</v>
      </c>
      <c r="B2630" s="125">
        <f>+IFERROR(VLOOKUP(L2630,'TB mapping'!A:D,4,0),0)</f>
        <v>0</v>
      </c>
      <c r="C2630" s="125">
        <f>+IFERROR(VLOOKUP(L2630,'TB mapping'!A:C,3,0),0)</f>
        <v>0</v>
      </c>
      <c r="D2630" s="125" t="str">
        <f t="shared" si="269"/>
        <v>LIC1700</v>
      </c>
      <c r="E2630" s="125" t="str">
        <f t="shared" si="270"/>
        <v>LIC1700</v>
      </c>
      <c r="F2630" s="158" t="str">
        <f>+VLOOKUP(H2630,'code mapping'!A:C,3,0)</f>
        <v>LIC170</v>
      </c>
      <c r="G2630" s="127" t="s">
        <v>453</v>
      </c>
      <c r="H2630" s="127" t="s">
        <v>773</v>
      </c>
      <c r="I2630" s="127" t="s">
        <v>774</v>
      </c>
      <c r="J2630" s="128">
        <v>301000</v>
      </c>
      <c r="K2630" s="127" t="s">
        <v>514</v>
      </c>
      <c r="L2630" s="151">
        <v>310000</v>
      </c>
      <c r="M2630" s="128">
        <v>0</v>
      </c>
      <c r="N2630" s="127" t="s">
        <v>515</v>
      </c>
      <c r="O2630" s="127" t="s">
        <v>457</v>
      </c>
      <c r="P2630" s="128">
        <v>0</v>
      </c>
      <c r="Q2630" s="128">
        <v>1983854089.6800001</v>
      </c>
      <c r="R2630" s="128">
        <v>0</v>
      </c>
      <c r="S2630" s="128">
        <v>0</v>
      </c>
      <c r="T2630" s="128">
        <v>0</v>
      </c>
      <c r="U2630" s="128">
        <v>1983854089.6800001</v>
      </c>
      <c r="V2630" s="128">
        <v>0</v>
      </c>
      <c r="W2630" s="128">
        <v>1983854089.6800001</v>
      </c>
      <c r="X2630" s="128">
        <v>0</v>
      </c>
      <c r="Y2630" s="128">
        <v>0</v>
      </c>
      <c r="Z2630" s="128">
        <v>0</v>
      </c>
      <c r="AA2630" s="128">
        <v>1983854089.6800001</v>
      </c>
      <c r="AB2630" s="126">
        <f t="shared" si="271"/>
        <v>-198.38540896800001</v>
      </c>
      <c r="AC2630" s="122" t="s">
        <v>1838</v>
      </c>
      <c r="AD2630" s="123">
        <f t="shared" si="267"/>
        <v>1983.9723217250009</v>
      </c>
    </row>
    <row r="2631" spans="1:30" ht="12.75" hidden="1" customHeight="1">
      <c r="A2631" s="125" t="str">
        <f t="shared" si="268"/>
        <v>LIC170Unit Premium Reserve- RG</v>
      </c>
      <c r="B2631" s="125">
        <f>+IFERROR(VLOOKUP(L2631,'TB mapping'!A:D,4,0),0)</f>
        <v>0</v>
      </c>
      <c r="C2631" s="125">
        <f>+IFERROR(VLOOKUP(L2631,'TB mapping'!A:C,3,0),0)</f>
        <v>0</v>
      </c>
      <c r="D2631" s="125" t="str">
        <f t="shared" si="269"/>
        <v>LIC1700</v>
      </c>
      <c r="E2631" s="125" t="str">
        <f t="shared" si="270"/>
        <v>LIC1700</v>
      </c>
      <c r="F2631" s="158" t="str">
        <f>+VLOOKUP(H2631,'code mapping'!A:C,3,0)</f>
        <v>LIC170</v>
      </c>
      <c r="G2631" s="127" t="s">
        <v>453</v>
      </c>
      <c r="H2631" s="127" t="s">
        <v>773</v>
      </c>
      <c r="I2631" s="127" t="s">
        <v>774</v>
      </c>
      <c r="J2631" s="128">
        <v>303000</v>
      </c>
      <c r="K2631" s="127" t="s">
        <v>516</v>
      </c>
      <c r="L2631" s="151">
        <v>303201</v>
      </c>
      <c r="M2631" s="128">
        <v>0</v>
      </c>
      <c r="N2631" s="127" t="s">
        <v>517</v>
      </c>
      <c r="O2631" s="127" t="s">
        <v>457</v>
      </c>
      <c r="P2631" s="128">
        <v>0</v>
      </c>
      <c r="Q2631" s="128">
        <v>420536799.25</v>
      </c>
      <c r="R2631" s="128">
        <v>0</v>
      </c>
      <c r="S2631" s="128">
        <v>0</v>
      </c>
      <c r="T2631" s="128">
        <v>0</v>
      </c>
      <c r="U2631" s="128">
        <v>420536799.25</v>
      </c>
      <c r="V2631" s="128">
        <v>0</v>
      </c>
      <c r="W2631" s="128">
        <v>420536799.25</v>
      </c>
      <c r="X2631" s="128">
        <v>0</v>
      </c>
      <c r="Y2631" s="128">
        <v>0</v>
      </c>
      <c r="Z2631" s="128">
        <v>0</v>
      </c>
      <c r="AA2631" s="128">
        <v>420536799.25</v>
      </c>
      <c r="AB2631" s="126">
        <f t="shared" si="271"/>
        <v>-42.053679924999997</v>
      </c>
      <c r="AC2631" s="122" t="s">
        <v>1838</v>
      </c>
      <c r="AD2631" s="123">
        <f t="shared" si="267"/>
        <v>1983.9723217250009</v>
      </c>
    </row>
    <row r="2632" spans="1:30" ht="12.75" hidden="1" customHeight="1">
      <c r="A2632" s="125" t="str">
        <f t="shared" si="268"/>
        <v>LIC170Unit Premium Reserve- RD</v>
      </c>
      <c r="B2632" s="125">
        <f>+IFERROR(VLOOKUP(L2632,'TB mapping'!A:D,4,0),0)</f>
        <v>0</v>
      </c>
      <c r="C2632" s="125">
        <f>+IFERROR(VLOOKUP(L2632,'TB mapping'!A:C,3,0),0)</f>
        <v>0</v>
      </c>
      <c r="D2632" s="125" t="str">
        <f t="shared" si="269"/>
        <v>LIC1700</v>
      </c>
      <c r="E2632" s="125" t="str">
        <f t="shared" si="270"/>
        <v>LIC1700</v>
      </c>
      <c r="F2632" s="158" t="str">
        <f>+VLOOKUP(H2632,'code mapping'!A:C,3,0)</f>
        <v>LIC170</v>
      </c>
      <c r="G2632" s="127" t="s">
        <v>453</v>
      </c>
      <c r="H2632" s="127" t="s">
        <v>773</v>
      </c>
      <c r="I2632" s="127" t="s">
        <v>774</v>
      </c>
      <c r="J2632" s="128">
        <v>303000</v>
      </c>
      <c r="K2632" s="127" t="s">
        <v>516</v>
      </c>
      <c r="L2632" s="151">
        <v>303202</v>
      </c>
      <c r="M2632" s="128">
        <v>0</v>
      </c>
      <c r="N2632" s="127" t="s">
        <v>518</v>
      </c>
      <c r="O2632" s="127" t="s">
        <v>457</v>
      </c>
      <c r="P2632" s="128">
        <v>0</v>
      </c>
      <c r="Q2632" s="128">
        <v>25546407.620000001</v>
      </c>
      <c r="R2632" s="128">
        <v>0</v>
      </c>
      <c r="S2632" s="128">
        <v>0</v>
      </c>
      <c r="T2632" s="128">
        <v>0</v>
      </c>
      <c r="U2632" s="128">
        <v>25546407.620000001</v>
      </c>
      <c r="V2632" s="128">
        <v>0</v>
      </c>
      <c r="W2632" s="128">
        <v>25546407.620000001</v>
      </c>
      <c r="X2632" s="128">
        <v>0</v>
      </c>
      <c r="Y2632" s="128">
        <v>0</v>
      </c>
      <c r="Z2632" s="128">
        <v>0</v>
      </c>
      <c r="AA2632" s="128">
        <v>25546407.620000001</v>
      </c>
      <c r="AB2632" s="126">
        <f t="shared" si="271"/>
        <v>-2.554640762</v>
      </c>
      <c r="AC2632" s="122" t="s">
        <v>1838</v>
      </c>
      <c r="AD2632" s="123">
        <f t="shared" si="267"/>
        <v>1983.9723217250009</v>
      </c>
    </row>
    <row r="2633" spans="1:30" ht="12.75" hidden="1" customHeight="1">
      <c r="A2633" s="125" t="str">
        <f t="shared" si="268"/>
        <v>LIC170Unit Premium Reserve-GDP</v>
      </c>
      <c r="B2633" s="125">
        <f>+IFERROR(VLOOKUP(L2633,'TB mapping'!A:D,4,0),0)</f>
        <v>0</v>
      </c>
      <c r="C2633" s="125">
        <f>+IFERROR(VLOOKUP(L2633,'TB mapping'!A:C,3,0),0)</f>
        <v>0</v>
      </c>
      <c r="D2633" s="125" t="str">
        <f t="shared" si="269"/>
        <v>LIC1700</v>
      </c>
      <c r="E2633" s="125" t="str">
        <f t="shared" si="270"/>
        <v>LIC1700</v>
      </c>
      <c r="F2633" s="158" t="str">
        <f>+VLOOKUP(H2633,'code mapping'!A:C,3,0)</f>
        <v>LIC170</v>
      </c>
      <c r="G2633" s="127" t="s">
        <v>453</v>
      </c>
      <c r="H2633" s="127" t="s">
        <v>773</v>
      </c>
      <c r="I2633" s="127" t="s">
        <v>774</v>
      </c>
      <c r="J2633" s="128">
        <v>303000</v>
      </c>
      <c r="K2633" s="127" t="s">
        <v>516</v>
      </c>
      <c r="L2633" s="151">
        <v>303245</v>
      </c>
      <c r="M2633" s="128">
        <v>0</v>
      </c>
      <c r="N2633" s="127" t="s">
        <v>519</v>
      </c>
      <c r="O2633" s="127" t="s">
        <v>457</v>
      </c>
      <c r="P2633" s="128">
        <v>-10257088.189999999</v>
      </c>
      <c r="Q2633" s="128">
        <v>0</v>
      </c>
      <c r="R2633" s="128">
        <v>0</v>
      </c>
      <c r="S2633" s="128">
        <v>0</v>
      </c>
      <c r="T2633" s="128">
        <v>-10257088.189999999</v>
      </c>
      <c r="U2633" s="128">
        <v>0</v>
      </c>
      <c r="V2633" s="128">
        <v>-10257088.189999999</v>
      </c>
      <c r="W2633" s="128">
        <v>0</v>
      </c>
      <c r="X2633" s="128">
        <v>0</v>
      </c>
      <c r="Y2633" s="128">
        <v>0</v>
      </c>
      <c r="Z2633" s="128">
        <v>-10257088.189999999</v>
      </c>
      <c r="AA2633" s="128">
        <v>0</v>
      </c>
      <c r="AB2633" s="126">
        <f t="shared" si="271"/>
        <v>1.0257088189999999</v>
      </c>
      <c r="AC2633" s="122" t="s">
        <v>1838</v>
      </c>
      <c r="AD2633" s="123">
        <f t="shared" si="267"/>
        <v>1983.9723217250009</v>
      </c>
    </row>
    <row r="2634" spans="1:30" ht="12.75" hidden="1" customHeight="1">
      <c r="A2634" s="125" t="str">
        <f t="shared" si="268"/>
        <v>LIC170Unit Premium Reserve-DDP</v>
      </c>
      <c r="B2634" s="125">
        <f>+IFERROR(VLOOKUP(L2634,'TB mapping'!A:D,4,0),0)</f>
        <v>0</v>
      </c>
      <c r="C2634" s="125">
        <f>+IFERROR(VLOOKUP(L2634,'TB mapping'!A:C,3,0),0)</f>
        <v>0</v>
      </c>
      <c r="D2634" s="125" t="str">
        <f t="shared" si="269"/>
        <v>LIC1700</v>
      </c>
      <c r="E2634" s="125" t="str">
        <f t="shared" si="270"/>
        <v>LIC1700</v>
      </c>
      <c r="F2634" s="158" t="str">
        <f>+VLOOKUP(H2634,'code mapping'!A:C,3,0)</f>
        <v>LIC170</v>
      </c>
      <c r="G2634" s="127" t="s">
        <v>453</v>
      </c>
      <c r="H2634" s="127" t="s">
        <v>773</v>
      </c>
      <c r="I2634" s="127" t="s">
        <v>774</v>
      </c>
      <c r="J2634" s="128">
        <v>303000</v>
      </c>
      <c r="K2634" s="127" t="s">
        <v>516</v>
      </c>
      <c r="L2634" s="151">
        <v>303246</v>
      </c>
      <c r="M2634" s="128">
        <v>0</v>
      </c>
      <c r="N2634" s="127" t="s">
        <v>520</v>
      </c>
      <c r="O2634" s="127" t="s">
        <v>457</v>
      </c>
      <c r="P2634" s="128">
        <v>0</v>
      </c>
      <c r="Q2634" s="128">
        <v>573444.97</v>
      </c>
      <c r="R2634" s="128">
        <v>0</v>
      </c>
      <c r="S2634" s="128">
        <v>0</v>
      </c>
      <c r="T2634" s="128">
        <v>0</v>
      </c>
      <c r="U2634" s="128">
        <v>573444.97</v>
      </c>
      <c r="V2634" s="128">
        <v>0</v>
      </c>
      <c r="W2634" s="128">
        <v>573444.97</v>
      </c>
      <c r="X2634" s="128">
        <v>0</v>
      </c>
      <c r="Y2634" s="128">
        <v>0</v>
      </c>
      <c r="Z2634" s="128">
        <v>0</v>
      </c>
      <c r="AA2634" s="128">
        <v>573444.97</v>
      </c>
      <c r="AB2634" s="126">
        <f t="shared" si="271"/>
        <v>-5.7344496999999994E-2</v>
      </c>
      <c r="AC2634" s="122" t="s">
        <v>1838</v>
      </c>
      <c r="AD2634" s="123">
        <f t="shared" si="267"/>
        <v>1983.9723217250009</v>
      </c>
    </row>
    <row r="2635" spans="1:30" ht="12.75" hidden="1" customHeight="1">
      <c r="A2635" s="125" t="str">
        <f t="shared" si="268"/>
        <v>LIC170Net Earnings</v>
      </c>
      <c r="B2635" s="125">
        <f>+IFERROR(VLOOKUP(L2635,'TB mapping'!A:D,4,0),0)</f>
        <v>0</v>
      </c>
      <c r="C2635" s="125">
        <f>+IFERROR(VLOOKUP(L2635,'TB mapping'!A:C,3,0),0)</f>
        <v>0</v>
      </c>
      <c r="D2635" s="125" t="str">
        <f t="shared" si="269"/>
        <v>LIC1700</v>
      </c>
      <c r="E2635" s="125" t="str">
        <f t="shared" si="270"/>
        <v>LIC1700</v>
      </c>
      <c r="F2635" s="158" t="str">
        <f>+VLOOKUP(H2635,'code mapping'!A:C,3,0)</f>
        <v>LIC170</v>
      </c>
      <c r="G2635" s="127" t="s">
        <v>453</v>
      </c>
      <c r="H2635" s="127" t="s">
        <v>773</v>
      </c>
      <c r="I2635" s="127" t="s">
        <v>774</v>
      </c>
      <c r="J2635" s="128">
        <v>303000</v>
      </c>
      <c r="K2635" s="127" t="s">
        <v>516</v>
      </c>
      <c r="L2635" s="151">
        <v>390000</v>
      </c>
      <c r="M2635" s="128">
        <v>0</v>
      </c>
      <c r="N2635" s="127" t="s">
        <v>521</v>
      </c>
      <c r="O2635" s="127" t="s">
        <v>457</v>
      </c>
      <c r="P2635" s="128">
        <v>-17770926.489999998</v>
      </c>
      <c r="Q2635" s="128">
        <v>0</v>
      </c>
      <c r="R2635" s="128">
        <v>0</v>
      </c>
      <c r="S2635" s="128">
        <v>0</v>
      </c>
      <c r="T2635" s="128">
        <v>-17770926.489999998</v>
      </c>
      <c r="U2635" s="128">
        <v>0</v>
      </c>
      <c r="V2635" s="128">
        <v>-17770926.489999998</v>
      </c>
      <c r="W2635" s="128">
        <v>0</v>
      </c>
      <c r="X2635" s="128">
        <v>0</v>
      </c>
      <c r="Y2635" s="128">
        <v>0</v>
      </c>
      <c r="Z2635" s="128">
        <v>-17770926.489999998</v>
      </c>
      <c r="AA2635" s="128">
        <v>0</v>
      </c>
      <c r="AB2635" s="126">
        <f t="shared" si="271"/>
        <v>1.7770926489999999</v>
      </c>
      <c r="AC2635" s="122" t="s">
        <v>1838</v>
      </c>
      <c r="AD2635" s="123">
        <f t="shared" si="267"/>
        <v>1983.9723217250009</v>
      </c>
    </row>
    <row r="2636" spans="1:30" ht="12.75" hidden="1" customHeight="1">
      <c r="A2636" s="125" t="str">
        <f t="shared" si="268"/>
        <v>LIC170R/L G/P - Equities</v>
      </c>
      <c r="B2636" s="125">
        <f>+IFERROR(VLOOKUP(L2636,'TB mapping'!A:D,4,0),0)</f>
        <v>0</v>
      </c>
      <c r="C2636" s="125">
        <f>+IFERROR(VLOOKUP(L2636,'TB mapping'!A:C,3,0),0)</f>
        <v>5.3</v>
      </c>
      <c r="D2636" s="125" t="str">
        <f t="shared" si="269"/>
        <v>LIC1700</v>
      </c>
      <c r="E2636" s="125" t="str">
        <f t="shared" si="270"/>
        <v>LIC1705.3</v>
      </c>
      <c r="F2636" s="158" t="str">
        <f>+VLOOKUP(H2636,'code mapping'!A:C,3,0)</f>
        <v>LIC170</v>
      </c>
      <c r="G2636" s="127" t="s">
        <v>453</v>
      </c>
      <c r="H2636" s="127" t="s">
        <v>773</v>
      </c>
      <c r="I2636" s="127" t="s">
        <v>774</v>
      </c>
      <c r="J2636" s="128">
        <v>410000</v>
      </c>
      <c r="K2636" s="127" t="s">
        <v>522</v>
      </c>
      <c r="L2636" s="151">
        <v>411100</v>
      </c>
      <c r="M2636" s="128">
        <v>0</v>
      </c>
      <c r="N2636" s="127" t="s">
        <v>596</v>
      </c>
      <c r="O2636" s="127" t="s">
        <v>457</v>
      </c>
      <c r="P2636" s="128">
        <v>0</v>
      </c>
      <c r="Q2636" s="128">
        <v>261755121.77000001</v>
      </c>
      <c r="R2636" s="128">
        <v>0</v>
      </c>
      <c r="S2636" s="128">
        <v>0</v>
      </c>
      <c r="T2636" s="128">
        <v>0</v>
      </c>
      <c r="U2636" s="128">
        <v>261755121.77000001</v>
      </c>
      <c r="V2636" s="128">
        <v>0</v>
      </c>
      <c r="W2636" s="128">
        <v>261755121.77000001</v>
      </c>
      <c r="X2636" s="128">
        <v>0</v>
      </c>
      <c r="Y2636" s="128">
        <v>0</v>
      </c>
      <c r="Z2636" s="128">
        <v>0</v>
      </c>
      <c r="AA2636" s="128">
        <v>261755121.77000001</v>
      </c>
      <c r="AB2636" s="126">
        <f t="shared" si="271"/>
        <v>-26.175512177000002</v>
      </c>
      <c r="AC2636" s="122" t="s">
        <v>1838</v>
      </c>
      <c r="AD2636" s="123">
        <f>SUMIF(E:E,E2636,AB:AB)</f>
        <v>-24.282141472000003</v>
      </c>
    </row>
    <row r="2637" spans="1:30" ht="12.75" hidden="1" customHeight="1">
      <c r="A2637" s="125" t="str">
        <f t="shared" si="268"/>
        <v>LIC170Profit on Sale-Mutual Fd Units</v>
      </c>
      <c r="B2637" s="125">
        <f>+IFERROR(VLOOKUP(L2637,'TB mapping'!A:D,4,0),0)</f>
        <v>0</v>
      </c>
      <c r="C2637" s="125">
        <f>+IFERROR(VLOOKUP(L2637,'TB mapping'!A:C,3,0),0)</f>
        <v>5.3</v>
      </c>
      <c r="D2637" s="125" t="str">
        <f t="shared" si="269"/>
        <v>LIC1700</v>
      </c>
      <c r="E2637" s="125" t="str">
        <f t="shared" si="270"/>
        <v>LIC1705.3</v>
      </c>
      <c r="F2637" s="158" t="str">
        <f>+VLOOKUP(H2637,'code mapping'!A:C,3,0)</f>
        <v>LIC170</v>
      </c>
      <c r="G2637" s="127" t="s">
        <v>453</v>
      </c>
      <c r="H2637" s="127" t="s">
        <v>773</v>
      </c>
      <c r="I2637" s="127" t="s">
        <v>774</v>
      </c>
      <c r="J2637" s="128">
        <v>410000</v>
      </c>
      <c r="K2637" s="127" t="s">
        <v>522</v>
      </c>
      <c r="L2637" s="151">
        <v>415102</v>
      </c>
      <c r="M2637" s="128">
        <v>0</v>
      </c>
      <c r="N2637" s="127" t="s">
        <v>526</v>
      </c>
      <c r="O2637" s="127" t="s">
        <v>457</v>
      </c>
      <c r="P2637" s="128">
        <v>0</v>
      </c>
      <c r="Q2637" s="128">
        <v>329204.23</v>
      </c>
      <c r="R2637" s="128">
        <v>0</v>
      </c>
      <c r="S2637" s="128">
        <v>0</v>
      </c>
      <c r="T2637" s="128">
        <v>0</v>
      </c>
      <c r="U2637" s="128">
        <v>329204.23</v>
      </c>
      <c r="V2637" s="128">
        <v>0</v>
      </c>
      <c r="W2637" s="128">
        <v>329204.23</v>
      </c>
      <c r="X2637" s="128">
        <v>0</v>
      </c>
      <c r="Y2637" s="128">
        <v>0</v>
      </c>
      <c r="Z2637" s="128">
        <v>0</v>
      </c>
      <c r="AA2637" s="128">
        <v>329204.23</v>
      </c>
      <c r="AB2637" s="126">
        <f t="shared" si="271"/>
        <v>-3.2920422999999997E-2</v>
      </c>
      <c r="AC2637" s="122" t="s">
        <v>1838</v>
      </c>
      <c r="AD2637" s="123">
        <f>SUMIF(E:E,E2637,AB:AB)</f>
        <v>-24.282141472000003</v>
      </c>
    </row>
    <row r="2638" spans="1:30" ht="12.75" hidden="1" customHeight="1">
      <c r="A2638" s="125" t="str">
        <f t="shared" si="268"/>
        <v>LIC170UR/L G/P - Equities</v>
      </c>
      <c r="B2638" s="125">
        <f>+IFERROR(VLOOKUP(L2638,'TB mapping'!A:D,4,0),0)</f>
        <v>0</v>
      </c>
      <c r="C2638" s="125" t="str">
        <f>+IFERROR(VLOOKUP(L2638,'TB mapping'!A:C,3,0),0)</f>
        <v>Ignore</v>
      </c>
      <c r="D2638" s="125" t="str">
        <f t="shared" si="269"/>
        <v>LIC1700</v>
      </c>
      <c r="E2638" s="125" t="str">
        <f t="shared" si="270"/>
        <v>LIC170Ignore</v>
      </c>
      <c r="F2638" s="158" t="str">
        <f>+VLOOKUP(H2638,'code mapping'!A:C,3,0)</f>
        <v>LIC170</v>
      </c>
      <c r="G2638" s="127" t="s">
        <v>453</v>
      </c>
      <c r="H2638" s="127" t="s">
        <v>773</v>
      </c>
      <c r="I2638" s="127" t="s">
        <v>774</v>
      </c>
      <c r="J2638" s="128">
        <v>430000</v>
      </c>
      <c r="K2638" s="127" t="s">
        <v>528</v>
      </c>
      <c r="L2638" s="151">
        <v>431100</v>
      </c>
      <c r="M2638" s="128">
        <v>0</v>
      </c>
      <c r="N2638" s="127" t="s">
        <v>597</v>
      </c>
      <c r="O2638" s="127" t="s">
        <v>457</v>
      </c>
      <c r="P2638" s="128">
        <v>0</v>
      </c>
      <c r="Q2638" s="128">
        <v>241808773.33000001</v>
      </c>
      <c r="R2638" s="128">
        <v>0</v>
      </c>
      <c r="S2638" s="128">
        <v>0</v>
      </c>
      <c r="T2638" s="128">
        <v>0</v>
      </c>
      <c r="U2638" s="128">
        <v>241808773.33000001</v>
      </c>
      <c r="V2638" s="128">
        <v>0</v>
      </c>
      <c r="W2638" s="128">
        <v>241808773.33000001</v>
      </c>
      <c r="X2638" s="128">
        <v>0</v>
      </c>
      <c r="Y2638" s="128">
        <v>0</v>
      </c>
      <c r="Z2638" s="128">
        <v>0</v>
      </c>
      <c r="AA2638" s="128">
        <v>241808773.33000001</v>
      </c>
      <c r="AB2638" s="126">
        <f t="shared" si="271"/>
        <v>-24.180877333000002</v>
      </c>
      <c r="AC2638" s="122" t="s">
        <v>1838</v>
      </c>
      <c r="AD2638" s="123">
        <f>SUMIF(C:C,C2638,AB:AB)</f>
        <v>-291.7660984179999</v>
      </c>
    </row>
    <row r="2639" spans="1:30" ht="12.75" hidden="1" customHeight="1">
      <c r="A2639" s="125" t="str">
        <f t="shared" si="268"/>
        <v>LIC170Dividend Income - Equities</v>
      </c>
      <c r="B2639" s="125">
        <f>+IFERROR(VLOOKUP(L2639,'TB mapping'!A:D,4,0),0)</f>
        <v>0</v>
      </c>
      <c r="C2639" s="125">
        <f>+IFERROR(VLOOKUP(L2639,'TB mapping'!A:C,3,0),0)</f>
        <v>5.0999999999999996</v>
      </c>
      <c r="D2639" s="125" t="str">
        <f t="shared" si="269"/>
        <v>LIC1700</v>
      </c>
      <c r="E2639" s="125" t="str">
        <f t="shared" si="270"/>
        <v>LIC1705.1</v>
      </c>
      <c r="F2639" s="158" t="str">
        <f>+VLOOKUP(H2639,'code mapping'!A:C,3,0)</f>
        <v>LIC170</v>
      </c>
      <c r="G2639" s="127" t="s">
        <v>453</v>
      </c>
      <c r="H2639" s="127" t="s">
        <v>773</v>
      </c>
      <c r="I2639" s="127" t="s">
        <v>774</v>
      </c>
      <c r="J2639" s="128">
        <v>450000</v>
      </c>
      <c r="K2639" s="127" t="s">
        <v>532</v>
      </c>
      <c r="L2639" s="151">
        <v>451100</v>
      </c>
      <c r="M2639" s="128">
        <v>0</v>
      </c>
      <c r="N2639" s="127" t="s">
        <v>598</v>
      </c>
      <c r="O2639" s="127" t="s">
        <v>457</v>
      </c>
      <c r="P2639" s="128">
        <v>0</v>
      </c>
      <c r="Q2639" s="128">
        <v>14539394.65</v>
      </c>
      <c r="R2639" s="128">
        <v>0</v>
      </c>
      <c r="S2639" s="128">
        <v>0</v>
      </c>
      <c r="T2639" s="128">
        <v>0</v>
      </c>
      <c r="U2639" s="128">
        <v>14539394.65</v>
      </c>
      <c r="V2639" s="128">
        <v>0</v>
      </c>
      <c r="W2639" s="128">
        <v>14539394.65</v>
      </c>
      <c r="X2639" s="128">
        <v>0</v>
      </c>
      <c r="Y2639" s="128">
        <v>0</v>
      </c>
      <c r="Z2639" s="128">
        <v>0</v>
      </c>
      <c r="AA2639" s="128">
        <v>14539394.65</v>
      </c>
      <c r="AB2639" s="126">
        <f t="shared" si="271"/>
        <v>-1.4539394649999999</v>
      </c>
      <c r="AC2639" s="122" t="s">
        <v>1838</v>
      </c>
      <c r="AD2639" s="123">
        <f t="shared" ref="AD2639:AD2677" si="272">SUMIF(E:E,E2639,AB:AB)</f>
        <v>-1.4539394649999999</v>
      </c>
    </row>
    <row r="2640" spans="1:30" ht="12.75" hidden="1" customHeight="1">
      <c r="A2640" s="125" t="str">
        <f t="shared" si="268"/>
        <v>LIC170Interest Income - CCIL Margin</v>
      </c>
      <c r="B2640" s="125">
        <f>+IFERROR(VLOOKUP(L2640,'TB mapping'!A:D,4,0),0)</f>
        <v>0</v>
      </c>
      <c r="C2640" s="125">
        <f>+IFERROR(VLOOKUP(L2640,'TB mapping'!A:C,3,0),0)</f>
        <v>5.2</v>
      </c>
      <c r="D2640" s="125" t="str">
        <f t="shared" si="269"/>
        <v>LIC1700</v>
      </c>
      <c r="E2640" s="125" t="str">
        <f t="shared" si="270"/>
        <v>LIC1705.2</v>
      </c>
      <c r="F2640" s="158" t="str">
        <f>+VLOOKUP(H2640,'code mapping'!A:C,3,0)</f>
        <v>LIC170</v>
      </c>
      <c r="G2640" s="127" t="s">
        <v>453</v>
      </c>
      <c r="H2640" s="127" t="s">
        <v>773</v>
      </c>
      <c r="I2640" s="127" t="s">
        <v>774</v>
      </c>
      <c r="J2640" s="128">
        <v>450000</v>
      </c>
      <c r="K2640" s="127" t="s">
        <v>532</v>
      </c>
      <c r="L2640" s="151">
        <v>452111</v>
      </c>
      <c r="M2640" s="128">
        <v>0</v>
      </c>
      <c r="N2640" s="127" t="s">
        <v>533</v>
      </c>
      <c r="O2640" s="127" t="s">
        <v>457</v>
      </c>
      <c r="P2640" s="128">
        <v>0</v>
      </c>
      <c r="Q2640" s="128">
        <v>1794.19</v>
      </c>
      <c r="R2640" s="128">
        <v>0</v>
      </c>
      <c r="S2640" s="128">
        <v>0</v>
      </c>
      <c r="T2640" s="128">
        <v>0</v>
      </c>
      <c r="U2640" s="128">
        <v>1794.19</v>
      </c>
      <c r="V2640" s="128">
        <v>0</v>
      </c>
      <c r="W2640" s="128">
        <v>1794.19</v>
      </c>
      <c r="X2640" s="128">
        <v>0</v>
      </c>
      <c r="Y2640" s="128">
        <v>0</v>
      </c>
      <c r="Z2640" s="128">
        <v>0</v>
      </c>
      <c r="AA2640" s="128">
        <v>1794.19</v>
      </c>
      <c r="AB2640" s="126">
        <f t="shared" si="271"/>
        <v>-1.79419E-4</v>
      </c>
      <c r="AC2640" s="122" t="s">
        <v>1838</v>
      </c>
      <c r="AD2640" s="123">
        <f t="shared" si="272"/>
        <v>-1.121379489</v>
      </c>
    </row>
    <row r="2641" spans="1:30" ht="12.75" hidden="1" customHeight="1">
      <c r="A2641" s="125" t="str">
        <f t="shared" si="268"/>
        <v>LIC170Int Income - Fixed Deposit</v>
      </c>
      <c r="B2641" s="125">
        <f>+IFERROR(VLOOKUP(L2641,'TB mapping'!A:D,4,0),0)</f>
        <v>0</v>
      </c>
      <c r="C2641" s="125">
        <f>+IFERROR(VLOOKUP(L2641,'TB mapping'!A:C,3,0),0)</f>
        <v>5.2</v>
      </c>
      <c r="D2641" s="125" t="str">
        <f t="shared" si="269"/>
        <v>LIC1700</v>
      </c>
      <c r="E2641" s="125" t="str">
        <f t="shared" si="270"/>
        <v>LIC1705.2</v>
      </c>
      <c r="F2641" s="158" t="str">
        <f>+VLOOKUP(H2641,'code mapping'!A:C,3,0)</f>
        <v>LIC170</v>
      </c>
      <c r="G2641" s="127" t="s">
        <v>453</v>
      </c>
      <c r="H2641" s="127" t="s">
        <v>773</v>
      </c>
      <c r="I2641" s="127" t="s">
        <v>774</v>
      </c>
      <c r="J2641" s="128">
        <v>450000</v>
      </c>
      <c r="K2641" s="127" t="s">
        <v>532</v>
      </c>
      <c r="L2641" s="151">
        <v>452223</v>
      </c>
      <c r="M2641" s="128">
        <v>0</v>
      </c>
      <c r="N2641" s="127" t="s">
        <v>775</v>
      </c>
      <c r="O2641" s="127" t="s">
        <v>457</v>
      </c>
      <c r="P2641" s="128">
        <v>0</v>
      </c>
      <c r="Q2641" s="128">
        <v>29151</v>
      </c>
      <c r="R2641" s="128">
        <v>0</v>
      </c>
      <c r="S2641" s="128">
        <v>0</v>
      </c>
      <c r="T2641" s="128">
        <v>0</v>
      </c>
      <c r="U2641" s="128">
        <v>29151</v>
      </c>
      <c r="V2641" s="128">
        <v>0</v>
      </c>
      <c r="W2641" s="128">
        <v>29151</v>
      </c>
      <c r="X2641" s="128">
        <v>0</v>
      </c>
      <c r="Y2641" s="128">
        <v>0</v>
      </c>
      <c r="Z2641" s="128">
        <v>0</v>
      </c>
      <c r="AA2641" s="128">
        <v>29151</v>
      </c>
      <c r="AB2641" s="126">
        <f t="shared" si="271"/>
        <v>-2.9150999999999999E-3</v>
      </c>
      <c r="AC2641" s="122" t="s">
        <v>1838</v>
      </c>
      <c r="AD2641" s="123">
        <f t="shared" si="272"/>
        <v>-1.121379489</v>
      </c>
    </row>
    <row r="2642" spans="1:30" ht="12.75" hidden="1" customHeight="1">
      <c r="A2642" s="125" t="str">
        <f t="shared" si="268"/>
        <v>LIC170Amort. Income - CBLO</v>
      </c>
      <c r="B2642" s="125">
        <f>+IFERROR(VLOOKUP(L2642,'TB mapping'!A:D,4,0),0)</f>
        <v>0</v>
      </c>
      <c r="C2642" s="125">
        <f>+IFERROR(VLOOKUP(L2642,'TB mapping'!A:C,3,0),0)</f>
        <v>5.2</v>
      </c>
      <c r="D2642" s="125" t="str">
        <f t="shared" si="269"/>
        <v>LIC1700</v>
      </c>
      <c r="E2642" s="125" t="str">
        <f t="shared" si="270"/>
        <v>LIC1705.2</v>
      </c>
      <c r="F2642" s="158" t="str">
        <f>+VLOOKUP(H2642,'code mapping'!A:C,3,0)</f>
        <v>LIC170</v>
      </c>
      <c r="G2642" s="127" t="s">
        <v>453</v>
      </c>
      <c r="H2642" s="127" t="s">
        <v>773</v>
      </c>
      <c r="I2642" s="127" t="s">
        <v>774</v>
      </c>
      <c r="J2642" s="128">
        <v>450000</v>
      </c>
      <c r="K2642" s="127" t="s">
        <v>532</v>
      </c>
      <c r="L2642" s="151">
        <v>452228</v>
      </c>
      <c r="M2642" s="128">
        <v>0</v>
      </c>
      <c r="N2642" s="127" t="s">
        <v>537</v>
      </c>
      <c r="O2642" s="127" t="s">
        <v>457</v>
      </c>
      <c r="P2642" s="128">
        <v>0</v>
      </c>
      <c r="Q2642" s="128">
        <v>10822929.369999999</v>
      </c>
      <c r="R2642" s="128">
        <v>0</v>
      </c>
      <c r="S2642" s="128">
        <v>0</v>
      </c>
      <c r="T2642" s="128">
        <v>0</v>
      </c>
      <c r="U2642" s="128">
        <v>10822929.369999999</v>
      </c>
      <c r="V2642" s="128">
        <v>0</v>
      </c>
      <c r="W2642" s="128">
        <v>10822929.369999999</v>
      </c>
      <c r="X2642" s="128">
        <v>0</v>
      </c>
      <c r="Y2642" s="128">
        <v>0</v>
      </c>
      <c r="Z2642" s="128">
        <v>0</v>
      </c>
      <c r="AA2642" s="128">
        <v>10822929.369999999</v>
      </c>
      <c r="AB2642" s="126">
        <f t="shared" si="271"/>
        <v>-1.0822929369999998</v>
      </c>
      <c r="AC2642" s="122" t="s">
        <v>1838</v>
      </c>
      <c r="AD2642" s="123">
        <f t="shared" si="272"/>
        <v>-1.121379489</v>
      </c>
    </row>
    <row r="2643" spans="1:30" ht="12.75" hidden="1" customHeight="1">
      <c r="A2643" s="125" t="str">
        <f t="shared" si="268"/>
        <v>LIC170Int Income - Repo Deposits</v>
      </c>
      <c r="B2643" s="125">
        <f>+IFERROR(VLOOKUP(L2643,'TB mapping'!A:D,4,0),0)</f>
        <v>0</v>
      </c>
      <c r="C2643" s="125">
        <f>+IFERROR(VLOOKUP(L2643,'TB mapping'!A:C,3,0),0)</f>
        <v>5.2</v>
      </c>
      <c r="D2643" s="125" t="str">
        <f t="shared" si="269"/>
        <v>LIC1700</v>
      </c>
      <c r="E2643" s="125" t="str">
        <f t="shared" si="270"/>
        <v>LIC1705.2</v>
      </c>
      <c r="F2643" s="158" t="str">
        <f>+VLOOKUP(H2643,'code mapping'!A:C,3,0)</f>
        <v>LIC170</v>
      </c>
      <c r="G2643" s="127" t="s">
        <v>453</v>
      </c>
      <c r="H2643" s="127" t="s">
        <v>773</v>
      </c>
      <c r="I2643" s="127" t="s">
        <v>774</v>
      </c>
      <c r="J2643" s="128">
        <v>450000</v>
      </c>
      <c r="K2643" s="127" t="s">
        <v>532</v>
      </c>
      <c r="L2643" s="151">
        <v>452230</v>
      </c>
      <c r="M2643" s="128">
        <v>0</v>
      </c>
      <c r="N2643" s="127" t="s">
        <v>538</v>
      </c>
      <c r="O2643" s="127" t="s">
        <v>457</v>
      </c>
      <c r="P2643" s="128">
        <v>0</v>
      </c>
      <c r="Q2643" s="128">
        <v>359920.33</v>
      </c>
      <c r="R2643" s="128">
        <v>0</v>
      </c>
      <c r="S2643" s="128">
        <v>0</v>
      </c>
      <c r="T2643" s="128">
        <v>0</v>
      </c>
      <c r="U2643" s="128">
        <v>359920.33</v>
      </c>
      <c r="V2643" s="128">
        <v>0</v>
      </c>
      <c r="W2643" s="128">
        <v>359920.33</v>
      </c>
      <c r="X2643" s="128">
        <v>0</v>
      </c>
      <c r="Y2643" s="128">
        <v>0</v>
      </c>
      <c r="Z2643" s="128">
        <v>0</v>
      </c>
      <c r="AA2643" s="128">
        <v>359920.33</v>
      </c>
      <c r="AB2643" s="126">
        <f t="shared" si="271"/>
        <v>-3.5992033E-2</v>
      </c>
      <c r="AC2643" s="122" t="s">
        <v>1838</v>
      </c>
      <c r="AD2643" s="123">
        <f t="shared" si="272"/>
        <v>-1.121379489</v>
      </c>
    </row>
    <row r="2644" spans="1:30" ht="12.75" hidden="1" customHeight="1">
      <c r="A2644" s="125" t="str">
        <f t="shared" si="268"/>
        <v>LIC170Misc Income</v>
      </c>
      <c r="B2644" s="125">
        <f>+IFERROR(VLOOKUP(L2644,'TB mapping'!A:D,4,0),0)</f>
        <v>0</v>
      </c>
      <c r="C2644" s="125">
        <f>+IFERROR(VLOOKUP(L2644,'TB mapping'!A:C,3,0),0)</f>
        <v>5.5</v>
      </c>
      <c r="D2644" s="125" t="str">
        <f t="shared" si="269"/>
        <v>LIC1700</v>
      </c>
      <c r="E2644" s="125" t="str">
        <f t="shared" si="270"/>
        <v>LIC1705.5</v>
      </c>
      <c r="F2644" s="158" t="str">
        <f>+VLOOKUP(H2644,'code mapping'!A:C,3,0)</f>
        <v>LIC170</v>
      </c>
      <c r="G2644" s="127" t="s">
        <v>453</v>
      </c>
      <c r="H2644" s="127" t="s">
        <v>773</v>
      </c>
      <c r="I2644" s="127" t="s">
        <v>774</v>
      </c>
      <c r="J2644" s="128">
        <v>460000</v>
      </c>
      <c r="K2644" s="127" t="s">
        <v>539</v>
      </c>
      <c r="L2644" s="151">
        <v>452233</v>
      </c>
      <c r="M2644" s="128">
        <v>0</v>
      </c>
      <c r="N2644" s="127" t="s">
        <v>706</v>
      </c>
      <c r="O2644" s="127" t="s">
        <v>457</v>
      </c>
      <c r="P2644" s="128">
        <v>0</v>
      </c>
      <c r="Q2644" s="128">
        <v>36</v>
      </c>
      <c r="R2644" s="128">
        <v>0</v>
      </c>
      <c r="S2644" s="128">
        <v>0</v>
      </c>
      <c r="T2644" s="128">
        <v>0</v>
      </c>
      <c r="U2644" s="128">
        <v>36</v>
      </c>
      <c r="V2644" s="128">
        <v>0</v>
      </c>
      <c r="W2644" s="128">
        <v>36</v>
      </c>
      <c r="X2644" s="128">
        <v>0</v>
      </c>
      <c r="Y2644" s="128">
        <v>0</v>
      </c>
      <c r="Z2644" s="128">
        <v>0</v>
      </c>
      <c r="AA2644" s="128">
        <v>36</v>
      </c>
      <c r="AB2644" s="126">
        <f t="shared" si="271"/>
        <v>-3.5999999999999998E-6</v>
      </c>
      <c r="AC2644" s="122" t="s">
        <v>1838</v>
      </c>
      <c r="AD2644" s="123">
        <f t="shared" si="272"/>
        <v>-0.19979261400000001</v>
      </c>
    </row>
    <row r="2645" spans="1:30" ht="12.75" hidden="1" customHeight="1">
      <c r="A2645" s="125" t="str">
        <f t="shared" si="268"/>
        <v>LIC170Load Income</v>
      </c>
      <c r="B2645" s="125">
        <f>+IFERROR(VLOOKUP(L2645,'TB mapping'!A:D,4,0),0)</f>
        <v>0</v>
      </c>
      <c r="C2645" s="125">
        <f>+IFERROR(VLOOKUP(L2645,'TB mapping'!A:C,3,0),0)</f>
        <v>5.5</v>
      </c>
      <c r="D2645" s="125" t="str">
        <f t="shared" si="269"/>
        <v>LIC1700</v>
      </c>
      <c r="E2645" s="125" t="str">
        <f t="shared" si="270"/>
        <v>LIC1705.5</v>
      </c>
      <c r="F2645" s="158" t="str">
        <f>+VLOOKUP(H2645,'code mapping'!A:C,3,0)</f>
        <v>LIC170</v>
      </c>
      <c r="G2645" s="127" t="s">
        <v>453</v>
      </c>
      <c r="H2645" s="127" t="s">
        <v>773</v>
      </c>
      <c r="I2645" s="127" t="s">
        <v>774</v>
      </c>
      <c r="J2645" s="128">
        <v>460000</v>
      </c>
      <c r="K2645" s="127" t="s">
        <v>539</v>
      </c>
      <c r="L2645" s="151">
        <v>455103</v>
      </c>
      <c r="M2645" s="128">
        <v>0</v>
      </c>
      <c r="N2645" s="127" t="s">
        <v>540</v>
      </c>
      <c r="O2645" s="127" t="s">
        <v>457</v>
      </c>
      <c r="P2645" s="128">
        <v>0</v>
      </c>
      <c r="Q2645" s="128">
        <v>1997767.84</v>
      </c>
      <c r="R2645" s="128">
        <v>0</v>
      </c>
      <c r="S2645" s="128">
        <v>0</v>
      </c>
      <c r="T2645" s="128">
        <v>0</v>
      </c>
      <c r="U2645" s="128">
        <v>1997767.84</v>
      </c>
      <c r="V2645" s="128">
        <v>0</v>
      </c>
      <c r="W2645" s="128">
        <v>1997767.84</v>
      </c>
      <c r="X2645" s="128">
        <v>0</v>
      </c>
      <c r="Y2645" s="128">
        <v>0</v>
      </c>
      <c r="Z2645" s="128">
        <v>0</v>
      </c>
      <c r="AA2645" s="128">
        <v>1997767.84</v>
      </c>
      <c r="AB2645" s="126">
        <f t="shared" si="271"/>
        <v>-0.19977678400000001</v>
      </c>
      <c r="AC2645" s="122" t="s">
        <v>1838</v>
      </c>
      <c r="AD2645" s="123">
        <f t="shared" si="272"/>
        <v>-0.19979261400000001</v>
      </c>
    </row>
    <row r="2646" spans="1:30" ht="12.75" hidden="1" customHeight="1">
      <c r="A2646" s="125" t="str">
        <f t="shared" si="268"/>
        <v>LIC170Other Income</v>
      </c>
      <c r="B2646" s="125">
        <f>+IFERROR(VLOOKUP(L2646,'TB mapping'!A:D,4,0),0)</f>
        <v>0</v>
      </c>
      <c r="C2646" s="125">
        <f>+IFERROR(VLOOKUP(L2646,'TB mapping'!A:C,3,0),0)</f>
        <v>5.5</v>
      </c>
      <c r="D2646" s="125" t="str">
        <f t="shared" si="269"/>
        <v>LIC1700</v>
      </c>
      <c r="E2646" s="125" t="str">
        <f t="shared" si="270"/>
        <v>LIC1705.5</v>
      </c>
      <c r="F2646" s="158" t="str">
        <f>+VLOOKUP(H2646,'code mapping'!A:C,3,0)</f>
        <v>LIC170</v>
      </c>
      <c r="G2646" s="127" t="s">
        <v>453</v>
      </c>
      <c r="H2646" s="127" t="s">
        <v>773</v>
      </c>
      <c r="I2646" s="127" t="s">
        <v>774</v>
      </c>
      <c r="J2646" s="128">
        <v>460000</v>
      </c>
      <c r="K2646" s="127" t="s">
        <v>539</v>
      </c>
      <c r="L2646" s="151">
        <v>460000</v>
      </c>
      <c r="M2646" s="128">
        <v>0</v>
      </c>
      <c r="N2646" s="127" t="s">
        <v>541</v>
      </c>
      <c r="O2646" s="127" t="s">
        <v>457</v>
      </c>
      <c r="P2646" s="128">
        <v>0</v>
      </c>
      <c r="Q2646" s="128">
        <v>122.3</v>
      </c>
      <c r="R2646" s="128">
        <v>0</v>
      </c>
      <c r="S2646" s="128">
        <v>0</v>
      </c>
      <c r="T2646" s="128">
        <v>0</v>
      </c>
      <c r="U2646" s="128">
        <v>122.3</v>
      </c>
      <c r="V2646" s="128">
        <v>0</v>
      </c>
      <c r="W2646" s="128">
        <v>122.3</v>
      </c>
      <c r="X2646" s="128">
        <v>0</v>
      </c>
      <c r="Y2646" s="128">
        <v>0</v>
      </c>
      <c r="Z2646" s="128">
        <v>0</v>
      </c>
      <c r="AA2646" s="128">
        <v>122.3</v>
      </c>
      <c r="AB2646" s="126">
        <f t="shared" si="271"/>
        <v>-1.223E-5</v>
      </c>
      <c r="AC2646" s="122" t="s">
        <v>1838</v>
      </c>
      <c r="AD2646" s="123">
        <f t="shared" si="272"/>
        <v>-0.19979261400000001</v>
      </c>
    </row>
    <row r="2647" spans="1:30" ht="12.75" hidden="1" customHeight="1">
      <c r="A2647" s="125" t="str">
        <f t="shared" si="268"/>
        <v>LIC170Interplan Adjustment- RG</v>
      </c>
      <c r="B2647" s="125">
        <f>+IFERROR(VLOOKUP(L2647,'TB mapping'!A:D,4,0),0)</f>
        <v>0</v>
      </c>
      <c r="C2647" s="125">
        <f>+IFERROR(VLOOKUP(L2647,'TB mapping'!A:C,3,0),0)</f>
        <v>5.5</v>
      </c>
      <c r="D2647" s="125" t="str">
        <f t="shared" si="269"/>
        <v>LIC1700</v>
      </c>
      <c r="E2647" s="125" t="str">
        <f t="shared" si="270"/>
        <v>LIC1705.5</v>
      </c>
      <c r="F2647" s="158" t="str">
        <f>+VLOOKUP(H2647,'code mapping'!A:C,3,0)</f>
        <v>LIC170</v>
      </c>
      <c r="G2647" s="127" t="s">
        <v>453</v>
      </c>
      <c r="H2647" s="127" t="s">
        <v>773</v>
      </c>
      <c r="I2647" s="127" t="s">
        <v>774</v>
      </c>
      <c r="J2647" s="128">
        <v>460000</v>
      </c>
      <c r="K2647" s="127" t="s">
        <v>539</v>
      </c>
      <c r="L2647" s="151">
        <v>460101</v>
      </c>
      <c r="M2647" s="128">
        <v>0</v>
      </c>
      <c r="N2647" s="127" t="s">
        <v>542</v>
      </c>
      <c r="O2647" s="127" t="s">
        <v>457</v>
      </c>
      <c r="P2647" s="128">
        <v>0</v>
      </c>
      <c r="Q2647" s="128">
        <v>1935.39</v>
      </c>
      <c r="R2647" s="128">
        <v>0</v>
      </c>
      <c r="S2647" s="128">
        <v>0</v>
      </c>
      <c r="T2647" s="128">
        <v>0</v>
      </c>
      <c r="U2647" s="128">
        <v>1935.39</v>
      </c>
      <c r="V2647" s="128">
        <v>0</v>
      </c>
      <c r="W2647" s="128">
        <v>1935.39</v>
      </c>
      <c r="X2647" s="128">
        <v>0</v>
      </c>
      <c r="Y2647" s="128">
        <v>0</v>
      </c>
      <c r="Z2647" s="128">
        <v>0</v>
      </c>
      <c r="AA2647" s="128">
        <v>1935.39</v>
      </c>
      <c r="AB2647" s="126">
        <f t="shared" si="271"/>
        <v>-1.93539E-4</v>
      </c>
      <c r="AC2647" s="122" t="s">
        <v>1838</v>
      </c>
      <c r="AD2647" s="123">
        <f t="shared" si="272"/>
        <v>-0.19979261400000001</v>
      </c>
    </row>
    <row r="2648" spans="1:30" ht="12.75" hidden="1" customHeight="1">
      <c r="A2648" s="125" t="str">
        <f t="shared" si="268"/>
        <v>LIC170Interplan Adjustment- RD</v>
      </c>
      <c r="B2648" s="125">
        <f>+IFERROR(VLOOKUP(L2648,'TB mapping'!A:D,4,0),0)</f>
        <v>0</v>
      </c>
      <c r="C2648" s="125">
        <f>+IFERROR(VLOOKUP(L2648,'TB mapping'!A:C,3,0),0)</f>
        <v>5.5</v>
      </c>
      <c r="D2648" s="125" t="str">
        <f t="shared" si="269"/>
        <v>LIC1700</v>
      </c>
      <c r="E2648" s="125" t="str">
        <f t="shared" si="270"/>
        <v>LIC1705.5</v>
      </c>
      <c r="F2648" s="158" t="str">
        <f>+VLOOKUP(H2648,'code mapping'!A:C,3,0)</f>
        <v>LIC170</v>
      </c>
      <c r="G2648" s="127" t="s">
        <v>453</v>
      </c>
      <c r="H2648" s="127" t="s">
        <v>773</v>
      </c>
      <c r="I2648" s="127" t="s">
        <v>774</v>
      </c>
      <c r="J2648" s="128">
        <v>460000</v>
      </c>
      <c r="K2648" s="127" t="s">
        <v>539</v>
      </c>
      <c r="L2648" s="151">
        <v>460102</v>
      </c>
      <c r="M2648" s="128">
        <v>0</v>
      </c>
      <c r="N2648" s="127" t="s">
        <v>543</v>
      </c>
      <c r="O2648" s="127" t="s">
        <v>457</v>
      </c>
      <c r="P2648" s="128">
        <v>0</v>
      </c>
      <c r="Q2648" s="128">
        <v>144.99</v>
      </c>
      <c r="R2648" s="128">
        <v>0</v>
      </c>
      <c r="S2648" s="128">
        <v>0</v>
      </c>
      <c r="T2648" s="128">
        <v>0</v>
      </c>
      <c r="U2648" s="128">
        <v>144.99</v>
      </c>
      <c r="V2648" s="128">
        <v>0</v>
      </c>
      <c r="W2648" s="128">
        <v>144.99</v>
      </c>
      <c r="X2648" s="128">
        <v>0</v>
      </c>
      <c r="Y2648" s="128">
        <v>0</v>
      </c>
      <c r="Z2648" s="128">
        <v>0</v>
      </c>
      <c r="AA2648" s="128">
        <v>144.99</v>
      </c>
      <c r="AB2648" s="126">
        <f t="shared" si="271"/>
        <v>-1.4499000000000001E-5</v>
      </c>
      <c r="AC2648" s="122" t="s">
        <v>1838</v>
      </c>
      <c r="AD2648" s="123">
        <f t="shared" si="272"/>
        <v>-0.19979261400000001</v>
      </c>
    </row>
    <row r="2649" spans="1:30" ht="12.75" hidden="1" customHeight="1">
      <c r="A2649" s="125" t="str">
        <f t="shared" si="268"/>
        <v>LIC170Interplan Adjustment- GDP</v>
      </c>
      <c r="B2649" s="125">
        <f>+IFERROR(VLOOKUP(L2649,'TB mapping'!A:D,4,0),0)</f>
        <v>0</v>
      </c>
      <c r="C2649" s="125">
        <f>+IFERROR(VLOOKUP(L2649,'TB mapping'!A:C,3,0),0)</f>
        <v>5.5</v>
      </c>
      <c r="D2649" s="125" t="str">
        <f t="shared" si="269"/>
        <v>LIC1700</v>
      </c>
      <c r="E2649" s="125" t="str">
        <f t="shared" si="270"/>
        <v>LIC1705.5</v>
      </c>
      <c r="F2649" s="158" t="str">
        <f>+VLOOKUP(H2649,'code mapping'!A:C,3,0)</f>
        <v>LIC170</v>
      </c>
      <c r="G2649" s="127" t="s">
        <v>453</v>
      </c>
      <c r="H2649" s="127" t="s">
        <v>773</v>
      </c>
      <c r="I2649" s="127" t="s">
        <v>774</v>
      </c>
      <c r="J2649" s="128">
        <v>460000</v>
      </c>
      <c r="K2649" s="127" t="s">
        <v>539</v>
      </c>
      <c r="L2649" s="151">
        <v>460143</v>
      </c>
      <c r="M2649" s="128">
        <v>0</v>
      </c>
      <c r="N2649" s="127" t="s">
        <v>544</v>
      </c>
      <c r="O2649" s="127" t="s">
        <v>457</v>
      </c>
      <c r="P2649" s="128">
        <v>-2085.39</v>
      </c>
      <c r="Q2649" s="128">
        <v>0</v>
      </c>
      <c r="R2649" s="128">
        <v>0</v>
      </c>
      <c r="S2649" s="128">
        <v>0</v>
      </c>
      <c r="T2649" s="128">
        <v>-2085.39</v>
      </c>
      <c r="U2649" s="128">
        <v>0</v>
      </c>
      <c r="V2649" s="128">
        <v>-2085.39</v>
      </c>
      <c r="W2649" s="128">
        <v>0</v>
      </c>
      <c r="X2649" s="128">
        <v>0</v>
      </c>
      <c r="Y2649" s="128">
        <v>0</v>
      </c>
      <c r="Z2649" s="128">
        <v>-2085.39</v>
      </c>
      <c r="AA2649" s="128">
        <v>0</v>
      </c>
      <c r="AB2649" s="126">
        <f t="shared" si="271"/>
        <v>2.0853899999999999E-4</v>
      </c>
      <c r="AC2649" s="122" t="s">
        <v>1838</v>
      </c>
      <c r="AD2649" s="123">
        <f t="shared" si="272"/>
        <v>-0.19979261400000001</v>
      </c>
    </row>
    <row r="2650" spans="1:30" ht="12.75" hidden="1" customHeight="1">
      <c r="A2650" s="125" t="str">
        <f t="shared" si="268"/>
        <v>LIC170Interplan Adjustment- DDP</v>
      </c>
      <c r="B2650" s="125">
        <f>+IFERROR(VLOOKUP(L2650,'TB mapping'!A:D,4,0),0)</f>
        <v>0</v>
      </c>
      <c r="C2650" s="125">
        <f>+IFERROR(VLOOKUP(L2650,'TB mapping'!A:C,3,0),0)</f>
        <v>5.5</v>
      </c>
      <c r="D2650" s="125" t="str">
        <f t="shared" si="269"/>
        <v>LIC1700</v>
      </c>
      <c r="E2650" s="125" t="str">
        <f t="shared" si="270"/>
        <v>LIC1705.5</v>
      </c>
      <c r="F2650" s="158" t="str">
        <f>+VLOOKUP(H2650,'code mapping'!A:C,3,0)</f>
        <v>LIC170</v>
      </c>
      <c r="G2650" s="127" t="s">
        <v>453</v>
      </c>
      <c r="H2650" s="127" t="s">
        <v>773</v>
      </c>
      <c r="I2650" s="127" t="s">
        <v>774</v>
      </c>
      <c r="J2650" s="128">
        <v>460000</v>
      </c>
      <c r="K2650" s="127" t="s">
        <v>539</v>
      </c>
      <c r="L2650" s="151">
        <v>460144</v>
      </c>
      <c r="M2650" s="128">
        <v>0</v>
      </c>
      <c r="N2650" s="127" t="s">
        <v>545</v>
      </c>
      <c r="O2650" s="127" t="s">
        <v>457</v>
      </c>
      <c r="P2650" s="128">
        <v>0</v>
      </c>
      <c r="Q2650" s="128">
        <v>5.01</v>
      </c>
      <c r="R2650" s="128">
        <v>0</v>
      </c>
      <c r="S2650" s="128">
        <v>0</v>
      </c>
      <c r="T2650" s="128">
        <v>0</v>
      </c>
      <c r="U2650" s="128">
        <v>5.01</v>
      </c>
      <c r="V2650" s="128">
        <v>0</v>
      </c>
      <c r="W2650" s="128">
        <v>5.01</v>
      </c>
      <c r="X2650" s="128">
        <v>0</v>
      </c>
      <c r="Y2650" s="128">
        <v>0</v>
      </c>
      <c r="Z2650" s="128">
        <v>0</v>
      </c>
      <c r="AA2650" s="128">
        <v>5.01</v>
      </c>
      <c r="AB2650" s="126">
        <f t="shared" si="271"/>
        <v>-5.0099999999999995E-7</v>
      </c>
      <c r="AC2650" s="122" t="s">
        <v>1838</v>
      </c>
      <c r="AD2650" s="123">
        <f t="shared" si="272"/>
        <v>-0.19979261400000001</v>
      </c>
    </row>
    <row r="2651" spans="1:30" ht="12.75" hidden="1" customHeight="1">
      <c r="A2651" s="125" t="str">
        <f t="shared" si="268"/>
        <v>LIC170R/L L/P - Equities</v>
      </c>
      <c r="B2651" s="125">
        <f>+IFERROR(VLOOKUP(L2651,'TB mapping'!A:D,4,0),0)</f>
        <v>0</v>
      </c>
      <c r="C2651" s="125">
        <f>+IFERROR(VLOOKUP(L2651,'TB mapping'!A:C,3,0),0)</f>
        <v>5.3</v>
      </c>
      <c r="D2651" s="125" t="str">
        <f t="shared" si="269"/>
        <v>LIC1700</v>
      </c>
      <c r="E2651" s="125" t="str">
        <f t="shared" si="270"/>
        <v>LIC1705.3</v>
      </c>
      <c r="F2651" s="158" t="str">
        <f>+VLOOKUP(H2651,'code mapping'!A:C,3,0)</f>
        <v>LIC170</v>
      </c>
      <c r="G2651" s="127" t="s">
        <v>453</v>
      </c>
      <c r="H2651" s="127" t="s">
        <v>773</v>
      </c>
      <c r="I2651" s="127" t="s">
        <v>774</v>
      </c>
      <c r="J2651" s="128">
        <v>510000</v>
      </c>
      <c r="K2651" s="127" t="s">
        <v>546</v>
      </c>
      <c r="L2651" s="151">
        <v>511100</v>
      </c>
      <c r="M2651" s="128">
        <v>0</v>
      </c>
      <c r="N2651" s="127" t="s">
        <v>599</v>
      </c>
      <c r="O2651" s="127" t="s">
        <v>457</v>
      </c>
      <c r="P2651" s="128">
        <v>-19262911.280000001</v>
      </c>
      <c r="Q2651" s="128">
        <v>0</v>
      </c>
      <c r="R2651" s="128">
        <v>0</v>
      </c>
      <c r="S2651" s="128">
        <v>0</v>
      </c>
      <c r="T2651" s="128">
        <v>-19262911.280000001</v>
      </c>
      <c r="U2651" s="128">
        <v>0</v>
      </c>
      <c r="V2651" s="128">
        <v>-19262911.280000001</v>
      </c>
      <c r="W2651" s="128">
        <v>0</v>
      </c>
      <c r="X2651" s="128">
        <v>0</v>
      </c>
      <c r="Y2651" s="128">
        <v>0</v>
      </c>
      <c r="Z2651" s="128">
        <v>-19262911.280000001</v>
      </c>
      <c r="AA2651" s="128">
        <v>0</v>
      </c>
      <c r="AB2651" s="126">
        <f t="shared" si="271"/>
        <v>1.9262911280000001</v>
      </c>
      <c r="AC2651" s="122" t="s">
        <v>1838</v>
      </c>
      <c r="AD2651" s="123">
        <f t="shared" si="272"/>
        <v>-24.282141472000003</v>
      </c>
    </row>
    <row r="2652" spans="1:30" ht="12.75" hidden="1" customHeight="1">
      <c r="A2652" s="125" t="str">
        <f t="shared" si="268"/>
        <v>LIC170SEBI Fees</v>
      </c>
      <c r="B2652" s="125">
        <f>+IFERROR(VLOOKUP(L2652,'TB mapping'!A:D,4,0),0)</f>
        <v>0</v>
      </c>
      <c r="C2652" s="125">
        <f>+IFERROR(VLOOKUP(L2652,'TB mapping'!A:C,3,0),0)</f>
        <v>6.3</v>
      </c>
      <c r="D2652" s="125" t="str">
        <f t="shared" si="269"/>
        <v>LIC1700</v>
      </c>
      <c r="E2652" s="125" t="str">
        <f t="shared" si="270"/>
        <v>LIC1706.3</v>
      </c>
      <c r="F2652" s="158" t="str">
        <f>+VLOOKUP(H2652,'code mapping'!A:C,3,0)</f>
        <v>LIC170</v>
      </c>
      <c r="G2652" s="127" t="s">
        <v>453</v>
      </c>
      <c r="H2652" s="127" t="s">
        <v>773</v>
      </c>
      <c r="I2652" s="127" t="s">
        <v>774</v>
      </c>
      <c r="J2652" s="128">
        <v>550000</v>
      </c>
      <c r="K2652" s="127" t="s">
        <v>550</v>
      </c>
      <c r="L2652" s="151">
        <v>553007</v>
      </c>
      <c r="M2652" s="128">
        <v>0</v>
      </c>
      <c r="N2652" s="127" t="s">
        <v>551</v>
      </c>
      <c r="O2652" s="127" t="s">
        <v>457</v>
      </c>
      <c r="P2652" s="128">
        <v>-12611.99</v>
      </c>
      <c r="Q2652" s="128">
        <v>0</v>
      </c>
      <c r="R2652" s="128">
        <v>0</v>
      </c>
      <c r="S2652" s="128">
        <v>0</v>
      </c>
      <c r="T2652" s="128">
        <v>-12611.99</v>
      </c>
      <c r="U2652" s="128">
        <v>0</v>
      </c>
      <c r="V2652" s="128">
        <v>-12611.99</v>
      </c>
      <c r="W2652" s="128">
        <v>0</v>
      </c>
      <c r="X2652" s="128">
        <v>0</v>
      </c>
      <c r="Y2652" s="128">
        <v>0</v>
      </c>
      <c r="Z2652" s="128">
        <v>-12611.99</v>
      </c>
      <c r="AA2652" s="128">
        <v>0</v>
      </c>
      <c r="AB2652" s="126">
        <f t="shared" si="271"/>
        <v>1.261199E-3</v>
      </c>
      <c r="AC2652" s="122" t="s">
        <v>1838</v>
      </c>
      <c r="AD2652" s="123">
        <f t="shared" si="272"/>
        <v>5.5056985740000002</v>
      </c>
    </row>
    <row r="2653" spans="1:30" ht="12.75" hidden="1" customHeight="1">
      <c r="A2653" s="125" t="str">
        <f t="shared" si="268"/>
        <v>LIC170Audit Fee</v>
      </c>
      <c r="B2653" s="125">
        <f>+IFERROR(VLOOKUP(L2653,'TB mapping'!A:D,4,0),0)</f>
        <v>0</v>
      </c>
      <c r="C2653" s="125">
        <f>+IFERROR(VLOOKUP(L2653,'TB mapping'!A:C,3,0),0)</f>
        <v>6.3</v>
      </c>
      <c r="D2653" s="125" t="str">
        <f t="shared" si="269"/>
        <v>LIC1700</v>
      </c>
      <c r="E2653" s="125" t="str">
        <f t="shared" si="270"/>
        <v>LIC1706.3</v>
      </c>
      <c r="F2653" s="158" t="str">
        <f>+VLOOKUP(H2653,'code mapping'!A:C,3,0)</f>
        <v>LIC170</v>
      </c>
      <c r="G2653" s="127" t="s">
        <v>453</v>
      </c>
      <c r="H2653" s="127" t="s">
        <v>773</v>
      </c>
      <c r="I2653" s="127" t="s">
        <v>774</v>
      </c>
      <c r="J2653" s="128">
        <v>550000</v>
      </c>
      <c r="K2653" s="127" t="s">
        <v>550</v>
      </c>
      <c r="L2653" s="151">
        <v>553105</v>
      </c>
      <c r="M2653" s="128">
        <v>0</v>
      </c>
      <c r="N2653" s="127" t="s">
        <v>552</v>
      </c>
      <c r="O2653" s="127" t="s">
        <v>457</v>
      </c>
      <c r="P2653" s="128">
        <v>-31039.279999999999</v>
      </c>
      <c r="Q2653" s="128">
        <v>0</v>
      </c>
      <c r="R2653" s="128">
        <v>0</v>
      </c>
      <c r="S2653" s="128">
        <v>0</v>
      </c>
      <c r="T2653" s="128">
        <v>-31039.279999999999</v>
      </c>
      <c r="U2653" s="128">
        <v>0</v>
      </c>
      <c r="V2653" s="128">
        <v>-31039.279999999999</v>
      </c>
      <c r="W2653" s="128">
        <v>0</v>
      </c>
      <c r="X2653" s="128">
        <v>0</v>
      </c>
      <c r="Y2653" s="128">
        <v>0</v>
      </c>
      <c r="Z2653" s="128">
        <v>-31039.279999999999</v>
      </c>
      <c r="AA2653" s="128">
        <v>0</v>
      </c>
      <c r="AB2653" s="126">
        <f t="shared" si="271"/>
        <v>3.1039279999999997E-3</v>
      </c>
      <c r="AC2653" s="122" t="s">
        <v>1838</v>
      </c>
      <c r="AD2653" s="123">
        <f t="shared" si="272"/>
        <v>5.5056985740000002</v>
      </c>
    </row>
    <row r="2654" spans="1:30" ht="12.75" hidden="1" customHeight="1">
      <c r="A2654" s="125" t="str">
        <f t="shared" si="268"/>
        <v>LIC170Custody Fee</v>
      </c>
      <c r="B2654" s="125">
        <f>+IFERROR(VLOOKUP(L2654,'TB mapping'!A:D,4,0),0)</f>
        <v>0</v>
      </c>
      <c r="C2654" s="125">
        <f>+IFERROR(VLOOKUP(L2654,'TB mapping'!A:C,3,0),0)</f>
        <v>6.3</v>
      </c>
      <c r="D2654" s="125" t="str">
        <f t="shared" si="269"/>
        <v>LIC1700</v>
      </c>
      <c r="E2654" s="125" t="str">
        <f t="shared" si="270"/>
        <v>LIC1706.3</v>
      </c>
      <c r="F2654" s="158" t="str">
        <f>+VLOOKUP(H2654,'code mapping'!A:C,3,0)</f>
        <v>LIC170</v>
      </c>
      <c r="G2654" s="127" t="s">
        <v>453</v>
      </c>
      <c r="H2654" s="127" t="s">
        <v>773</v>
      </c>
      <c r="I2654" s="127" t="s">
        <v>774</v>
      </c>
      <c r="J2654" s="128">
        <v>550000</v>
      </c>
      <c r="K2654" s="127" t="s">
        <v>550</v>
      </c>
      <c r="L2654" s="151">
        <v>553107</v>
      </c>
      <c r="M2654" s="128">
        <v>0</v>
      </c>
      <c r="N2654" s="127" t="s">
        <v>553</v>
      </c>
      <c r="O2654" s="127" t="s">
        <v>457</v>
      </c>
      <c r="P2654" s="128">
        <v>-269411.23</v>
      </c>
      <c r="Q2654" s="128">
        <v>0</v>
      </c>
      <c r="R2654" s="128">
        <v>0</v>
      </c>
      <c r="S2654" s="128">
        <v>0</v>
      </c>
      <c r="T2654" s="128">
        <v>-269411.23</v>
      </c>
      <c r="U2654" s="128">
        <v>0</v>
      </c>
      <c r="V2654" s="128">
        <v>-269411.23</v>
      </c>
      <c r="W2654" s="128">
        <v>0</v>
      </c>
      <c r="X2654" s="128">
        <v>0</v>
      </c>
      <c r="Y2654" s="128">
        <v>0</v>
      </c>
      <c r="Z2654" s="128">
        <v>-269411.23</v>
      </c>
      <c r="AA2654" s="128">
        <v>0</v>
      </c>
      <c r="AB2654" s="126">
        <f t="shared" si="271"/>
        <v>2.6941122999999997E-2</v>
      </c>
      <c r="AC2654" s="122" t="s">
        <v>1838</v>
      </c>
      <c r="AD2654" s="123">
        <f t="shared" si="272"/>
        <v>5.5056985740000002</v>
      </c>
    </row>
    <row r="2655" spans="1:30" ht="12.75" hidden="1" customHeight="1">
      <c r="A2655" s="125" t="str">
        <f t="shared" si="268"/>
        <v>LIC170Expense Allocation Account</v>
      </c>
      <c r="B2655" s="125">
        <f>+IFERROR(VLOOKUP(L2655,'TB mapping'!A:D,4,0),0)</f>
        <v>0</v>
      </c>
      <c r="C2655" s="125">
        <f>+IFERROR(VLOOKUP(L2655,'TB mapping'!A:C,3,0),0)</f>
        <v>6.3</v>
      </c>
      <c r="D2655" s="125" t="str">
        <f t="shared" si="269"/>
        <v>LIC1700</v>
      </c>
      <c r="E2655" s="125" t="str">
        <f t="shared" si="270"/>
        <v>LIC1706.3</v>
      </c>
      <c r="F2655" s="158" t="str">
        <f>+VLOOKUP(H2655,'code mapping'!A:C,3,0)</f>
        <v>LIC170</v>
      </c>
      <c r="G2655" s="127" t="s">
        <v>453</v>
      </c>
      <c r="H2655" s="127" t="s">
        <v>773</v>
      </c>
      <c r="I2655" s="127" t="s">
        <v>774</v>
      </c>
      <c r="J2655" s="128">
        <v>550000</v>
      </c>
      <c r="K2655" s="127" t="s">
        <v>550</v>
      </c>
      <c r="L2655" s="151">
        <v>553111</v>
      </c>
      <c r="M2655" s="128">
        <v>0</v>
      </c>
      <c r="N2655" s="127" t="s">
        <v>554</v>
      </c>
      <c r="O2655" s="127" t="s">
        <v>457</v>
      </c>
      <c r="P2655" s="128">
        <v>0</v>
      </c>
      <c r="Q2655" s="128">
        <v>1332156.6499999999</v>
      </c>
      <c r="R2655" s="128">
        <v>0</v>
      </c>
      <c r="S2655" s="128">
        <v>0</v>
      </c>
      <c r="T2655" s="128">
        <v>0</v>
      </c>
      <c r="U2655" s="128">
        <v>1332156.6499999999</v>
      </c>
      <c r="V2655" s="128">
        <v>0</v>
      </c>
      <c r="W2655" s="128">
        <v>1332156.6499999999</v>
      </c>
      <c r="X2655" s="128">
        <v>0</v>
      </c>
      <c r="Y2655" s="128">
        <v>0</v>
      </c>
      <c r="Z2655" s="128">
        <v>0</v>
      </c>
      <c r="AA2655" s="128">
        <v>1332156.6499999999</v>
      </c>
      <c r="AB2655" s="126">
        <f t="shared" si="271"/>
        <v>-0.13321566499999998</v>
      </c>
      <c r="AC2655" s="122" t="s">
        <v>1838</v>
      </c>
      <c r="AD2655" s="123">
        <f t="shared" si="272"/>
        <v>5.5056985740000002</v>
      </c>
    </row>
    <row r="2656" spans="1:30" ht="12.75" hidden="1" customHeight="1">
      <c r="A2656" s="125" t="str">
        <f t="shared" si="268"/>
        <v>LIC170Trustee Fee</v>
      </c>
      <c r="B2656" s="125">
        <f>+IFERROR(VLOOKUP(L2656,'TB mapping'!A:D,4,0),0)</f>
        <v>6.2</v>
      </c>
      <c r="C2656" s="125">
        <f>+IFERROR(VLOOKUP(L2656,'TB mapping'!A:C,3,0),0)</f>
        <v>6.3</v>
      </c>
      <c r="D2656" s="125" t="str">
        <f t="shared" si="269"/>
        <v>LIC1706.2</v>
      </c>
      <c r="E2656" s="125" t="str">
        <f t="shared" si="270"/>
        <v>LIC1706.3</v>
      </c>
      <c r="F2656" s="158" t="str">
        <f>+VLOOKUP(H2656,'code mapping'!A:C,3,0)</f>
        <v>LIC170</v>
      </c>
      <c r="G2656" s="127" t="s">
        <v>453</v>
      </c>
      <c r="H2656" s="127" t="s">
        <v>773</v>
      </c>
      <c r="I2656" s="127" t="s">
        <v>774</v>
      </c>
      <c r="J2656" s="128">
        <v>550000</v>
      </c>
      <c r="K2656" s="127" t="s">
        <v>550</v>
      </c>
      <c r="L2656" s="151">
        <v>553131</v>
      </c>
      <c r="M2656" s="128">
        <v>0</v>
      </c>
      <c r="N2656" s="127" t="s">
        <v>555</v>
      </c>
      <c r="O2656" s="127" t="s">
        <v>457</v>
      </c>
      <c r="P2656" s="128">
        <v>-19551.54</v>
      </c>
      <c r="Q2656" s="128">
        <v>0</v>
      </c>
      <c r="R2656" s="128">
        <v>0</v>
      </c>
      <c r="S2656" s="128">
        <v>0</v>
      </c>
      <c r="T2656" s="128">
        <v>-19551.54</v>
      </c>
      <c r="U2656" s="128">
        <v>0</v>
      </c>
      <c r="V2656" s="128">
        <v>-19551.54</v>
      </c>
      <c r="W2656" s="128">
        <v>0</v>
      </c>
      <c r="X2656" s="128">
        <v>0</v>
      </c>
      <c r="Y2656" s="128">
        <v>0</v>
      </c>
      <c r="Z2656" s="128">
        <v>-19551.54</v>
      </c>
      <c r="AA2656" s="128">
        <v>0</v>
      </c>
      <c r="AB2656" s="126">
        <f t="shared" si="271"/>
        <v>1.9551540000000002E-3</v>
      </c>
      <c r="AC2656" s="122" t="s">
        <v>1838</v>
      </c>
      <c r="AD2656" s="123">
        <f t="shared" si="272"/>
        <v>5.5056985740000002</v>
      </c>
    </row>
    <row r="2657" spans="1:30" ht="12.75" hidden="1" customHeight="1">
      <c r="A2657" s="125" t="str">
        <f t="shared" si="268"/>
        <v>LIC170Bank Charges</v>
      </c>
      <c r="B2657" s="125">
        <f>+IFERROR(VLOOKUP(L2657,'TB mapping'!A:D,4,0),0)</f>
        <v>0</v>
      </c>
      <c r="C2657" s="125">
        <f>+IFERROR(VLOOKUP(L2657,'TB mapping'!A:C,3,0),0)</f>
        <v>6.3</v>
      </c>
      <c r="D2657" s="125" t="str">
        <f t="shared" si="269"/>
        <v>LIC1700</v>
      </c>
      <c r="E2657" s="125" t="str">
        <f t="shared" si="270"/>
        <v>LIC1706.3</v>
      </c>
      <c r="F2657" s="158" t="str">
        <f>+VLOOKUP(H2657,'code mapping'!A:C,3,0)</f>
        <v>LIC170</v>
      </c>
      <c r="G2657" s="127" t="s">
        <v>453</v>
      </c>
      <c r="H2657" s="127" t="s">
        <v>773</v>
      </c>
      <c r="I2657" s="127" t="s">
        <v>774</v>
      </c>
      <c r="J2657" s="128">
        <v>550000</v>
      </c>
      <c r="K2657" s="127" t="s">
        <v>550</v>
      </c>
      <c r="L2657" s="151">
        <v>553141</v>
      </c>
      <c r="M2657" s="128">
        <v>0</v>
      </c>
      <c r="N2657" s="127" t="s">
        <v>556</v>
      </c>
      <c r="O2657" s="127" t="s">
        <v>457</v>
      </c>
      <c r="P2657" s="128">
        <v>-295032.2</v>
      </c>
      <c r="Q2657" s="128">
        <v>0</v>
      </c>
      <c r="R2657" s="128">
        <v>0</v>
      </c>
      <c r="S2657" s="128">
        <v>0</v>
      </c>
      <c r="T2657" s="128">
        <v>-295032.2</v>
      </c>
      <c r="U2657" s="128">
        <v>0</v>
      </c>
      <c r="V2657" s="128">
        <v>-295032.2</v>
      </c>
      <c r="W2657" s="128">
        <v>0</v>
      </c>
      <c r="X2657" s="128">
        <v>0</v>
      </c>
      <c r="Y2657" s="128">
        <v>0</v>
      </c>
      <c r="Z2657" s="128">
        <v>-295032.2</v>
      </c>
      <c r="AA2657" s="128">
        <v>0</v>
      </c>
      <c r="AB2657" s="126">
        <f t="shared" si="271"/>
        <v>2.950322E-2</v>
      </c>
      <c r="AC2657" s="122" t="s">
        <v>1838</v>
      </c>
      <c r="AD2657" s="123">
        <f t="shared" si="272"/>
        <v>5.5056985740000002</v>
      </c>
    </row>
    <row r="2658" spans="1:30" ht="12.75" hidden="1" customHeight="1">
      <c r="A2658" s="125" t="str">
        <f t="shared" si="268"/>
        <v>LIC170Marketing Fees</v>
      </c>
      <c r="B2658" s="125">
        <f>+IFERROR(VLOOKUP(L2658,'TB mapping'!A:D,4,0),0)</f>
        <v>0</v>
      </c>
      <c r="C2658" s="125">
        <f>+IFERROR(VLOOKUP(L2658,'TB mapping'!A:C,3,0),0)</f>
        <v>6.3</v>
      </c>
      <c r="D2658" s="125" t="str">
        <f t="shared" si="269"/>
        <v>LIC1700</v>
      </c>
      <c r="E2658" s="125" t="str">
        <f t="shared" si="270"/>
        <v>LIC1706.3</v>
      </c>
      <c r="F2658" s="158" t="str">
        <f>+VLOOKUP(H2658,'code mapping'!A:C,3,0)</f>
        <v>LIC170</v>
      </c>
      <c r="G2658" s="127" t="s">
        <v>453</v>
      </c>
      <c r="H2658" s="127" t="s">
        <v>773</v>
      </c>
      <c r="I2658" s="127" t="s">
        <v>774</v>
      </c>
      <c r="J2658" s="128">
        <v>550000</v>
      </c>
      <c r="K2658" s="127" t="s">
        <v>550</v>
      </c>
      <c r="L2658" s="151">
        <v>553147</v>
      </c>
      <c r="M2658" s="128">
        <v>0</v>
      </c>
      <c r="N2658" s="127" t="s">
        <v>712</v>
      </c>
      <c r="O2658" s="127" t="s">
        <v>457</v>
      </c>
      <c r="P2658" s="128">
        <v>-17778.93</v>
      </c>
      <c r="Q2658" s="128">
        <v>0</v>
      </c>
      <c r="R2658" s="128">
        <v>0</v>
      </c>
      <c r="S2658" s="128">
        <v>0</v>
      </c>
      <c r="T2658" s="128">
        <v>-17778.93</v>
      </c>
      <c r="U2658" s="128">
        <v>0</v>
      </c>
      <c r="V2658" s="128">
        <v>-17778.93</v>
      </c>
      <c r="W2658" s="128">
        <v>0</v>
      </c>
      <c r="X2658" s="128">
        <v>0</v>
      </c>
      <c r="Y2658" s="128">
        <v>0</v>
      </c>
      <c r="Z2658" s="128">
        <v>-17778.93</v>
      </c>
      <c r="AA2658" s="128">
        <v>0</v>
      </c>
      <c r="AB2658" s="126">
        <f t="shared" si="271"/>
        <v>1.777893E-3</v>
      </c>
      <c r="AC2658" s="122" t="s">
        <v>1838</v>
      </c>
      <c r="AD2658" s="123">
        <f t="shared" si="272"/>
        <v>5.5056985740000002</v>
      </c>
    </row>
    <row r="2659" spans="1:30" ht="12.75" hidden="1" customHeight="1">
      <c r="A2659" s="125" t="str">
        <f t="shared" si="268"/>
        <v>LIC170Investor Education Fund Exps</v>
      </c>
      <c r="B2659" s="125">
        <f>+IFERROR(VLOOKUP(L2659,'TB mapping'!A:D,4,0),0)</f>
        <v>0</v>
      </c>
      <c r="C2659" s="125">
        <f>+IFERROR(VLOOKUP(L2659,'TB mapping'!A:C,3,0),0)</f>
        <v>6.3</v>
      </c>
      <c r="D2659" s="125" t="str">
        <f t="shared" si="269"/>
        <v>LIC1700</v>
      </c>
      <c r="E2659" s="125" t="str">
        <f t="shared" si="270"/>
        <v>LIC1706.3</v>
      </c>
      <c r="F2659" s="158" t="str">
        <f>+VLOOKUP(H2659,'code mapping'!A:C,3,0)</f>
        <v>LIC170</v>
      </c>
      <c r="G2659" s="127" t="s">
        <v>453</v>
      </c>
      <c r="H2659" s="127" t="s">
        <v>773</v>
      </c>
      <c r="I2659" s="127" t="s">
        <v>774</v>
      </c>
      <c r="J2659" s="128">
        <v>550000</v>
      </c>
      <c r="K2659" s="127" t="s">
        <v>550</v>
      </c>
      <c r="L2659" s="151">
        <v>553171</v>
      </c>
      <c r="M2659" s="128">
        <v>0</v>
      </c>
      <c r="N2659" s="127" t="s">
        <v>557</v>
      </c>
      <c r="O2659" s="127" t="s">
        <v>457</v>
      </c>
      <c r="P2659" s="128">
        <v>-207514.23999999999</v>
      </c>
      <c r="Q2659" s="128">
        <v>0</v>
      </c>
      <c r="R2659" s="128">
        <v>0</v>
      </c>
      <c r="S2659" s="128">
        <v>0</v>
      </c>
      <c r="T2659" s="128">
        <v>-207514.23999999999</v>
      </c>
      <c r="U2659" s="128">
        <v>0</v>
      </c>
      <c r="V2659" s="128">
        <v>-207514.23999999999</v>
      </c>
      <c r="W2659" s="128">
        <v>0</v>
      </c>
      <c r="X2659" s="128">
        <v>0</v>
      </c>
      <c r="Y2659" s="128">
        <v>0</v>
      </c>
      <c r="Z2659" s="128">
        <v>-207514.23999999999</v>
      </c>
      <c r="AA2659" s="128">
        <v>0</v>
      </c>
      <c r="AB2659" s="126">
        <f t="shared" si="271"/>
        <v>2.0751423999999997E-2</v>
      </c>
      <c r="AC2659" s="122" t="s">
        <v>1838</v>
      </c>
      <c r="AD2659" s="123">
        <f t="shared" si="272"/>
        <v>5.5056985740000002</v>
      </c>
    </row>
    <row r="2660" spans="1:30" ht="12.75" hidden="1" customHeight="1">
      <c r="A2660" s="125" t="str">
        <f t="shared" si="268"/>
        <v>LIC170Service Tax on Management Fees</v>
      </c>
      <c r="B2660" s="125">
        <f>+IFERROR(VLOOKUP(L2660,'TB mapping'!A:D,4,0),0)</f>
        <v>6.1</v>
      </c>
      <c r="C2660" s="125">
        <f>+IFERROR(VLOOKUP(L2660,'TB mapping'!A:C,3,0),0)</f>
        <v>6.3</v>
      </c>
      <c r="D2660" s="125" t="str">
        <f t="shared" si="269"/>
        <v>LIC1706.1</v>
      </c>
      <c r="E2660" s="125" t="str">
        <f t="shared" si="270"/>
        <v>LIC1706.3</v>
      </c>
      <c r="F2660" s="158" t="str">
        <f>+VLOOKUP(H2660,'code mapping'!A:C,3,0)</f>
        <v>LIC170</v>
      </c>
      <c r="G2660" s="127" t="s">
        <v>453</v>
      </c>
      <c r="H2660" s="127" t="s">
        <v>773</v>
      </c>
      <c r="I2660" s="127" t="s">
        <v>774</v>
      </c>
      <c r="J2660" s="128">
        <v>550000</v>
      </c>
      <c r="K2660" s="127" t="s">
        <v>550</v>
      </c>
      <c r="L2660" s="151">
        <v>553172</v>
      </c>
      <c r="M2660" s="128">
        <v>0</v>
      </c>
      <c r="N2660" s="127" t="s">
        <v>558</v>
      </c>
      <c r="O2660" s="127" t="s">
        <v>457</v>
      </c>
      <c r="P2660" s="128">
        <v>-445667.28</v>
      </c>
      <c r="Q2660" s="128">
        <v>0</v>
      </c>
      <c r="R2660" s="128">
        <v>0</v>
      </c>
      <c r="S2660" s="128">
        <v>0</v>
      </c>
      <c r="T2660" s="128">
        <v>-445667.28</v>
      </c>
      <c r="U2660" s="128">
        <v>0</v>
      </c>
      <c r="V2660" s="128">
        <v>-445667.28</v>
      </c>
      <c r="W2660" s="128">
        <v>0</v>
      </c>
      <c r="X2660" s="128">
        <v>0</v>
      </c>
      <c r="Y2660" s="128">
        <v>0</v>
      </c>
      <c r="Z2660" s="128">
        <v>-445667.28</v>
      </c>
      <c r="AA2660" s="128">
        <v>0</v>
      </c>
      <c r="AB2660" s="126">
        <f t="shared" si="271"/>
        <v>4.4566728E-2</v>
      </c>
      <c r="AC2660" s="122" t="s">
        <v>1838</v>
      </c>
      <c r="AD2660" s="123">
        <f t="shared" si="272"/>
        <v>5.5056985740000002</v>
      </c>
    </row>
    <row r="2661" spans="1:30" ht="12.75" hidden="1" customHeight="1">
      <c r="A2661" s="125" t="str">
        <f t="shared" si="268"/>
        <v>LIC170CCIL Expenses</v>
      </c>
      <c r="B2661" s="125">
        <f>+IFERROR(VLOOKUP(L2661,'TB mapping'!A:D,4,0),0)</f>
        <v>0</v>
      </c>
      <c r="C2661" s="125">
        <f>+IFERROR(VLOOKUP(L2661,'TB mapping'!A:C,3,0),0)</f>
        <v>6.3</v>
      </c>
      <c r="D2661" s="125" t="str">
        <f t="shared" si="269"/>
        <v>LIC1700</v>
      </c>
      <c r="E2661" s="125" t="str">
        <f t="shared" si="270"/>
        <v>LIC1706.3</v>
      </c>
      <c r="F2661" s="158" t="str">
        <f>+VLOOKUP(H2661,'code mapping'!A:C,3,0)</f>
        <v>LIC170</v>
      </c>
      <c r="G2661" s="127" t="s">
        <v>453</v>
      </c>
      <c r="H2661" s="127" t="s">
        <v>773</v>
      </c>
      <c r="I2661" s="127" t="s">
        <v>774</v>
      </c>
      <c r="J2661" s="128">
        <v>550000</v>
      </c>
      <c r="K2661" s="127" t="s">
        <v>550</v>
      </c>
      <c r="L2661" s="151">
        <v>553176</v>
      </c>
      <c r="M2661" s="128">
        <v>0</v>
      </c>
      <c r="N2661" s="127" t="s">
        <v>559</v>
      </c>
      <c r="O2661" s="127" t="s">
        <v>457</v>
      </c>
      <c r="P2661" s="128">
        <v>-52947</v>
      </c>
      <c r="Q2661" s="128">
        <v>0</v>
      </c>
      <c r="R2661" s="128">
        <v>0</v>
      </c>
      <c r="S2661" s="128">
        <v>0</v>
      </c>
      <c r="T2661" s="128">
        <v>-52947</v>
      </c>
      <c r="U2661" s="128">
        <v>0</v>
      </c>
      <c r="V2661" s="128">
        <v>-52947</v>
      </c>
      <c r="W2661" s="128">
        <v>0</v>
      </c>
      <c r="X2661" s="128">
        <v>0</v>
      </c>
      <c r="Y2661" s="128">
        <v>0</v>
      </c>
      <c r="Z2661" s="128">
        <v>-52947</v>
      </c>
      <c r="AA2661" s="128">
        <v>0</v>
      </c>
      <c r="AB2661" s="126">
        <f t="shared" si="271"/>
        <v>5.2947000000000003E-3</v>
      </c>
      <c r="AC2661" s="122" t="s">
        <v>1838</v>
      </c>
      <c r="AD2661" s="123">
        <f t="shared" si="272"/>
        <v>5.5056985740000002</v>
      </c>
    </row>
    <row r="2662" spans="1:30" ht="12.75" hidden="1" customHeight="1">
      <c r="A2662" s="125" t="str">
        <f t="shared" si="268"/>
        <v>LIC170Out of Pocket Expenses - R&amp;T</v>
      </c>
      <c r="B2662" s="125">
        <f>+IFERROR(VLOOKUP(L2662,'TB mapping'!A:D,4,0),0)</f>
        <v>0</v>
      </c>
      <c r="C2662" s="125">
        <f>+IFERROR(VLOOKUP(L2662,'TB mapping'!A:C,3,0),0)</f>
        <v>6.3</v>
      </c>
      <c r="D2662" s="125" t="str">
        <f t="shared" si="269"/>
        <v>LIC1700</v>
      </c>
      <c r="E2662" s="125" t="str">
        <f t="shared" si="270"/>
        <v>LIC1706.3</v>
      </c>
      <c r="F2662" s="158" t="str">
        <f>+VLOOKUP(H2662,'code mapping'!A:C,3,0)</f>
        <v>LIC170</v>
      </c>
      <c r="G2662" s="127" t="s">
        <v>453</v>
      </c>
      <c r="H2662" s="127" t="s">
        <v>773</v>
      </c>
      <c r="I2662" s="127" t="s">
        <v>774</v>
      </c>
      <c r="J2662" s="128">
        <v>550000</v>
      </c>
      <c r="K2662" s="127" t="s">
        <v>550</v>
      </c>
      <c r="L2662" s="151">
        <v>553180</v>
      </c>
      <c r="M2662" s="128">
        <v>0</v>
      </c>
      <c r="N2662" s="127" t="s">
        <v>560</v>
      </c>
      <c r="O2662" s="127" t="s">
        <v>457</v>
      </c>
      <c r="P2662" s="128">
        <v>-258417.8</v>
      </c>
      <c r="Q2662" s="128">
        <v>0</v>
      </c>
      <c r="R2662" s="128">
        <v>0</v>
      </c>
      <c r="S2662" s="128">
        <v>0</v>
      </c>
      <c r="T2662" s="128">
        <v>-258417.8</v>
      </c>
      <c r="U2662" s="128">
        <v>0</v>
      </c>
      <c r="V2662" s="128">
        <v>-258417.8</v>
      </c>
      <c r="W2662" s="128">
        <v>0</v>
      </c>
      <c r="X2662" s="128">
        <v>0</v>
      </c>
      <c r="Y2662" s="128">
        <v>0</v>
      </c>
      <c r="Z2662" s="128">
        <v>-258417.8</v>
      </c>
      <c r="AA2662" s="128">
        <v>0</v>
      </c>
      <c r="AB2662" s="126">
        <f t="shared" si="271"/>
        <v>2.5841779999999998E-2</v>
      </c>
      <c r="AC2662" s="122" t="s">
        <v>1838</v>
      </c>
      <c r="AD2662" s="123">
        <f t="shared" si="272"/>
        <v>5.5056985740000002</v>
      </c>
    </row>
    <row r="2663" spans="1:30" ht="12.75" hidden="1" customHeight="1">
      <c r="A2663" s="125" t="str">
        <f t="shared" si="268"/>
        <v>LIC170Other Expenses</v>
      </c>
      <c r="B2663" s="125">
        <f>+IFERROR(VLOOKUP(L2663,'TB mapping'!A:D,4,0),0)</f>
        <v>0</v>
      </c>
      <c r="C2663" s="125">
        <f>+IFERROR(VLOOKUP(L2663,'TB mapping'!A:C,3,0),0)</f>
        <v>6.3</v>
      </c>
      <c r="D2663" s="125" t="str">
        <f t="shared" si="269"/>
        <v>LIC1700</v>
      </c>
      <c r="E2663" s="125" t="str">
        <f t="shared" si="270"/>
        <v>LIC1706.3</v>
      </c>
      <c r="F2663" s="158" t="str">
        <f>+VLOOKUP(H2663,'code mapping'!A:C,3,0)</f>
        <v>LIC170</v>
      </c>
      <c r="G2663" s="127" t="s">
        <v>453</v>
      </c>
      <c r="H2663" s="127" t="s">
        <v>773</v>
      </c>
      <c r="I2663" s="127" t="s">
        <v>774</v>
      </c>
      <c r="J2663" s="128">
        <v>550000</v>
      </c>
      <c r="K2663" s="127" t="s">
        <v>550</v>
      </c>
      <c r="L2663" s="151">
        <v>553190</v>
      </c>
      <c r="M2663" s="128">
        <v>0</v>
      </c>
      <c r="N2663" s="127" t="s">
        <v>561</v>
      </c>
      <c r="O2663" s="127" t="s">
        <v>457</v>
      </c>
      <c r="P2663" s="128">
        <v>-693847.17</v>
      </c>
      <c r="Q2663" s="128">
        <v>0</v>
      </c>
      <c r="R2663" s="128">
        <v>0</v>
      </c>
      <c r="S2663" s="128">
        <v>0</v>
      </c>
      <c r="T2663" s="128">
        <v>-693847.17</v>
      </c>
      <c r="U2663" s="128">
        <v>0</v>
      </c>
      <c r="V2663" s="128">
        <v>-693847.17</v>
      </c>
      <c r="W2663" s="128">
        <v>0</v>
      </c>
      <c r="X2663" s="128">
        <v>0</v>
      </c>
      <c r="Y2663" s="128">
        <v>0</v>
      </c>
      <c r="Z2663" s="128">
        <v>-693847.17</v>
      </c>
      <c r="AA2663" s="128">
        <v>0</v>
      </c>
      <c r="AB2663" s="126">
        <f t="shared" si="271"/>
        <v>6.9384716999999999E-2</v>
      </c>
      <c r="AC2663" s="122" t="s">
        <v>1838</v>
      </c>
      <c r="AD2663" s="123">
        <f t="shared" si="272"/>
        <v>5.5056985740000002</v>
      </c>
    </row>
    <row r="2664" spans="1:30" ht="12.75" hidden="1" customHeight="1">
      <c r="A2664" s="125" t="str">
        <f t="shared" si="268"/>
        <v>LIC170Other Expenses-RG</v>
      </c>
      <c r="B2664" s="125">
        <f>+IFERROR(VLOOKUP(L2664,'TB mapping'!A:D,4,0),0)</f>
        <v>0</v>
      </c>
      <c r="C2664" s="125">
        <f>+IFERROR(VLOOKUP(L2664,'TB mapping'!A:C,3,0),0)</f>
        <v>6.3</v>
      </c>
      <c r="D2664" s="125" t="str">
        <f t="shared" si="269"/>
        <v>LIC1700</v>
      </c>
      <c r="E2664" s="125" t="str">
        <f t="shared" si="270"/>
        <v>LIC1706.3</v>
      </c>
      <c r="F2664" s="158" t="str">
        <f>+VLOOKUP(H2664,'code mapping'!A:C,3,0)</f>
        <v>LIC170</v>
      </c>
      <c r="G2664" s="127" t="s">
        <v>453</v>
      </c>
      <c r="H2664" s="127" t="s">
        <v>773</v>
      </c>
      <c r="I2664" s="127" t="s">
        <v>774</v>
      </c>
      <c r="J2664" s="128">
        <v>550000</v>
      </c>
      <c r="K2664" s="127" t="s">
        <v>550</v>
      </c>
      <c r="L2664" s="151">
        <v>553191</v>
      </c>
      <c r="M2664" s="128">
        <v>0</v>
      </c>
      <c r="N2664" s="127" t="s">
        <v>562</v>
      </c>
      <c r="O2664" s="127" t="s">
        <v>457</v>
      </c>
      <c r="P2664" s="128">
        <v>-1790956.83</v>
      </c>
      <c r="Q2664" s="128">
        <v>0</v>
      </c>
      <c r="R2664" s="128">
        <v>0</v>
      </c>
      <c r="S2664" s="128">
        <v>0</v>
      </c>
      <c r="T2664" s="128">
        <v>-1790956.83</v>
      </c>
      <c r="U2664" s="128">
        <v>0</v>
      </c>
      <c r="V2664" s="128">
        <v>-1790956.83</v>
      </c>
      <c r="W2664" s="128">
        <v>0</v>
      </c>
      <c r="X2664" s="128">
        <v>0</v>
      </c>
      <c r="Y2664" s="128">
        <v>0</v>
      </c>
      <c r="Z2664" s="128">
        <v>-1790956.83</v>
      </c>
      <c r="AA2664" s="128">
        <v>0</v>
      </c>
      <c r="AB2664" s="126">
        <f t="shared" si="271"/>
        <v>0.17909568300000001</v>
      </c>
      <c r="AC2664" s="122" t="s">
        <v>1838</v>
      </c>
      <c r="AD2664" s="123">
        <f t="shared" si="272"/>
        <v>5.5056985740000002</v>
      </c>
    </row>
    <row r="2665" spans="1:30" ht="12.75" hidden="1" customHeight="1">
      <c r="A2665" s="125" t="str">
        <f t="shared" si="268"/>
        <v>LIC170Other Expenses-RD</v>
      </c>
      <c r="B2665" s="125">
        <f>+IFERROR(VLOOKUP(L2665,'TB mapping'!A:D,4,0),0)</f>
        <v>0</v>
      </c>
      <c r="C2665" s="125">
        <f>+IFERROR(VLOOKUP(L2665,'TB mapping'!A:C,3,0),0)</f>
        <v>6.3</v>
      </c>
      <c r="D2665" s="125" t="str">
        <f t="shared" si="269"/>
        <v>LIC1700</v>
      </c>
      <c r="E2665" s="125" t="str">
        <f t="shared" si="270"/>
        <v>LIC1706.3</v>
      </c>
      <c r="F2665" s="158" t="str">
        <f>+VLOOKUP(H2665,'code mapping'!A:C,3,0)</f>
        <v>LIC170</v>
      </c>
      <c r="G2665" s="127" t="s">
        <v>453</v>
      </c>
      <c r="H2665" s="127" t="s">
        <v>773</v>
      </c>
      <c r="I2665" s="127" t="s">
        <v>774</v>
      </c>
      <c r="J2665" s="128">
        <v>550000</v>
      </c>
      <c r="K2665" s="127" t="s">
        <v>550</v>
      </c>
      <c r="L2665" s="151">
        <v>553192</v>
      </c>
      <c r="M2665" s="128">
        <v>0</v>
      </c>
      <c r="N2665" s="127" t="s">
        <v>563</v>
      </c>
      <c r="O2665" s="127" t="s">
        <v>457</v>
      </c>
      <c r="P2665" s="128">
        <v>-140280.48000000001</v>
      </c>
      <c r="Q2665" s="128">
        <v>0</v>
      </c>
      <c r="R2665" s="128">
        <v>0</v>
      </c>
      <c r="S2665" s="128">
        <v>0</v>
      </c>
      <c r="T2665" s="128">
        <v>-140280.48000000001</v>
      </c>
      <c r="U2665" s="128">
        <v>0</v>
      </c>
      <c r="V2665" s="128">
        <v>-140280.48000000001</v>
      </c>
      <c r="W2665" s="128">
        <v>0</v>
      </c>
      <c r="X2665" s="128">
        <v>0</v>
      </c>
      <c r="Y2665" s="128">
        <v>0</v>
      </c>
      <c r="Z2665" s="128">
        <v>-140280.48000000001</v>
      </c>
      <c r="AA2665" s="128">
        <v>0</v>
      </c>
      <c r="AB2665" s="126">
        <f t="shared" si="271"/>
        <v>1.4028048000000001E-2</v>
      </c>
      <c r="AC2665" s="122" t="s">
        <v>1838</v>
      </c>
      <c r="AD2665" s="123">
        <f t="shared" si="272"/>
        <v>5.5056985740000002</v>
      </c>
    </row>
    <row r="2666" spans="1:30" ht="12.75" hidden="1" customHeight="1">
      <c r="A2666" s="125" t="str">
        <f t="shared" si="268"/>
        <v>LIC170Other Exp - Brok - Indirect</v>
      </c>
      <c r="B2666" s="125">
        <f>+IFERROR(VLOOKUP(L2666,'TB mapping'!A:D,4,0),0)</f>
        <v>0</v>
      </c>
      <c r="C2666" s="125">
        <f>+IFERROR(VLOOKUP(L2666,'TB mapping'!A:C,3,0),0)</f>
        <v>6.3</v>
      </c>
      <c r="D2666" s="125" t="str">
        <f t="shared" si="269"/>
        <v>LIC1700</v>
      </c>
      <c r="E2666" s="125" t="str">
        <f t="shared" si="270"/>
        <v>LIC1706.3</v>
      </c>
      <c r="F2666" s="158" t="str">
        <f>+VLOOKUP(H2666,'code mapping'!A:C,3,0)</f>
        <v>LIC170</v>
      </c>
      <c r="G2666" s="127" t="s">
        <v>453</v>
      </c>
      <c r="H2666" s="127" t="s">
        <v>773</v>
      </c>
      <c r="I2666" s="127" t="s">
        <v>774</v>
      </c>
      <c r="J2666" s="128">
        <v>550000</v>
      </c>
      <c r="K2666" s="127" t="s">
        <v>550</v>
      </c>
      <c r="L2666" s="151">
        <v>553202</v>
      </c>
      <c r="M2666" s="128">
        <v>0</v>
      </c>
      <c r="N2666" s="127" t="s">
        <v>564</v>
      </c>
      <c r="O2666" s="127" t="s">
        <v>457</v>
      </c>
      <c r="P2666" s="128">
        <v>-18726248.27</v>
      </c>
      <c r="Q2666" s="128">
        <v>0</v>
      </c>
      <c r="R2666" s="128">
        <v>0</v>
      </c>
      <c r="S2666" s="128">
        <v>0</v>
      </c>
      <c r="T2666" s="128">
        <v>-18726248.27</v>
      </c>
      <c r="U2666" s="128">
        <v>0</v>
      </c>
      <c r="V2666" s="128">
        <v>-18726248.27</v>
      </c>
      <c r="W2666" s="128">
        <v>0</v>
      </c>
      <c r="X2666" s="128">
        <v>0</v>
      </c>
      <c r="Y2666" s="128">
        <v>0</v>
      </c>
      <c r="Z2666" s="128">
        <v>-18726248.27</v>
      </c>
      <c r="AA2666" s="128">
        <v>0</v>
      </c>
      <c r="AB2666" s="126">
        <f t="shared" si="271"/>
        <v>1.8726248269999999</v>
      </c>
      <c r="AC2666" s="122" t="s">
        <v>1838</v>
      </c>
      <c r="AD2666" s="123">
        <f t="shared" si="272"/>
        <v>5.5056985740000002</v>
      </c>
    </row>
    <row r="2667" spans="1:30" ht="12.75" hidden="1" customHeight="1">
      <c r="A2667" s="125" t="str">
        <f t="shared" si="268"/>
        <v>LIC170Brokerage/Dist Exps</v>
      </c>
      <c r="B2667" s="125">
        <f>+IFERROR(VLOOKUP(L2667,'TB mapping'!A:D,4,0),0)</f>
        <v>0</v>
      </c>
      <c r="C2667" s="125">
        <f>+IFERROR(VLOOKUP(L2667,'TB mapping'!A:C,3,0),0)</f>
        <v>6.3</v>
      </c>
      <c r="D2667" s="125" t="str">
        <f t="shared" si="269"/>
        <v>LIC1700</v>
      </c>
      <c r="E2667" s="125" t="str">
        <f t="shared" si="270"/>
        <v>LIC1706.3</v>
      </c>
      <c r="F2667" s="158" t="str">
        <f>+VLOOKUP(H2667,'code mapping'!A:C,3,0)</f>
        <v>LIC170</v>
      </c>
      <c r="G2667" s="127" t="s">
        <v>453</v>
      </c>
      <c r="H2667" s="127" t="s">
        <v>773</v>
      </c>
      <c r="I2667" s="127" t="s">
        <v>774</v>
      </c>
      <c r="J2667" s="128">
        <v>550000</v>
      </c>
      <c r="K2667" s="127" t="s">
        <v>550</v>
      </c>
      <c r="L2667" s="151">
        <v>553208</v>
      </c>
      <c r="M2667" s="128">
        <v>0</v>
      </c>
      <c r="N2667" s="127" t="s">
        <v>565</v>
      </c>
      <c r="O2667" s="127" t="s">
        <v>457</v>
      </c>
      <c r="P2667" s="128">
        <v>0</v>
      </c>
      <c r="Q2667" s="128">
        <v>7210695.9000000004</v>
      </c>
      <c r="R2667" s="128">
        <v>0</v>
      </c>
      <c r="S2667" s="128">
        <v>0</v>
      </c>
      <c r="T2667" s="128">
        <v>0</v>
      </c>
      <c r="U2667" s="128">
        <v>7210695.9000000004</v>
      </c>
      <c r="V2667" s="128">
        <v>0</v>
      </c>
      <c r="W2667" s="128">
        <v>7210695.9000000004</v>
      </c>
      <c r="X2667" s="128">
        <v>0</v>
      </c>
      <c r="Y2667" s="128">
        <v>0</v>
      </c>
      <c r="Z2667" s="128">
        <v>0</v>
      </c>
      <c r="AA2667" s="128">
        <v>7210695.9000000004</v>
      </c>
      <c r="AB2667" s="126">
        <f t="shared" si="271"/>
        <v>-0.72106959000000004</v>
      </c>
      <c r="AC2667" s="122" t="s">
        <v>1838</v>
      </c>
      <c r="AD2667" s="123">
        <f t="shared" si="272"/>
        <v>5.5056985740000002</v>
      </c>
    </row>
    <row r="2668" spans="1:30" ht="12.75" hidden="1" customHeight="1">
      <c r="A2668" s="125" t="str">
        <f t="shared" si="268"/>
        <v>LIC170Internal Audit Fee</v>
      </c>
      <c r="B2668" s="125">
        <f>+IFERROR(VLOOKUP(L2668,'TB mapping'!A:D,4,0),0)</f>
        <v>0</v>
      </c>
      <c r="C2668" s="125">
        <f>+IFERROR(VLOOKUP(L2668,'TB mapping'!A:C,3,0),0)</f>
        <v>6.3</v>
      </c>
      <c r="D2668" s="125" t="str">
        <f t="shared" si="269"/>
        <v>LIC1700</v>
      </c>
      <c r="E2668" s="125" t="str">
        <f t="shared" si="270"/>
        <v>LIC1706.3</v>
      </c>
      <c r="F2668" s="158" t="str">
        <f>+VLOOKUP(H2668,'code mapping'!A:C,3,0)</f>
        <v>LIC170</v>
      </c>
      <c r="G2668" s="127" t="s">
        <v>453</v>
      </c>
      <c r="H2668" s="127" t="s">
        <v>773</v>
      </c>
      <c r="I2668" s="127" t="s">
        <v>774</v>
      </c>
      <c r="J2668" s="128">
        <v>550000</v>
      </c>
      <c r="K2668" s="127" t="s">
        <v>550</v>
      </c>
      <c r="L2668" s="151">
        <v>553213</v>
      </c>
      <c r="M2668" s="128">
        <v>0</v>
      </c>
      <c r="N2668" s="127" t="s">
        <v>566</v>
      </c>
      <c r="O2668" s="127" t="s">
        <v>457</v>
      </c>
      <c r="P2668" s="128">
        <v>-26137.68</v>
      </c>
      <c r="Q2668" s="128">
        <v>0</v>
      </c>
      <c r="R2668" s="128">
        <v>0</v>
      </c>
      <c r="S2668" s="128">
        <v>0</v>
      </c>
      <c r="T2668" s="128">
        <v>-26137.68</v>
      </c>
      <c r="U2668" s="128">
        <v>0</v>
      </c>
      <c r="V2668" s="128">
        <v>-26137.68</v>
      </c>
      <c r="W2668" s="128">
        <v>0</v>
      </c>
      <c r="X2668" s="128">
        <v>0</v>
      </c>
      <c r="Y2668" s="128">
        <v>0</v>
      </c>
      <c r="Z2668" s="128">
        <v>-26137.68</v>
      </c>
      <c r="AA2668" s="128">
        <v>0</v>
      </c>
      <c r="AB2668" s="126">
        <f t="shared" si="271"/>
        <v>2.6137679999999998E-3</v>
      </c>
      <c r="AC2668" s="122" t="s">
        <v>1838</v>
      </c>
      <c r="AD2668" s="123">
        <f t="shared" si="272"/>
        <v>5.5056985740000002</v>
      </c>
    </row>
    <row r="2669" spans="1:30" ht="12.75" hidden="1" customHeight="1">
      <c r="A2669" s="125" t="str">
        <f t="shared" si="268"/>
        <v>LIC170Other Expenses-GDP</v>
      </c>
      <c r="B2669" s="125">
        <f>+IFERROR(VLOOKUP(L2669,'TB mapping'!A:D,4,0),0)</f>
        <v>0</v>
      </c>
      <c r="C2669" s="125">
        <f>+IFERROR(VLOOKUP(L2669,'TB mapping'!A:C,3,0),0)</f>
        <v>6.3</v>
      </c>
      <c r="D2669" s="125" t="str">
        <f t="shared" si="269"/>
        <v>LIC1700</v>
      </c>
      <c r="E2669" s="125" t="str">
        <f t="shared" si="270"/>
        <v>LIC1706.3</v>
      </c>
      <c r="F2669" s="158" t="str">
        <f>+VLOOKUP(H2669,'code mapping'!A:C,3,0)</f>
        <v>LIC170</v>
      </c>
      <c r="G2669" s="127" t="s">
        <v>453</v>
      </c>
      <c r="H2669" s="127" t="s">
        <v>773</v>
      </c>
      <c r="I2669" s="127" t="s">
        <v>774</v>
      </c>
      <c r="J2669" s="128">
        <v>550000</v>
      </c>
      <c r="K2669" s="127" t="s">
        <v>550</v>
      </c>
      <c r="L2669" s="151">
        <v>553329</v>
      </c>
      <c r="M2669" s="128">
        <v>0</v>
      </c>
      <c r="N2669" s="127" t="s">
        <v>567</v>
      </c>
      <c r="O2669" s="127" t="s">
        <v>457</v>
      </c>
      <c r="P2669" s="128">
        <v>-645470.64</v>
      </c>
      <c r="Q2669" s="128">
        <v>0</v>
      </c>
      <c r="R2669" s="128">
        <v>0</v>
      </c>
      <c r="S2669" s="128">
        <v>0</v>
      </c>
      <c r="T2669" s="128">
        <v>-645470.64</v>
      </c>
      <c r="U2669" s="128">
        <v>0</v>
      </c>
      <c r="V2669" s="128">
        <v>-645470.64</v>
      </c>
      <c r="W2669" s="128">
        <v>0</v>
      </c>
      <c r="X2669" s="128">
        <v>0</v>
      </c>
      <c r="Y2669" s="128">
        <v>0</v>
      </c>
      <c r="Z2669" s="128">
        <v>-645470.64</v>
      </c>
      <c r="AA2669" s="128">
        <v>0</v>
      </c>
      <c r="AB2669" s="126">
        <f t="shared" si="271"/>
        <v>6.4547064000000001E-2</v>
      </c>
      <c r="AC2669" s="122" t="s">
        <v>1838</v>
      </c>
      <c r="AD2669" s="123">
        <f t="shared" si="272"/>
        <v>5.5056985740000002</v>
      </c>
    </row>
    <row r="2670" spans="1:30" ht="12.75" hidden="1" customHeight="1">
      <c r="A2670" s="125" t="str">
        <f t="shared" si="268"/>
        <v>LIC170Other Expenses-DDP</v>
      </c>
      <c r="B2670" s="125">
        <f>+IFERROR(VLOOKUP(L2670,'TB mapping'!A:D,4,0),0)</f>
        <v>0</v>
      </c>
      <c r="C2670" s="125">
        <f>+IFERROR(VLOOKUP(L2670,'TB mapping'!A:C,3,0),0)</f>
        <v>6.3</v>
      </c>
      <c r="D2670" s="125" t="str">
        <f t="shared" si="269"/>
        <v>LIC1700</v>
      </c>
      <c r="E2670" s="125" t="str">
        <f t="shared" si="270"/>
        <v>LIC1706.3</v>
      </c>
      <c r="F2670" s="158" t="str">
        <f>+VLOOKUP(H2670,'code mapping'!A:C,3,0)</f>
        <v>LIC170</v>
      </c>
      <c r="G2670" s="127" t="s">
        <v>453</v>
      </c>
      <c r="H2670" s="127" t="s">
        <v>773</v>
      </c>
      <c r="I2670" s="127" t="s">
        <v>774</v>
      </c>
      <c r="J2670" s="128">
        <v>550000</v>
      </c>
      <c r="K2670" s="127" t="s">
        <v>550</v>
      </c>
      <c r="L2670" s="151">
        <v>553330</v>
      </c>
      <c r="M2670" s="128">
        <v>0</v>
      </c>
      <c r="N2670" s="127" t="s">
        <v>568</v>
      </c>
      <c r="O2670" s="127" t="s">
        <v>457</v>
      </c>
      <c r="P2670" s="128">
        <v>-9479.6</v>
      </c>
      <c r="Q2670" s="128">
        <v>0</v>
      </c>
      <c r="R2670" s="128">
        <v>0</v>
      </c>
      <c r="S2670" s="128">
        <v>0</v>
      </c>
      <c r="T2670" s="128">
        <v>-9479.6</v>
      </c>
      <c r="U2670" s="128">
        <v>0</v>
      </c>
      <c r="V2670" s="128">
        <v>-9479.6</v>
      </c>
      <c r="W2670" s="128">
        <v>0</v>
      </c>
      <c r="X2670" s="128">
        <v>0</v>
      </c>
      <c r="Y2670" s="128">
        <v>0</v>
      </c>
      <c r="Z2670" s="128">
        <v>-9479.6</v>
      </c>
      <c r="AA2670" s="128">
        <v>0</v>
      </c>
      <c r="AB2670" s="126">
        <f t="shared" si="271"/>
        <v>9.4796000000000008E-4</v>
      </c>
      <c r="AC2670" s="122" t="s">
        <v>1838</v>
      </c>
      <c r="AD2670" s="123">
        <f t="shared" si="272"/>
        <v>5.5056985740000002</v>
      </c>
    </row>
    <row r="2671" spans="1:30" ht="12.75" hidden="1" customHeight="1">
      <c r="A2671" s="125" t="str">
        <f t="shared" si="268"/>
        <v>LIC170Exp-Additional TER</v>
      </c>
      <c r="B2671" s="125">
        <f>+IFERROR(VLOOKUP(L2671,'TB mapping'!A:D,4,0),0)</f>
        <v>0</v>
      </c>
      <c r="C2671" s="125">
        <f>+IFERROR(VLOOKUP(L2671,'TB mapping'!A:C,3,0),0)</f>
        <v>6.3</v>
      </c>
      <c r="D2671" s="125" t="str">
        <f t="shared" si="269"/>
        <v>LIC1700</v>
      </c>
      <c r="E2671" s="125" t="str">
        <f t="shared" si="270"/>
        <v>LIC1706.3</v>
      </c>
      <c r="F2671" s="158" t="str">
        <f>+VLOOKUP(H2671,'code mapping'!A:C,3,0)</f>
        <v>LIC170</v>
      </c>
      <c r="G2671" s="127" t="s">
        <v>453</v>
      </c>
      <c r="H2671" s="127" t="s">
        <v>773</v>
      </c>
      <c r="I2671" s="127" t="s">
        <v>774</v>
      </c>
      <c r="J2671" s="128">
        <v>550000</v>
      </c>
      <c r="K2671" s="127" t="s">
        <v>550</v>
      </c>
      <c r="L2671" s="151">
        <v>553900</v>
      </c>
      <c r="M2671" s="128">
        <v>0</v>
      </c>
      <c r="N2671" s="127" t="s">
        <v>638</v>
      </c>
      <c r="O2671" s="127" t="s">
        <v>457</v>
      </c>
      <c r="P2671" s="128">
        <v>-4680019.1399999997</v>
      </c>
      <c r="Q2671" s="128">
        <v>0</v>
      </c>
      <c r="R2671" s="128">
        <v>0</v>
      </c>
      <c r="S2671" s="128">
        <v>0</v>
      </c>
      <c r="T2671" s="128">
        <v>-4680019.1399999997</v>
      </c>
      <c r="U2671" s="128">
        <v>0</v>
      </c>
      <c r="V2671" s="128">
        <v>-4680019.1399999997</v>
      </c>
      <c r="W2671" s="128">
        <v>0</v>
      </c>
      <c r="X2671" s="128">
        <v>0</v>
      </c>
      <c r="Y2671" s="128">
        <v>0</v>
      </c>
      <c r="Z2671" s="128">
        <v>-4680019.1399999997</v>
      </c>
      <c r="AA2671" s="128">
        <v>0</v>
      </c>
      <c r="AB2671" s="126">
        <f t="shared" si="271"/>
        <v>0.46800191399999996</v>
      </c>
      <c r="AC2671" s="122" t="s">
        <v>1838</v>
      </c>
      <c r="AD2671" s="123">
        <f t="shared" si="272"/>
        <v>5.5056985740000002</v>
      </c>
    </row>
    <row r="2672" spans="1:30" ht="12.75" hidden="1" customHeight="1">
      <c r="A2672" s="125" t="str">
        <f t="shared" si="268"/>
        <v>LIC170Inv Educ Fund Expense - Amfi</v>
      </c>
      <c r="B2672" s="125">
        <f>+IFERROR(VLOOKUP(L2672,'TB mapping'!A:D,4,0),0)</f>
        <v>0</v>
      </c>
      <c r="C2672" s="125">
        <f>+IFERROR(VLOOKUP(L2672,'TB mapping'!A:C,3,0),0)</f>
        <v>6.3</v>
      </c>
      <c r="D2672" s="125" t="str">
        <f t="shared" si="269"/>
        <v>LIC1700</v>
      </c>
      <c r="E2672" s="125" t="str">
        <f t="shared" si="270"/>
        <v>LIC1706.3</v>
      </c>
      <c r="F2672" s="158" t="str">
        <f>+VLOOKUP(H2672,'code mapping'!A:C,3,0)</f>
        <v>LIC170</v>
      </c>
      <c r="G2672" s="127" t="s">
        <v>453</v>
      </c>
      <c r="H2672" s="127" t="s">
        <v>773</v>
      </c>
      <c r="I2672" s="127" t="s">
        <v>774</v>
      </c>
      <c r="J2672" s="128">
        <v>550000</v>
      </c>
      <c r="K2672" s="127" t="s">
        <v>550</v>
      </c>
      <c r="L2672" s="151">
        <v>554526</v>
      </c>
      <c r="M2672" s="128">
        <v>0</v>
      </c>
      <c r="N2672" s="127" t="s">
        <v>569</v>
      </c>
      <c r="O2672" s="127" t="s">
        <v>457</v>
      </c>
      <c r="P2672" s="128">
        <v>-207514.23999999999</v>
      </c>
      <c r="Q2672" s="128">
        <v>0</v>
      </c>
      <c r="R2672" s="128">
        <v>0</v>
      </c>
      <c r="S2672" s="128">
        <v>0</v>
      </c>
      <c r="T2672" s="128">
        <v>-207514.23999999999</v>
      </c>
      <c r="U2672" s="128">
        <v>0</v>
      </c>
      <c r="V2672" s="128">
        <v>-207514.23999999999</v>
      </c>
      <c r="W2672" s="128">
        <v>0</v>
      </c>
      <c r="X2672" s="128">
        <v>0</v>
      </c>
      <c r="Y2672" s="128">
        <v>0</v>
      </c>
      <c r="Z2672" s="128">
        <v>-207514.23999999999</v>
      </c>
      <c r="AA2672" s="128">
        <v>0</v>
      </c>
      <c r="AB2672" s="126">
        <f t="shared" si="271"/>
        <v>2.0751423999999997E-2</v>
      </c>
      <c r="AC2672" s="122" t="s">
        <v>1838</v>
      </c>
      <c r="AD2672" s="123">
        <f t="shared" si="272"/>
        <v>5.5056985740000002</v>
      </c>
    </row>
    <row r="2673" spans="1:30" ht="12.75" hidden="1" customHeight="1">
      <c r="A2673" s="125" t="str">
        <f t="shared" si="268"/>
        <v>LIC170Transaction Processing Charges</v>
      </c>
      <c r="B2673" s="125">
        <f>+IFERROR(VLOOKUP(L2673,'TB mapping'!A:D,4,0),0)</f>
        <v>0</v>
      </c>
      <c r="C2673" s="125">
        <f>+IFERROR(VLOOKUP(L2673,'TB mapping'!A:C,3,0),0)</f>
        <v>6.3</v>
      </c>
      <c r="D2673" s="125" t="str">
        <f t="shared" si="269"/>
        <v>LIC1700</v>
      </c>
      <c r="E2673" s="125" t="str">
        <f t="shared" si="270"/>
        <v>LIC1706.3</v>
      </c>
      <c r="F2673" s="158" t="str">
        <f>+VLOOKUP(H2673,'code mapping'!A:C,3,0)</f>
        <v>LIC170</v>
      </c>
      <c r="G2673" s="127" t="s">
        <v>453</v>
      </c>
      <c r="H2673" s="127" t="s">
        <v>773</v>
      </c>
      <c r="I2673" s="127" t="s">
        <v>774</v>
      </c>
      <c r="J2673" s="128">
        <v>550000</v>
      </c>
      <c r="K2673" s="127" t="s">
        <v>550</v>
      </c>
      <c r="L2673" s="151">
        <v>554527</v>
      </c>
      <c r="M2673" s="128">
        <v>0</v>
      </c>
      <c r="N2673" s="127" t="s">
        <v>570</v>
      </c>
      <c r="O2673" s="127" t="s">
        <v>457</v>
      </c>
      <c r="P2673" s="128">
        <v>-1546</v>
      </c>
      <c r="Q2673" s="128">
        <v>0</v>
      </c>
      <c r="R2673" s="128">
        <v>0</v>
      </c>
      <c r="S2673" s="128">
        <v>0</v>
      </c>
      <c r="T2673" s="128">
        <v>-1546</v>
      </c>
      <c r="U2673" s="128">
        <v>0</v>
      </c>
      <c r="V2673" s="128">
        <v>-1546</v>
      </c>
      <c r="W2673" s="128">
        <v>0</v>
      </c>
      <c r="X2673" s="128">
        <v>0</v>
      </c>
      <c r="Y2673" s="128">
        <v>0</v>
      </c>
      <c r="Z2673" s="128">
        <v>-1546</v>
      </c>
      <c r="AA2673" s="128">
        <v>0</v>
      </c>
      <c r="AB2673" s="126">
        <f t="shared" si="271"/>
        <v>1.5459999999999999E-4</v>
      </c>
      <c r="AC2673" s="122" t="s">
        <v>1838</v>
      </c>
      <c r="AD2673" s="123">
        <f t="shared" si="272"/>
        <v>5.5056985740000002</v>
      </c>
    </row>
    <row r="2674" spans="1:30" ht="12.75" hidden="1" customHeight="1">
      <c r="A2674" s="125" t="str">
        <f t="shared" si="268"/>
        <v>LIC170Client Servicing Expenes</v>
      </c>
      <c r="B2674" s="125">
        <f>+IFERROR(VLOOKUP(L2674,'TB mapping'!A:D,4,0),0)</f>
        <v>0</v>
      </c>
      <c r="C2674" s="125">
        <f>+IFERROR(VLOOKUP(L2674,'TB mapping'!A:C,3,0),0)</f>
        <v>6.3</v>
      </c>
      <c r="D2674" s="125" t="str">
        <f t="shared" si="269"/>
        <v>LIC1700</v>
      </c>
      <c r="E2674" s="125" t="str">
        <f t="shared" si="270"/>
        <v>LIC1706.3</v>
      </c>
      <c r="F2674" s="158" t="str">
        <f>+VLOOKUP(H2674,'code mapping'!A:C,3,0)</f>
        <v>LIC170</v>
      </c>
      <c r="G2674" s="127" t="s">
        <v>453</v>
      </c>
      <c r="H2674" s="127" t="s">
        <v>773</v>
      </c>
      <c r="I2674" s="127" t="s">
        <v>774</v>
      </c>
      <c r="J2674" s="128">
        <v>550000</v>
      </c>
      <c r="K2674" s="127" t="s">
        <v>550</v>
      </c>
      <c r="L2674" s="151">
        <v>555157</v>
      </c>
      <c r="M2674" s="128">
        <v>0</v>
      </c>
      <c r="N2674" s="127" t="s">
        <v>571</v>
      </c>
      <c r="O2674" s="127" t="s">
        <v>457</v>
      </c>
      <c r="P2674" s="128">
        <v>-14816724.1</v>
      </c>
      <c r="Q2674" s="128">
        <v>0</v>
      </c>
      <c r="R2674" s="128">
        <v>0</v>
      </c>
      <c r="S2674" s="128">
        <v>0</v>
      </c>
      <c r="T2674" s="128">
        <v>-14816724.1</v>
      </c>
      <c r="U2674" s="128">
        <v>0</v>
      </c>
      <c r="V2674" s="128">
        <v>-14816724.1</v>
      </c>
      <c r="W2674" s="128">
        <v>0</v>
      </c>
      <c r="X2674" s="128">
        <v>0</v>
      </c>
      <c r="Y2674" s="128">
        <v>0</v>
      </c>
      <c r="Z2674" s="128">
        <v>-14816724.1</v>
      </c>
      <c r="AA2674" s="128">
        <v>0</v>
      </c>
      <c r="AB2674" s="126">
        <f t="shared" si="271"/>
        <v>1.4816724100000001</v>
      </c>
      <c r="AC2674" s="122" t="s">
        <v>1838</v>
      </c>
      <c r="AD2674" s="123">
        <f t="shared" si="272"/>
        <v>5.5056985740000002</v>
      </c>
    </row>
    <row r="2675" spans="1:30" ht="12.75" hidden="1" customHeight="1">
      <c r="A2675" s="125" t="str">
        <f t="shared" si="268"/>
        <v>LIC170Management Fee-Reclassfication</v>
      </c>
      <c r="B2675" s="125">
        <f>+IFERROR(VLOOKUP(L2675,'TB mapping'!A:D,4,0),0)</f>
        <v>6.1</v>
      </c>
      <c r="C2675" s="125">
        <f>+IFERROR(VLOOKUP(L2675,'TB mapping'!A:C,3,0),0)</f>
        <v>6.3</v>
      </c>
      <c r="D2675" s="125" t="str">
        <f t="shared" si="269"/>
        <v>LIC1706.1</v>
      </c>
      <c r="E2675" s="125" t="str">
        <f t="shared" si="270"/>
        <v>LIC1706.3</v>
      </c>
      <c r="F2675" s="158" t="str">
        <f>+VLOOKUP(H2675,'code mapping'!A:C,3,0)</f>
        <v>LIC170</v>
      </c>
      <c r="G2675" s="127" t="s">
        <v>453</v>
      </c>
      <c r="H2675" s="127" t="s">
        <v>773</v>
      </c>
      <c r="I2675" s="127" t="s">
        <v>774</v>
      </c>
      <c r="J2675" s="128">
        <v>550000</v>
      </c>
      <c r="K2675" s="127" t="s">
        <v>550</v>
      </c>
      <c r="L2675" s="151">
        <v>555274</v>
      </c>
      <c r="M2675" s="128">
        <v>0</v>
      </c>
      <c r="N2675" s="127" t="s">
        <v>583</v>
      </c>
      <c r="O2675" s="127" t="s">
        <v>457</v>
      </c>
      <c r="P2675" s="128">
        <v>-2457627.14</v>
      </c>
      <c r="Q2675" s="128">
        <v>0</v>
      </c>
      <c r="R2675" s="128">
        <v>0</v>
      </c>
      <c r="S2675" s="128">
        <v>0</v>
      </c>
      <c r="T2675" s="128">
        <v>-2457627.14</v>
      </c>
      <c r="U2675" s="128">
        <v>0</v>
      </c>
      <c r="V2675" s="128">
        <v>-2457627.14</v>
      </c>
      <c r="W2675" s="128">
        <v>0</v>
      </c>
      <c r="X2675" s="128">
        <v>0</v>
      </c>
      <c r="Y2675" s="128">
        <v>0</v>
      </c>
      <c r="Z2675" s="128">
        <v>-2457627.14</v>
      </c>
      <c r="AA2675" s="128">
        <v>0</v>
      </c>
      <c r="AB2675" s="126">
        <f t="shared" si="271"/>
        <v>0.24576271400000002</v>
      </c>
      <c r="AC2675" s="122" t="s">
        <v>1838</v>
      </c>
      <c r="AD2675" s="123">
        <f t="shared" si="272"/>
        <v>5.5056985740000002</v>
      </c>
    </row>
    <row r="2676" spans="1:30" ht="12.75" hidden="1" customHeight="1">
      <c r="A2676" s="125" t="str">
        <f t="shared" si="268"/>
        <v>LIC170CGST on Reclassify of Exp</v>
      </c>
      <c r="B2676" s="125">
        <f>+IFERROR(VLOOKUP(L2676,'TB mapping'!A:D,4,0),0)</f>
        <v>0</v>
      </c>
      <c r="C2676" s="125">
        <f>+IFERROR(VLOOKUP(L2676,'TB mapping'!A:C,3,0),0)</f>
        <v>6.3</v>
      </c>
      <c r="D2676" s="125" t="str">
        <f t="shared" si="269"/>
        <v>LIC1700</v>
      </c>
      <c r="E2676" s="125" t="str">
        <f t="shared" si="270"/>
        <v>LIC1706.3</v>
      </c>
      <c r="F2676" s="158" t="str">
        <f>+VLOOKUP(H2676,'code mapping'!A:C,3,0)</f>
        <v>LIC170</v>
      </c>
      <c r="G2676" s="127" t="s">
        <v>453</v>
      </c>
      <c r="H2676" s="127" t="s">
        <v>773</v>
      </c>
      <c r="I2676" s="127" t="s">
        <v>774</v>
      </c>
      <c r="J2676" s="128">
        <v>550000</v>
      </c>
      <c r="K2676" s="127" t="s">
        <v>550</v>
      </c>
      <c r="L2676" s="151">
        <v>555276</v>
      </c>
      <c r="M2676" s="128">
        <v>0</v>
      </c>
      <c r="N2676" s="127" t="s">
        <v>572</v>
      </c>
      <c r="O2676" s="127" t="s">
        <v>457</v>
      </c>
      <c r="P2676" s="128">
        <v>-91525.43</v>
      </c>
      <c r="Q2676" s="128">
        <v>0</v>
      </c>
      <c r="R2676" s="128">
        <v>0</v>
      </c>
      <c r="S2676" s="128">
        <v>0</v>
      </c>
      <c r="T2676" s="128">
        <v>-91525.43</v>
      </c>
      <c r="U2676" s="128">
        <v>0</v>
      </c>
      <c r="V2676" s="128">
        <v>-91525.43</v>
      </c>
      <c r="W2676" s="128">
        <v>0</v>
      </c>
      <c r="X2676" s="128">
        <v>0</v>
      </c>
      <c r="Y2676" s="128">
        <v>0</v>
      </c>
      <c r="Z2676" s="128">
        <v>-91525.43</v>
      </c>
      <c r="AA2676" s="128">
        <v>0</v>
      </c>
      <c r="AB2676" s="126">
        <f t="shared" si="271"/>
        <v>9.1525429999999991E-3</v>
      </c>
      <c r="AC2676" s="122" t="s">
        <v>1838</v>
      </c>
      <c r="AD2676" s="123">
        <f t="shared" si="272"/>
        <v>5.5056985740000002</v>
      </c>
    </row>
    <row r="2677" spans="1:30" ht="12.75" hidden="1" customHeight="1">
      <c r="A2677" s="125" t="str">
        <f t="shared" si="268"/>
        <v>LIC170SGST on Reclassify of Exp</v>
      </c>
      <c r="B2677" s="125">
        <f>+IFERROR(VLOOKUP(L2677,'TB mapping'!A:D,4,0),0)</f>
        <v>0</v>
      </c>
      <c r="C2677" s="125">
        <f>+IFERROR(VLOOKUP(L2677,'TB mapping'!A:C,3,0),0)</f>
        <v>6.3</v>
      </c>
      <c r="D2677" s="125" t="str">
        <f t="shared" si="269"/>
        <v>LIC1700</v>
      </c>
      <c r="E2677" s="125" t="str">
        <f t="shared" si="270"/>
        <v>LIC1706.3</v>
      </c>
      <c r="F2677" s="158" t="str">
        <f>+VLOOKUP(H2677,'code mapping'!A:C,3,0)</f>
        <v>LIC170</v>
      </c>
      <c r="G2677" s="127" t="s">
        <v>453</v>
      </c>
      <c r="H2677" s="127" t="s">
        <v>773</v>
      </c>
      <c r="I2677" s="127" t="s">
        <v>774</v>
      </c>
      <c r="J2677" s="128">
        <v>550000</v>
      </c>
      <c r="K2677" s="127" t="s">
        <v>550</v>
      </c>
      <c r="L2677" s="151">
        <v>555277</v>
      </c>
      <c r="M2677" s="128">
        <v>0</v>
      </c>
      <c r="N2677" s="127" t="s">
        <v>573</v>
      </c>
      <c r="O2677" s="127" t="s">
        <v>457</v>
      </c>
      <c r="P2677" s="128">
        <v>-91525.43</v>
      </c>
      <c r="Q2677" s="128">
        <v>0</v>
      </c>
      <c r="R2677" s="128">
        <v>0</v>
      </c>
      <c r="S2677" s="128">
        <v>0</v>
      </c>
      <c r="T2677" s="128">
        <v>-91525.43</v>
      </c>
      <c r="U2677" s="128">
        <v>0</v>
      </c>
      <c r="V2677" s="128">
        <v>-91525.43</v>
      </c>
      <c r="W2677" s="128">
        <v>0</v>
      </c>
      <c r="X2677" s="128">
        <v>0</v>
      </c>
      <c r="Y2677" s="128">
        <v>0</v>
      </c>
      <c r="Z2677" s="128">
        <v>-91525.43</v>
      </c>
      <c r="AA2677" s="128">
        <v>0</v>
      </c>
      <c r="AB2677" s="126">
        <f t="shared" si="271"/>
        <v>9.1525429999999991E-3</v>
      </c>
      <c r="AC2677" s="122" t="s">
        <v>1838</v>
      </c>
      <c r="AD2677" s="123">
        <f t="shared" si="272"/>
        <v>5.5056985740000002</v>
      </c>
    </row>
    <row r="2678" spans="1:30" ht="12.75" hidden="1" customHeight="1">
      <c r="A2678" s="125" t="str">
        <f t="shared" si="268"/>
        <v>LIC170Other Expense-Reclassfication</v>
      </c>
      <c r="B2678" s="125">
        <f>+IFERROR(VLOOKUP(L2678,'TB mapping'!A:D,4,0),0)</f>
        <v>0</v>
      </c>
      <c r="C2678" s="125">
        <f>+IFERROR(VLOOKUP(L2678,'TB mapping'!A:C,3,0),0)</f>
        <v>0</v>
      </c>
      <c r="D2678" s="125" t="str">
        <f t="shared" si="269"/>
        <v>LIC1700</v>
      </c>
      <c r="E2678" s="125" t="str">
        <f t="shared" si="270"/>
        <v>LIC1700</v>
      </c>
      <c r="F2678" s="158" t="str">
        <f>+VLOOKUP(H2678,'code mapping'!A:C,3,0)</f>
        <v>LIC170</v>
      </c>
      <c r="G2678" s="127" t="s">
        <v>453</v>
      </c>
      <c r="H2678" s="127" t="s">
        <v>773</v>
      </c>
      <c r="I2678" s="127" t="s">
        <v>774</v>
      </c>
      <c r="J2678" s="128">
        <v>550000</v>
      </c>
      <c r="K2678" s="127" t="s">
        <v>550</v>
      </c>
      <c r="L2678" s="151">
        <v>555280</v>
      </c>
      <c r="M2678" s="128">
        <v>0</v>
      </c>
      <c r="N2678" s="127" t="s">
        <v>1590</v>
      </c>
      <c r="O2678" s="127" t="s">
        <v>457</v>
      </c>
      <c r="P2678" s="128">
        <v>0</v>
      </c>
      <c r="Q2678" s="128">
        <v>900000</v>
      </c>
      <c r="R2678" s="128">
        <v>0</v>
      </c>
      <c r="S2678" s="128">
        <v>0</v>
      </c>
      <c r="T2678" s="128">
        <v>0</v>
      </c>
      <c r="U2678" s="128">
        <v>900000</v>
      </c>
      <c r="V2678" s="128">
        <v>0</v>
      </c>
      <c r="W2678" s="128">
        <v>900000</v>
      </c>
      <c r="X2678" s="128">
        <v>0</v>
      </c>
      <c r="Y2678" s="128">
        <v>0</v>
      </c>
      <c r="Z2678" s="128">
        <v>0</v>
      </c>
      <c r="AA2678" s="128">
        <v>900000</v>
      </c>
      <c r="AB2678" s="126">
        <f t="shared" si="271"/>
        <v>-0.09</v>
      </c>
      <c r="AC2678" s="122" t="s">
        <v>1838</v>
      </c>
      <c r="AD2678" s="123">
        <f>SUMIF(C:C,C2678,AB:AB)</f>
        <v>1983.9723217250009</v>
      </c>
    </row>
    <row r="2679" spans="1:30" ht="12.75" hidden="1" customHeight="1">
      <c r="A2679" s="125" t="str">
        <f t="shared" si="268"/>
        <v>LIC170CGST on Mfees</v>
      </c>
      <c r="B2679" s="125">
        <f>+IFERROR(VLOOKUP(L2679,'TB mapping'!A:D,4,0),0)</f>
        <v>6.1</v>
      </c>
      <c r="C2679" s="125">
        <f>+IFERROR(VLOOKUP(L2679,'TB mapping'!A:C,3,0),0)</f>
        <v>6.3</v>
      </c>
      <c r="D2679" s="125" t="str">
        <f t="shared" si="269"/>
        <v>LIC1706.1</v>
      </c>
      <c r="E2679" s="125" t="str">
        <f t="shared" si="270"/>
        <v>LIC1706.3</v>
      </c>
      <c r="F2679" s="158" t="str">
        <f>+VLOOKUP(H2679,'code mapping'!A:C,3,0)</f>
        <v>LIC170</v>
      </c>
      <c r="G2679" s="127" t="s">
        <v>453</v>
      </c>
      <c r="H2679" s="127" t="s">
        <v>773</v>
      </c>
      <c r="I2679" s="127" t="s">
        <v>774</v>
      </c>
      <c r="J2679" s="128">
        <v>550000</v>
      </c>
      <c r="K2679" s="127" t="s">
        <v>550</v>
      </c>
      <c r="L2679" s="151">
        <v>555597</v>
      </c>
      <c r="M2679" s="128">
        <v>0</v>
      </c>
      <c r="N2679" s="127" t="s">
        <v>574</v>
      </c>
      <c r="O2679" s="127" t="s">
        <v>457</v>
      </c>
      <c r="P2679" s="128">
        <v>-1222207.04</v>
      </c>
      <c r="Q2679" s="128">
        <v>0</v>
      </c>
      <c r="R2679" s="128">
        <v>0</v>
      </c>
      <c r="S2679" s="128">
        <v>0</v>
      </c>
      <c r="T2679" s="128">
        <v>-1222207.04</v>
      </c>
      <c r="U2679" s="128">
        <v>0</v>
      </c>
      <c r="V2679" s="128">
        <v>-1222207.04</v>
      </c>
      <c r="W2679" s="128">
        <v>0</v>
      </c>
      <c r="X2679" s="128">
        <v>0</v>
      </c>
      <c r="Y2679" s="128">
        <v>0</v>
      </c>
      <c r="Z2679" s="128">
        <v>-1222207.04</v>
      </c>
      <c r="AA2679" s="128">
        <v>0</v>
      </c>
      <c r="AB2679" s="126">
        <f t="shared" si="271"/>
        <v>0.122220704</v>
      </c>
      <c r="AC2679" s="122" t="s">
        <v>1838</v>
      </c>
      <c r="AD2679" s="123">
        <f t="shared" ref="AD2679:AD2688" si="273">SUMIF(E:E,E2679,AB:AB)</f>
        <v>5.5056985740000002</v>
      </c>
    </row>
    <row r="2680" spans="1:30" ht="12.75" hidden="1" customHeight="1">
      <c r="A2680" s="125" t="str">
        <f t="shared" si="268"/>
        <v>LIC170SGST on Mfees</v>
      </c>
      <c r="B2680" s="125">
        <f>+IFERROR(VLOOKUP(L2680,'TB mapping'!A:D,4,0),0)</f>
        <v>6.1</v>
      </c>
      <c r="C2680" s="125">
        <f>+IFERROR(VLOOKUP(L2680,'TB mapping'!A:C,3,0),0)</f>
        <v>6.3</v>
      </c>
      <c r="D2680" s="125" t="str">
        <f t="shared" si="269"/>
        <v>LIC1706.1</v>
      </c>
      <c r="E2680" s="125" t="str">
        <f t="shared" si="270"/>
        <v>LIC1706.3</v>
      </c>
      <c r="F2680" s="158" t="str">
        <f>+VLOOKUP(H2680,'code mapping'!A:C,3,0)</f>
        <v>LIC170</v>
      </c>
      <c r="G2680" s="127" t="s">
        <v>453</v>
      </c>
      <c r="H2680" s="127" t="s">
        <v>773</v>
      </c>
      <c r="I2680" s="127" t="s">
        <v>774</v>
      </c>
      <c r="J2680" s="128">
        <v>550000</v>
      </c>
      <c r="K2680" s="127" t="s">
        <v>550</v>
      </c>
      <c r="L2680" s="151">
        <v>555598</v>
      </c>
      <c r="M2680" s="128">
        <v>0</v>
      </c>
      <c r="N2680" s="127" t="s">
        <v>575</v>
      </c>
      <c r="O2680" s="127" t="s">
        <v>457</v>
      </c>
      <c r="P2680" s="128">
        <v>-1222209.42</v>
      </c>
      <c r="Q2680" s="128">
        <v>0</v>
      </c>
      <c r="R2680" s="128">
        <v>0</v>
      </c>
      <c r="S2680" s="128">
        <v>0</v>
      </c>
      <c r="T2680" s="128">
        <v>-1222209.42</v>
      </c>
      <c r="U2680" s="128">
        <v>0</v>
      </c>
      <c r="V2680" s="128">
        <v>-1222209.42</v>
      </c>
      <c r="W2680" s="128">
        <v>0</v>
      </c>
      <c r="X2680" s="128">
        <v>0</v>
      </c>
      <c r="Y2680" s="128">
        <v>0</v>
      </c>
      <c r="Z2680" s="128">
        <v>-1222209.42</v>
      </c>
      <c r="AA2680" s="128">
        <v>0</v>
      </c>
      <c r="AB2680" s="126">
        <f t="shared" si="271"/>
        <v>0.122220942</v>
      </c>
      <c r="AC2680" s="122" t="s">
        <v>1838</v>
      </c>
      <c r="AD2680" s="123">
        <f t="shared" si="273"/>
        <v>5.5056985740000002</v>
      </c>
    </row>
    <row r="2681" spans="1:30" ht="12.75" hidden="1" customHeight="1">
      <c r="A2681" s="125" t="str">
        <f t="shared" ref="A2681:A2744" si="274">+F2681&amp;N2681</f>
        <v>LIC170CGST on Mfees -GDP</v>
      </c>
      <c r="B2681" s="125">
        <f>+IFERROR(VLOOKUP(L2681,'TB mapping'!A:D,4,0),0)</f>
        <v>6.1</v>
      </c>
      <c r="C2681" s="125">
        <f>+IFERROR(VLOOKUP(L2681,'TB mapping'!A:C,3,0),0)</f>
        <v>6.3</v>
      </c>
      <c r="D2681" s="125" t="str">
        <f t="shared" ref="D2681:D2744" si="275">+F2681&amp;B2681</f>
        <v>LIC1706.1</v>
      </c>
      <c r="E2681" s="125" t="str">
        <f t="shared" ref="E2681:E2744" si="276">+F2681&amp;C2681</f>
        <v>LIC1706.3</v>
      </c>
      <c r="F2681" s="158" t="str">
        <f>+VLOOKUP(H2681,'code mapping'!A:C,3,0)</f>
        <v>LIC170</v>
      </c>
      <c r="G2681" s="127" t="s">
        <v>453</v>
      </c>
      <c r="H2681" s="127" t="s">
        <v>773</v>
      </c>
      <c r="I2681" s="127" t="s">
        <v>774</v>
      </c>
      <c r="J2681" s="128">
        <v>550000</v>
      </c>
      <c r="K2681" s="127" t="s">
        <v>550</v>
      </c>
      <c r="L2681" s="151">
        <v>555599</v>
      </c>
      <c r="M2681" s="128">
        <v>0</v>
      </c>
      <c r="N2681" s="127" t="s">
        <v>576</v>
      </c>
      <c r="O2681" s="127" t="s">
        <v>457</v>
      </c>
      <c r="P2681" s="128">
        <v>0</v>
      </c>
      <c r="Q2681" s="128">
        <v>1713.8</v>
      </c>
      <c r="R2681" s="128">
        <v>0</v>
      </c>
      <c r="S2681" s="128">
        <v>0</v>
      </c>
      <c r="T2681" s="128">
        <v>0</v>
      </c>
      <c r="U2681" s="128">
        <v>1713.8</v>
      </c>
      <c r="V2681" s="128">
        <v>0</v>
      </c>
      <c r="W2681" s="128">
        <v>1713.8</v>
      </c>
      <c r="X2681" s="128">
        <v>0</v>
      </c>
      <c r="Y2681" s="128">
        <v>0</v>
      </c>
      <c r="Z2681" s="128">
        <v>0</v>
      </c>
      <c r="AA2681" s="128">
        <v>1713.8</v>
      </c>
      <c r="AB2681" s="126">
        <f t="shared" ref="AB2681:AB2744" si="277">SUM(-Z2681-AA2681)/10^7</f>
        <v>-1.7138E-4</v>
      </c>
      <c r="AC2681" s="122" t="s">
        <v>1838</v>
      </c>
      <c r="AD2681" s="123">
        <f t="shared" si="273"/>
        <v>5.5056985740000002</v>
      </c>
    </row>
    <row r="2682" spans="1:30" ht="12.75" hidden="1" customHeight="1">
      <c r="A2682" s="125" t="str">
        <f t="shared" si="274"/>
        <v>LIC170SGST on Mfees -GDP</v>
      </c>
      <c r="B2682" s="125">
        <f>+IFERROR(VLOOKUP(L2682,'TB mapping'!A:D,4,0),0)</f>
        <v>6.1</v>
      </c>
      <c r="C2682" s="125">
        <f>+IFERROR(VLOOKUP(L2682,'TB mapping'!A:C,3,0),0)</f>
        <v>6.3</v>
      </c>
      <c r="D2682" s="125" t="str">
        <f t="shared" si="275"/>
        <v>LIC1706.1</v>
      </c>
      <c r="E2682" s="125" t="str">
        <f t="shared" si="276"/>
        <v>LIC1706.3</v>
      </c>
      <c r="F2682" s="158" t="str">
        <f>+VLOOKUP(H2682,'code mapping'!A:C,3,0)</f>
        <v>LIC170</v>
      </c>
      <c r="G2682" s="127" t="s">
        <v>453</v>
      </c>
      <c r="H2682" s="127" t="s">
        <v>773</v>
      </c>
      <c r="I2682" s="127" t="s">
        <v>774</v>
      </c>
      <c r="J2682" s="128">
        <v>550000</v>
      </c>
      <c r="K2682" s="127" t="s">
        <v>550</v>
      </c>
      <c r="L2682" s="151">
        <v>555600</v>
      </c>
      <c r="M2682" s="128">
        <v>0</v>
      </c>
      <c r="N2682" s="127" t="s">
        <v>577</v>
      </c>
      <c r="O2682" s="127" t="s">
        <v>457</v>
      </c>
      <c r="P2682" s="128">
        <v>0</v>
      </c>
      <c r="Q2682" s="128">
        <v>1716.18</v>
      </c>
      <c r="R2682" s="128">
        <v>0</v>
      </c>
      <c r="S2682" s="128">
        <v>0</v>
      </c>
      <c r="T2682" s="128">
        <v>0</v>
      </c>
      <c r="U2682" s="128">
        <v>1716.18</v>
      </c>
      <c r="V2682" s="128">
        <v>0</v>
      </c>
      <c r="W2682" s="128">
        <v>1716.18</v>
      </c>
      <c r="X2682" s="128">
        <v>0</v>
      </c>
      <c r="Y2682" s="128">
        <v>0</v>
      </c>
      <c r="Z2682" s="128">
        <v>0</v>
      </c>
      <c r="AA2682" s="128">
        <v>1716.18</v>
      </c>
      <c r="AB2682" s="126">
        <f t="shared" si="277"/>
        <v>-1.7161800000000001E-4</v>
      </c>
      <c r="AC2682" s="122" t="s">
        <v>1838</v>
      </c>
      <c r="AD2682" s="123">
        <f t="shared" si="273"/>
        <v>5.5056985740000002</v>
      </c>
    </row>
    <row r="2683" spans="1:30" ht="12.75" hidden="1" customHeight="1">
      <c r="A2683" s="125" t="str">
        <f t="shared" si="274"/>
        <v>LIC170Operating Expenses</v>
      </c>
      <c r="B2683" s="125">
        <f>+IFERROR(VLOOKUP(L2683,'TB mapping'!A:D,4,0),0)</f>
        <v>0</v>
      </c>
      <c r="C2683" s="125">
        <f>+IFERROR(VLOOKUP(L2683,'TB mapping'!A:C,3,0),0)</f>
        <v>6.3</v>
      </c>
      <c r="D2683" s="125" t="str">
        <f t="shared" si="275"/>
        <v>LIC1700</v>
      </c>
      <c r="E2683" s="125" t="str">
        <f t="shared" si="276"/>
        <v>LIC1706.3</v>
      </c>
      <c r="F2683" s="158" t="str">
        <f>+VLOOKUP(H2683,'code mapping'!A:C,3,0)</f>
        <v>LIC170</v>
      </c>
      <c r="G2683" s="127" t="s">
        <v>453</v>
      </c>
      <c r="H2683" s="127" t="s">
        <v>773</v>
      </c>
      <c r="I2683" s="127" t="s">
        <v>774</v>
      </c>
      <c r="J2683" s="128">
        <v>550000</v>
      </c>
      <c r="K2683" s="127" t="s">
        <v>550</v>
      </c>
      <c r="L2683" s="151">
        <v>556421</v>
      </c>
      <c r="M2683" s="128">
        <v>0</v>
      </c>
      <c r="N2683" s="127" t="s">
        <v>578</v>
      </c>
      <c r="O2683" s="127" t="s">
        <v>457</v>
      </c>
      <c r="P2683" s="128">
        <v>-78528.930000000008</v>
      </c>
      <c r="Q2683" s="128">
        <v>0</v>
      </c>
      <c r="R2683" s="128">
        <v>0</v>
      </c>
      <c r="S2683" s="128">
        <v>0</v>
      </c>
      <c r="T2683" s="128">
        <v>-78528.930000000008</v>
      </c>
      <c r="U2683" s="128">
        <v>0</v>
      </c>
      <c r="V2683" s="128">
        <v>-78528.930000000008</v>
      </c>
      <c r="W2683" s="128">
        <v>0</v>
      </c>
      <c r="X2683" s="128">
        <v>0</v>
      </c>
      <c r="Y2683" s="128">
        <v>0</v>
      </c>
      <c r="Z2683" s="128">
        <v>-78528.930000000008</v>
      </c>
      <c r="AA2683" s="128">
        <v>0</v>
      </c>
      <c r="AB2683" s="126">
        <f t="shared" si="277"/>
        <v>7.8528930000000014E-3</v>
      </c>
      <c r="AC2683" s="122" t="s">
        <v>1838</v>
      </c>
      <c r="AD2683" s="123">
        <f t="shared" si="273"/>
        <v>5.5056985740000002</v>
      </c>
    </row>
    <row r="2684" spans="1:30" ht="12.75" hidden="1" customHeight="1">
      <c r="A2684" s="125" t="str">
        <f t="shared" si="274"/>
        <v>LIC170Management Fee</v>
      </c>
      <c r="B2684" s="125">
        <f>+IFERROR(VLOOKUP(L2684,'TB mapping'!A:D,4,0),0)</f>
        <v>6.1</v>
      </c>
      <c r="C2684" s="125">
        <f>+IFERROR(VLOOKUP(L2684,'TB mapping'!A:C,3,0),0)</f>
        <v>6.3</v>
      </c>
      <c r="D2684" s="125" t="str">
        <f t="shared" si="275"/>
        <v>LIC1706.1</v>
      </c>
      <c r="E2684" s="125" t="str">
        <f t="shared" si="276"/>
        <v>LIC1706.3</v>
      </c>
      <c r="F2684" s="158" t="str">
        <f>+VLOOKUP(H2684,'code mapping'!A:C,3,0)</f>
        <v>LIC170</v>
      </c>
      <c r="G2684" s="127" t="s">
        <v>453</v>
      </c>
      <c r="H2684" s="127" t="s">
        <v>773</v>
      </c>
      <c r="I2684" s="127" t="s">
        <v>774</v>
      </c>
      <c r="J2684" s="128">
        <v>555100</v>
      </c>
      <c r="K2684" s="127" t="s">
        <v>579</v>
      </c>
      <c r="L2684" s="151">
        <v>555100</v>
      </c>
      <c r="M2684" s="128">
        <v>0</v>
      </c>
      <c r="N2684" s="127" t="s">
        <v>580</v>
      </c>
      <c r="O2684" s="127" t="s">
        <v>457</v>
      </c>
      <c r="P2684" s="128">
        <v>-4424821</v>
      </c>
      <c r="Q2684" s="128">
        <v>0</v>
      </c>
      <c r="R2684" s="128">
        <v>0</v>
      </c>
      <c r="S2684" s="128">
        <v>0</v>
      </c>
      <c r="T2684" s="128">
        <v>-4424821</v>
      </c>
      <c r="U2684" s="128">
        <v>0</v>
      </c>
      <c r="V2684" s="128">
        <v>-4424821</v>
      </c>
      <c r="W2684" s="128">
        <v>0</v>
      </c>
      <c r="X2684" s="128">
        <v>0</v>
      </c>
      <c r="Y2684" s="128">
        <v>0</v>
      </c>
      <c r="Z2684" s="128">
        <v>-4424821</v>
      </c>
      <c r="AA2684" s="128">
        <v>0</v>
      </c>
      <c r="AB2684" s="126">
        <f t="shared" si="277"/>
        <v>0.44248209999999999</v>
      </c>
      <c r="AC2684" s="122" t="s">
        <v>1838</v>
      </c>
      <c r="AD2684" s="123">
        <f t="shared" si="273"/>
        <v>5.5056985740000002</v>
      </c>
    </row>
    <row r="2685" spans="1:30" ht="12.75" hidden="1" customHeight="1">
      <c r="A2685" s="125" t="str">
        <f t="shared" si="274"/>
        <v>LIC170Management Fees-RG</v>
      </c>
      <c r="B2685" s="125">
        <f>+IFERROR(VLOOKUP(L2685,'TB mapping'!A:D,4,0),0)</f>
        <v>6.1</v>
      </c>
      <c r="C2685" s="125">
        <f>+IFERROR(VLOOKUP(L2685,'TB mapping'!A:C,3,0),0)</f>
        <v>6.3</v>
      </c>
      <c r="D2685" s="125" t="str">
        <f t="shared" si="275"/>
        <v>LIC1706.1</v>
      </c>
      <c r="E2685" s="125" t="str">
        <f t="shared" si="276"/>
        <v>LIC1706.3</v>
      </c>
      <c r="F2685" s="158" t="str">
        <f>+VLOOKUP(H2685,'code mapping'!A:C,3,0)</f>
        <v>LIC170</v>
      </c>
      <c r="G2685" s="127" t="s">
        <v>453</v>
      </c>
      <c r="H2685" s="127" t="s">
        <v>773</v>
      </c>
      <c r="I2685" s="127" t="s">
        <v>774</v>
      </c>
      <c r="J2685" s="128">
        <v>555100</v>
      </c>
      <c r="K2685" s="127" t="s">
        <v>579</v>
      </c>
      <c r="L2685" s="151">
        <v>555191</v>
      </c>
      <c r="M2685" s="128">
        <v>0</v>
      </c>
      <c r="N2685" s="127" t="s">
        <v>581</v>
      </c>
      <c r="O2685" s="127" t="s">
        <v>457</v>
      </c>
      <c r="P2685" s="128">
        <v>-7747527.5599999996</v>
      </c>
      <c r="Q2685" s="128">
        <v>0</v>
      </c>
      <c r="R2685" s="128">
        <v>0</v>
      </c>
      <c r="S2685" s="128">
        <v>0</v>
      </c>
      <c r="T2685" s="128">
        <v>-7747527.5599999996</v>
      </c>
      <c r="U2685" s="128">
        <v>0</v>
      </c>
      <c r="V2685" s="128">
        <v>-7747527.5599999996</v>
      </c>
      <c r="W2685" s="128">
        <v>0</v>
      </c>
      <c r="X2685" s="128">
        <v>0</v>
      </c>
      <c r="Y2685" s="128">
        <v>0</v>
      </c>
      <c r="Z2685" s="128">
        <v>-7747527.5599999996</v>
      </c>
      <c r="AA2685" s="128">
        <v>0</v>
      </c>
      <c r="AB2685" s="126">
        <f t="shared" si="277"/>
        <v>0.77475275599999993</v>
      </c>
      <c r="AC2685" s="122" t="s">
        <v>1838</v>
      </c>
      <c r="AD2685" s="123">
        <f t="shared" si="273"/>
        <v>5.5056985740000002</v>
      </c>
    </row>
    <row r="2686" spans="1:30" ht="12.75" hidden="1" customHeight="1">
      <c r="A2686" s="125" t="str">
        <f t="shared" si="274"/>
        <v>LIC170Management Fees-RD</v>
      </c>
      <c r="B2686" s="125">
        <f>+IFERROR(VLOOKUP(L2686,'TB mapping'!A:D,4,0),0)</f>
        <v>6.1</v>
      </c>
      <c r="C2686" s="125">
        <f>+IFERROR(VLOOKUP(L2686,'TB mapping'!A:C,3,0),0)</f>
        <v>6.3</v>
      </c>
      <c r="D2686" s="125" t="str">
        <f t="shared" si="275"/>
        <v>LIC1706.1</v>
      </c>
      <c r="E2686" s="125" t="str">
        <f t="shared" si="276"/>
        <v>LIC1706.3</v>
      </c>
      <c r="F2686" s="158" t="str">
        <f>+VLOOKUP(H2686,'code mapping'!A:C,3,0)</f>
        <v>LIC170</v>
      </c>
      <c r="G2686" s="127" t="s">
        <v>453</v>
      </c>
      <c r="H2686" s="127" t="s">
        <v>773</v>
      </c>
      <c r="I2686" s="127" t="s">
        <v>774</v>
      </c>
      <c r="J2686" s="128">
        <v>555100</v>
      </c>
      <c r="K2686" s="127" t="s">
        <v>579</v>
      </c>
      <c r="L2686" s="151">
        <v>555192</v>
      </c>
      <c r="M2686" s="128">
        <v>0</v>
      </c>
      <c r="N2686" s="127" t="s">
        <v>582</v>
      </c>
      <c r="O2686" s="127" t="s">
        <v>457</v>
      </c>
      <c r="P2686" s="128">
        <v>-609390.61</v>
      </c>
      <c r="Q2686" s="128">
        <v>0</v>
      </c>
      <c r="R2686" s="128">
        <v>0</v>
      </c>
      <c r="S2686" s="128">
        <v>0</v>
      </c>
      <c r="T2686" s="128">
        <v>-609390.61</v>
      </c>
      <c r="U2686" s="128">
        <v>0</v>
      </c>
      <c r="V2686" s="128">
        <v>-609390.61</v>
      </c>
      <c r="W2686" s="128">
        <v>0</v>
      </c>
      <c r="X2686" s="128">
        <v>0</v>
      </c>
      <c r="Y2686" s="128">
        <v>0</v>
      </c>
      <c r="Z2686" s="128">
        <v>-609390.61</v>
      </c>
      <c r="AA2686" s="128">
        <v>0</v>
      </c>
      <c r="AB2686" s="126">
        <f t="shared" si="277"/>
        <v>6.0939060999999996E-2</v>
      </c>
      <c r="AC2686" s="122" t="s">
        <v>1838</v>
      </c>
      <c r="AD2686" s="123">
        <f t="shared" si="273"/>
        <v>5.5056985740000002</v>
      </c>
    </row>
    <row r="2687" spans="1:30" ht="12.75" hidden="1" customHeight="1">
      <c r="A2687" s="125" t="str">
        <f t="shared" si="274"/>
        <v>LIC170Management Fees-GDP</v>
      </c>
      <c r="B2687" s="125">
        <f>+IFERROR(VLOOKUP(L2687,'TB mapping'!A:D,4,0),0)</f>
        <v>6.1</v>
      </c>
      <c r="C2687" s="125">
        <f>+IFERROR(VLOOKUP(L2687,'TB mapping'!A:C,3,0),0)</f>
        <v>6.3</v>
      </c>
      <c r="D2687" s="125" t="str">
        <f t="shared" si="275"/>
        <v>LIC1706.1</v>
      </c>
      <c r="E2687" s="125" t="str">
        <f t="shared" si="276"/>
        <v>LIC1706.3</v>
      </c>
      <c r="F2687" s="158" t="str">
        <f>+VLOOKUP(H2687,'code mapping'!A:C,3,0)</f>
        <v>LIC170</v>
      </c>
      <c r="G2687" s="127" t="s">
        <v>453</v>
      </c>
      <c r="H2687" s="127" t="s">
        <v>773</v>
      </c>
      <c r="I2687" s="127" t="s">
        <v>774</v>
      </c>
      <c r="J2687" s="128">
        <v>555100</v>
      </c>
      <c r="K2687" s="127" t="s">
        <v>579</v>
      </c>
      <c r="L2687" s="151">
        <v>555329</v>
      </c>
      <c r="M2687" s="128">
        <v>0</v>
      </c>
      <c r="N2687" s="127" t="s">
        <v>584</v>
      </c>
      <c r="O2687" s="127" t="s">
        <v>457</v>
      </c>
      <c r="P2687" s="128">
        <v>-2270386.4500000002</v>
      </c>
      <c r="Q2687" s="128">
        <v>0</v>
      </c>
      <c r="R2687" s="128">
        <v>0</v>
      </c>
      <c r="S2687" s="128">
        <v>0</v>
      </c>
      <c r="T2687" s="128">
        <v>-2270386.4500000002</v>
      </c>
      <c r="U2687" s="128">
        <v>0</v>
      </c>
      <c r="V2687" s="128">
        <v>-2270386.4500000002</v>
      </c>
      <c r="W2687" s="128">
        <v>0</v>
      </c>
      <c r="X2687" s="128">
        <v>0</v>
      </c>
      <c r="Y2687" s="128">
        <v>0</v>
      </c>
      <c r="Z2687" s="128">
        <v>-2270386.4500000002</v>
      </c>
      <c r="AA2687" s="128">
        <v>0</v>
      </c>
      <c r="AB2687" s="126">
        <f t="shared" si="277"/>
        <v>0.22703864500000001</v>
      </c>
      <c r="AC2687" s="122" t="s">
        <v>1838</v>
      </c>
      <c r="AD2687" s="123">
        <f t="shared" si="273"/>
        <v>5.5056985740000002</v>
      </c>
    </row>
    <row r="2688" spans="1:30" ht="12.75" hidden="1" customHeight="1">
      <c r="A2688" s="125" t="str">
        <f t="shared" si="274"/>
        <v>LIC170Management Fees-DDP</v>
      </c>
      <c r="B2688" s="125">
        <f>+IFERROR(VLOOKUP(L2688,'TB mapping'!A:D,4,0),0)</f>
        <v>6.1</v>
      </c>
      <c r="C2688" s="125">
        <f>+IFERROR(VLOOKUP(L2688,'TB mapping'!A:C,3,0),0)</f>
        <v>6.3</v>
      </c>
      <c r="D2688" s="125" t="str">
        <f t="shared" si="275"/>
        <v>LIC1706.1</v>
      </c>
      <c r="E2688" s="125" t="str">
        <f t="shared" si="276"/>
        <v>LIC1706.3</v>
      </c>
      <c r="F2688" s="158" t="str">
        <f>+VLOOKUP(H2688,'code mapping'!A:C,3,0)</f>
        <v>LIC170</v>
      </c>
      <c r="G2688" s="127" t="s">
        <v>453</v>
      </c>
      <c r="H2688" s="127" t="s">
        <v>773</v>
      </c>
      <c r="I2688" s="127" t="s">
        <v>774</v>
      </c>
      <c r="J2688" s="128">
        <v>555100</v>
      </c>
      <c r="K2688" s="127" t="s">
        <v>579</v>
      </c>
      <c r="L2688" s="151">
        <v>555330</v>
      </c>
      <c r="M2688" s="128">
        <v>0</v>
      </c>
      <c r="N2688" s="127" t="s">
        <v>585</v>
      </c>
      <c r="O2688" s="127" t="s">
        <v>457</v>
      </c>
      <c r="P2688" s="128">
        <v>-39323.620000000003</v>
      </c>
      <c r="Q2688" s="128">
        <v>0</v>
      </c>
      <c r="R2688" s="128">
        <v>0</v>
      </c>
      <c r="S2688" s="128">
        <v>0</v>
      </c>
      <c r="T2688" s="128">
        <v>-39323.620000000003</v>
      </c>
      <c r="U2688" s="128">
        <v>0</v>
      </c>
      <c r="V2688" s="128">
        <v>-39323.620000000003</v>
      </c>
      <c r="W2688" s="128">
        <v>0</v>
      </c>
      <c r="X2688" s="128">
        <v>0</v>
      </c>
      <c r="Y2688" s="128">
        <v>0</v>
      </c>
      <c r="Z2688" s="128">
        <v>-39323.620000000003</v>
      </c>
      <c r="AA2688" s="128">
        <v>0</v>
      </c>
      <c r="AB2688" s="126">
        <f t="shared" si="277"/>
        <v>3.932362E-3</v>
      </c>
      <c r="AC2688" s="122" t="s">
        <v>1838</v>
      </c>
      <c r="AD2688" s="123">
        <f t="shared" si="273"/>
        <v>5.5056985740000002</v>
      </c>
    </row>
    <row r="2689" spans="1:30" ht="12.75" hidden="1" customHeight="1">
      <c r="A2689" s="125" t="str">
        <f t="shared" si="274"/>
        <v>LIC170Dividend Distribution - RD</v>
      </c>
      <c r="B2689" s="125">
        <f>+IFERROR(VLOOKUP(L2689,'TB mapping'!A:D,4,0),0)</f>
        <v>0</v>
      </c>
      <c r="C2689" s="125" t="str">
        <f>+IFERROR(VLOOKUP(L2689,'TB mapping'!A:C,3,0),0)</f>
        <v>ignore</v>
      </c>
      <c r="D2689" s="125" t="str">
        <f t="shared" si="275"/>
        <v>LIC1700</v>
      </c>
      <c r="E2689" s="125" t="str">
        <f t="shared" si="276"/>
        <v>LIC170ignore</v>
      </c>
      <c r="F2689" s="158" t="str">
        <f>+VLOOKUP(H2689,'code mapping'!A:C,3,0)</f>
        <v>LIC170</v>
      </c>
      <c r="G2689" s="127" t="s">
        <v>453</v>
      </c>
      <c r="H2689" s="127" t="s">
        <v>773</v>
      </c>
      <c r="I2689" s="127" t="s">
        <v>774</v>
      </c>
      <c r="J2689" s="128">
        <v>555300</v>
      </c>
      <c r="K2689" s="127" t="s">
        <v>586</v>
      </c>
      <c r="L2689" s="151">
        <v>553143</v>
      </c>
      <c r="M2689" s="128">
        <v>0</v>
      </c>
      <c r="N2689" s="127" t="s">
        <v>587</v>
      </c>
      <c r="O2689" s="127" t="s">
        <v>457</v>
      </c>
      <c r="P2689" s="128">
        <v>-11714903.57</v>
      </c>
      <c r="Q2689" s="128">
        <v>0</v>
      </c>
      <c r="R2689" s="128">
        <v>0</v>
      </c>
      <c r="S2689" s="128">
        <v>0</v>
      </c>
      <c r="T2689" s="128">
        <v>-11714903.57</v>
      </c>
      <c r="U2689" s="128">
        <v>0</v>
      </c>
      <c r="V2689" s="128">
        <v>-11714903.57</v>
      </c>
      <c r="W2689" s="128">
        <v>0</v>
      </c>
      <c r="X2689" s="128">
        <v>0</v>
      </c>
      <c r="Y2689" s="128">
        <v>0</v>
      </c>
      <c r="Z2689" s="128">
        <v>-11714903.57</v>
      </c>
      <c r="AA2689" s="128">
        <v>0</v>
      </c>
      <c r="AB2689" s="126">
        <f t="shared" si="277"/>
        <v>1.1714903569999999</v>
      </c>
      <c r="AC2689" s="122" t="s">
        <v>1838</v>
      </c>
      <c r="AD2689" s="123">
        <f t="shared" ref="AD2689:AD2717" si="278">SUMIF(C:C,C2689,AB:AB)</f>
        <v>-291.7660984179999</v>
      </c>
    </row>
    <row r="2690" spans="1:30" ht="12.75" hidden="1" customHeight="1">
      <c r="A2690" s="125" t="str">
        <f t="shared" si="274"/>
        <v>LIC170Dividend Distribution-DDP</v>
      </c>
      <c r="B2690" s="125">
        <f>+IFERROR(VLOOKUP(L2690,'TB mapping'!A:D,4,0),0)</f>
        <v>0</v>
      </c>
      <c r="C2690" s="125" t="str">
        <f>+IFERROR(VLOOKUP(L2690,'TB mapping'!A:C,3,0),0)</f>
        <v>ignore</v>
      </c>
      <c r="D2690" s="125" t="str">
        <f t="shared" si="275"/>
        <v>LIC1700</v>
      </c>
      <c r="E2690" s="125" t="str">
        <f t="shared" si="276"/>
        <v>LIC170ignore</v>
      </c>
      <c r="F2690" s="158" t="str">
        <f>+VLOOKUP(H2690,'code mapping'!A:C,3,0)</f>
        <v>LIC170</v>
      </c>
      <c r="G2690" s="127" t="s">
        <v>453</v>
      </c>
      <c r="H2690" s="127" t="s">
        <v>773</v>
      </c>
      <c r="I2690" s="127" t="s">
        <v>774</v>
      </c>
      <c r="J2690" s="128">
        <v>555300</v>
      </c>
      <c r="K2690" s="127" t="s">
        <v>586</v>
      </c>
      <c r="L2690" s="151">
        <v>554346</v>
      </c>
      <c r="M2690" s="128">
        <v>0</v>
      </c>
      <c r="N2690" s="127" t="s">
        <v>605</v>
      </c>
      <c r="O2690" s="127" t="s">
        <v>457</v>
      </c>
      <c r="P2690" s="128">
        <v>-539537.57999999996</v>
      </c>
      <c r="Q2690" s="128">
        <v>0</v>
      </c>
      <c r="R2690" s="128">
        <v>0</v>
      </c>
      <c r="S2690" s="128">
        <v>0</v>
      </c>
      <c r="T2690" s="128">
        <v>-539537.57999999996</v>
      </c>
      <c r="U2690" s="128">
        <v>0</v>
      </c>
      <c r="V2690" s="128">
        <v>-539537.57999999996</v>
      </c>
      <c r="W2690" s="128">
        <v>0</v>
      </c>
      <c r="X2690" s="128">
        <v>0</v>
      </c>
      <c r="Y2690" s="128">
        <v>0</v>
      </c>
      <c r="Z2690" s="128">
        <v>-539537.57999999996</v>
      </c>
      <c r="AA2690" s="128">
        <v>0</v>
      </c>
      <c r="AB2690" s="126">
        <f t="shared" si="277"/>
        <v>5.3953757999999997E-2</v>
      </c>
      <c r="AC2690" s="122" t="s">
        <v>1838</v>
      </c>
      <c r="AD2690" s="123">
        <f t="shared" si="278"/>
        <v>-291.7660984179999</v>
      </c>
    </row>
    <row r="2691" spans="1:30" ht="12.75" hidden="1" customHeight="1">
      <c r="A2691" s="125" t="str">
        <f t="shared" si="274"/>
        <v>LIC177Investment - Equities</v>
      </c>
      <c r="B2691" s="125">
        <f>+IFERROR(VLOOKUP(L2691,'TB mapping'!A:D,4,0),0)</f>
        <v>0</v>
      </c>
      <c r="C2691" s="125">
        <f>+IFERROR(VLOOKUP(L2691,'TB mapping'!A:C,3,0),0)</f>
        <v>0</v>
      </c>
      <c r="D2691" s="125" t="str">
        <f t="shared" si="275"/>
        <v>LIC1770</v>
      </c>
      <c r="E2691" s="125" t="str">
        <f t="shared" si="276"/>
        <v>LIC1770</v>
      </c>
      <c r="F2691" s="158" t="str">
        <f>+VLOOKUP(H2691,'code mapping'!A:C,3,0)</f>
        <v>LIC177</v>
      </c>
      <c r="G2691" s="127" t="s">
        <v>453</v>
      </c>
      <c r="H2691" s="127" t="s">
        <v>778</v>
      </c>
      <c r="I2691" s="127" t="s">
        <v>779</v>
      </c>
      <c r="J2691" s="128">
        <v>101000</v>
      </c>
      <c r="K2691" s="127" t="s">
        <v>591</v>
      </c>
      <c r="L2691" s="151">
        <v>101100</v>
      </c>
      <c r="M2691" s="128">
        <v>0</v>
      </c>
      <c r="N2691" s="127" t="s">
        <v>592</v>
      </c>
      <c r="O2691" s="127" t="s">
        <v>457</v>
      </c>
      <c r="P2691" s="128">
        <v>-2104334759.9000001</v>
      </c>
      <c r="Q2691" s="128">
        <v>0</v>
      </c>
      <c r="R2691" s="128">
        <v>0</v>
      </c>
      <c r="S2691" s="128">
        <v>0</v>
      </c>
      <c r="T2691" s="128">
        <v>-2104334759.9000001</v>
      </c>
      <c r="U2691" s="128">
        <v>0</v>
      </c>
      <c r="V2691" s="128">
        <v>-2104334759.9000001</v>
      </c>
      <c r="W2691" s="128">
        <v>0</v>
      </c>
      <c r="X2691" s="128">
        <v>0</v>
      </c>
      <c r="Y2691" s="128">
        <v>0</v>
      </c>
      <c r="Z2691" s="128">
        <v>-2104334759.9000001</v>
      </c>
      <c r="AA2691" s="128">
        <v>0</v>
      </c>
      <c r="AB2691" s="126">
        <f t="shared" si="277"/>
        <v>210.43347599000001</v>
      </c>
      <c r="AC2691" s="122" t="s">
        <v>1838</v>
      </c>
      <c r="AD2691" s="123">
        <f t="shared" si="278"/>
        <v>1983.9723217250009</v>
      </c>
    </row>
    <row r="2692" spans="1:30" ht="12.75" hidden="1" customHeight="1">
      <c r="A2692" s="125" t="str">
        <f t="shared" si="274"/>
        <v>LIC177Investment - CBLO</v>
      </c>
      <c r="B2692" s="125">
        <f>+IFERROR(VLOOKUP(L2692,'TB mapping'!A:D,4,0),0)</f>
        <v>0</v>
      </c>
      <c r="C2692" s="125">
        <f>+IFERROR(VLOOKUP(L2692,'TB mapping'!A:C,3,0),0)</f>
        <v>0</v>
      </c>
      <c r="D2692" s="125" t="str">
        <f t="shared" si="275"/>
        <v>LIC1770</v>
      </c>
      <c r="E2692" s="125" t="str">
        <f t="shared" si="276"/>
        <v>LIC1770</v>
      </c>
      <c r="F2692" s="158" t="str">
        <f>+VLOOKUP(H2692,'code mapping'!A:C,3,0)</f>
        <v>LIC177</v>
      </c>
      <c r="G2692" s="127" t="s">
        <v>453</v>
      </c>
      <c r="H2692" s="127" t="s">
        <v>778</v>
      </c>
      <c r="I2692" s="127" t="s">
        <v>779</v>
      </c>
      <c r="J2692" s="128">
        <v>110000</v>
      </c>
      <c r="K2692" s="127" t="s">
        <v>462</v>
      </c>
      <c r="L2692" s="151">
        <v>110100</v>
      </c>
      <c r="M2692" s="128">
        <v>0</v>
      </c>
      <c r="N2692" s="127" t="s">
        <v>463</v>
      </c>
      <c r="O2692" s="127" t="s">
        <v>457</v>
      </c>
      <c r="P2692" s="128">
        <v>-10257220.689999999</v>
      </c>
      <c r="Q2692" s="128">
        <v>0</v>
      </c>
      <c r="R2692" s="128">
        <v>0</v>
      </c>
      <c r="S2692" s="128">
        <v>0</v>
      </c>
      <c r="T2692" s="128">
        <v>-10257220.689999999</v>
      </c>
      <c r="U2692" s="128">
        <v>0</v>
      </c>
      <c r="V2692" s="128">
        <v>-10257220.689999999</v>
      </c>
      <c r="W2692" s="128">
        <v>0</v>
      </c>
      <c r="X2692" s="128">
        <v>0</v>
      </c>
      <c r="Y2692" s="128">
        <v>0</v>
      </c>
      <c r="Z2692" s="128">
        <v>-10257220.689999999</v>
      </c>
      <c r="AA2692" s="128">
        <v>0</v>
      </c>
      <c r="AB2692" s="126">
        <f t="shared" si="277"/>
        <v>1.025722069</v>
      </c>
      <c r="AC2692" s="122" t="s">
        <v>1838</v>
      </c>
      <c r="AD2692" s="123">
        <f t="shared" si="278"/>
        <v>1983.9723217250009</v>
      </c>
    </row>
    <row r="2693" spans="1:30" ht="12.75" hidden="1" customHeight="1">
      <c r="A2693" s="125" t="str">
        <f t="shared" si="274"/>
        <v>LIC177Dividend Receivable</v>
      </c>
      <c r="B2693" s="125">
        <f>+IFERROR(VLOOKUP(L2693,'TB mapping'!A:D,4,0),0)</f>
        <v>0</v>
      </c>
      <c r="C2693" s="125">
        <f>+IFERROR(VLOOKUP(L2693,'TB mapping'!A:C,3,0),0)</f>
        <v>0</v>
      </c>
      <c r="D2693" s="125" t="str">
        <f t="shared" si="275"/>
        <v>LIC1770</v>
      </c>
      <c r="E2693" s="125" t="str">
        <f t="shared" si="276"/>
        <v>LIC1770</v>
      </c>
      <c r="F2693" s="158" t="str">
        <f>+VLOOKUP(H2693,'code mapping'!A:C,3,0)</f>
        <v>LIC177</v>
      </c>
      <c r="G2693" s="127" t="s">
        <v>453</v>
      </c>
      <c r="H2693" s="127" t="s">
        <v>778</v>
      </c>
      <c r="I2693" s="127" t="s">
        <v>779</v>
      </c>
      <c r="J2693" s="128">
        <v>132000</v>
      </c>
      <c r="K2693" s="127" t="s">
        <v>466</v>
      </c>
      <c r="L2693" s="151">
        <v>132100</v>
      </c>
      <c r="M2693" s="128">
        <v>0</v>
      </c>
      <c r="N2693" s="127" t="s">
        <v>593</v>
      </c>
      <c r="O2693" s="127" t="s">
        <v>457</v>
      </c>
      <c r="P2693" s="128">
        <v>-720516.5</v>
      </c>
      <c r="Q2693" s="128">
        <v>0</v>
      </c>
      <c r="R2693" s="128">
        <v>0</v>
      </c>
      <c r="S2693" s="128">
        <v>0</v>
      </c>
      <c r="T2693" s="128">
        <v>-720516.5</v>
      </c>
      <c r="U2693" s="128">
        <v>0</v>
      </c>
      <c r="V2693" s="128">
        <v>-720516.5</v>
      </c>
      <c r="W2693" s="128">
        <v>0</v>
      </c>
      <c r="X2693" s="128">
        <v>0</v>
      </c>
      <c r="Y2693" s="128">
        <v>0</v>
      </c>
      <c r="Z2693" s="128">
        <v>-720516.5</v>
      </c>
      <c r="AA2693" s="128">
        <v>0</v>
      </c>
      <c r="AB2693" s="126">
        <f t="shared" si="277"/>
        <v>7.2051649999999995E-2</v>
      </c>
      <c r="AC2693" s="122" t="s">
        <v>1838</v>
      </c>
      <c r="AD2693" s="123">
        <f t="shared" si="278"/>
        <v>1983.9723217250009</v>
      </c>
    </row>
    <row r="2694" spans="1:30" ht="12.75" hidden="1" customHeight="1">
      <c r="A2694" s="125" t="str">
        <f t="shared" si="274"/>
        <v>LIC177Receivable from AMC</v>
      </c>
      <c r="B2694" s="125">
        <f>+IFERROR(VLOOKUP(L2694,'TB mapping'!A:D,4,0),0)</f>
        <v>0</v>
      </c>
      <c r="C2694" s="125">
        <f>+IFERROR(VLOOKUP(L2694,'TB mapping'!A:C,3,0),0)</f>
        <v>0</v>
      </c>
      <c r="D2694" s="125" t="str">
        <f t="shared" si="275"/>
        <v>LIC1770</v>
      </c>
      <c r="E2694" s="125" t="str">
        <f t="shared" si="276"/>
        <v>LIC1770</v>
      </c>
      <c r="F2694" s="158" t="str">
        <f>+VLOOKUP(H2694,'code mapping'!A:C,3,0)</f>
        <v>LIC177</v>
      </c>
      <c r="G2694" s="127" t="s">
        <v>453</v>
      </c>
      <c r="H2694" s="127" t="s">
        <v>778</v>
      </c>
      <c r="I2694" s="127" t="s">
        <v>779</v>
      </c>
      <c r="J2694" s="128">
        <v>132000</v>
      </c>
      <c r="K2694" s="127" t="s">
        <v>466</v>
      </c>
      <c r="L2694" s="151">
        <v>152400</v>
      </c>
      <c r="M2694" s="128">
        <v>0</v>
      </c>
      <c r="N2694" s="127" t="s">
        <v>471</v>
      </c>
      <c r="O2694" s="127" t="s">
        <v>457</v>
      </c>
      <c r="P2694" s="128">
        <v>-516.74</v>
      </c>
      <c r="Q2694" s="128">
        <v>0</v>
      </c>
      <c r="R2694" s="128">
        <v>0</v>
      </c>
      <c r="S2694" s="128">
        <v>0</v>
      </c>
      <c r="T2694" s="128">
        <v>-516.74</v>
      </c>
      <c r="U2694" s="128">
        <v>0</v>
      </c>
      <c r="V2694" s="128">
        <v>-516.74</v>
      </c>
      <c r="W2694" s="128">
        <v>0</v>
      </c>
      <c r="X2694" s="128">
        <v>0</v>
      </c>
      <c r="Y2694" s="128">
        <v>0</v>
      </c>
      <c r="Z2694" s="128">
        <v>-516.74</v>
      </c>
      <c r="AA2694" s="128">
        <v>0</v>
      </c>
      <c r="AB2694" s="126">
        <f t="shared" si="277"/>
        <v>5.1674E-5</v>
      </c>
      <c r="AC2694" s="122" t="s">
        <v>1838</v>
      </c>
      <c r="AD2694" s="123">
        <f t="shared" si="278"/>
        <v>1983.9723217250009</v>
      </c>
    </row>
    <row r="2695" spans="1:30" ht="12.75" hidden="1" customHeight="1">
      <c r="A2695" s="125" t="str">
        <f t="shared" si="274"/>
        <v>LIC177CCIL Settlement A/C</v>
      </c>
      <c r="B2695" s="125">
        <f>+IFERROR(VLOOKUP(L2695,'TB mapping'!A:D,4,0),0)</f>
        <v>0</v>
      </c>
      <c r="C2695" s="125">
        <f>+IFERROR(VLOOKUP(L2695,'TB mapping'!A:C,3,0),0)</f>
        <v>0</v>
      </c>
      <c r="D2695" s="125" t="str">
        <f t="shared" si="275"/>
        <v>LIC1770</v>
      </c>
      <c r="E2695" s="125" t="str">
        <f t="shared" si="276"/>
        <v>LIC1770</v>
      </c>
      <c r="F2695" s="158" t="str">
        <f>+VLOOKUP(H2695,'code mapping'!A:C,3,0)</f>
        <v>LIC177</v>
      </c>
      <c r="G2695" s="127" t="s">
        <v>453</v>
      </c>
      <c r="H2695" s="127" t="s">
        <v>778</v>
      </c>
      <c r="I2695" s="127" t="s">
        <v>779</v>
      </c>
      <c r="J2695" s="128">
        <v>140000</v>
      </c>
      <c r="K2695" s="127" t="s">
        <v>472</v>
      </c>
      <c r="L2695" s="151">
        <v>132237</v>
      </c>
      <c r="M2695" s="128">
        <v>0</v>
      </c>
      <c r="N2695" s="127" t="s">
        <v>473</v>
      </c>
      <c r="O2695" s="127" t="s">
        <v>457</v>
      </c>
      <c r="P2695" s="128">
        <v>0</v>
      </c>
      <c r="Q2695" s="128">
        <v>0.02</v>
      </c>
      <c r="R2695" s="128">
        <v>0</v>
      </c>
      <c r="S2695" s="128">
        <v>0</v>
      </c>
      <c r="T2695" s="128">
        <v>0</v>
      </c>
      <c r="U2695" s="128">
        <v>0.02</v>
      </c>
      <c r="V2695" s="128">
        <v>0</v>
      </c>
      <c r="W2695" s="128">
        <v>0.02</v>
      </c>
      <c r="X2695" s="128">
        <v>0</v>
      </c>
      <c r="Y2695" s="128">
        <v>0</v>
      </c>
      <c r="Z2695" s="128">
        <v>0</v>
      </c>
      <c r="AA2695" s="128">
        <v>0.02</v>
      </c>
      <c r="AB2695" s="126">
        <f t="shared" si="277"/>
        <v>-2.0000000000000001E-9</v>
      </c>
      <c r="AC2695" s="122" t="s">
        <v>1838</v>
      </c>
      <c r="AD2695" s="123">
        <f t="shared" si="278"/>
        <v>1983.9723217250009</v>
      </c>
    </row>
    <row r="2696" spans="1:30" ht="12.75" hidden="1" customHeight="1">
      <c r="A2696" s="125" t="str">
        <f t="shared" si="274"/>
        <v>LIC177HDFC Current Account</v>
      </c>
      <c r="B2696" s="125">
        <f>+IFERROR(VLOOKUP(L2696,'TB mapping'!A:D,4,0),0)</f>
        <v>0</v>
      </c>
      <c r="C2696" s="125">
        <f>+IFERROR(VLOOKUP(L2696,'TB mapping'!A:C,3,0),0)</f>
        <v>0</v>
      </c>
      <c r="D2696" s="125" t="str">
        <f t="shared" si="275"/>
        <v>LIC1770</v>
      </c>
      <c r="E2696" s="125" t="str">
        <f t="shared" si="276"/>
        <v>LIC1770</v>
      </c>
      <c r="F2696" s="158" t="str">
        <f>+VLOOKUP(H2696,'code mapping'!A:C,3,0)</f>
        <v>LIC177</v>
      </c>
      <c r="G2696" s="127" t="s">
        <v>453</v>
      </c>
      <c r="H2696" s="127" t="s">
        <v>778</v>
      </c>
      <c r="I2696" s="127" t="s">
        <v>779</v>
      </c>
      <c r="J2696" s="128">
        <v>140000</v>
      </c>
      <c r="K2696" s="127" t="s">
        <v>472</v>
      </c>
      <c r="L2696" s="151">
        <v>140330</v>
      </c>
      <c r="M2696" s="128">
        <v>0</v>
      </c>
      <c r="N2696" s="127" t="s">
        <v>475</v>
      </c>
      <c r="O2696" s="127" t="s">
        <v>457</v>
      </c>
      <c r="P2696" s="128">
        <v>-0.98</v>
      </c>
      <c r="Q2696" s="128">
        <v>0</v>
      </c>
      <c r="R2696" s="128">
        <v>0</v>
      </c>
      <c r="S2696" s="128">
        <v>0</v>
      </c>
      <c r="T2696" s="128">
        <v>-0.98</v>
      </c>
      <c r="U2696" s="128">
        <v>0</v>
      </c>
      <c r="V2696" s="128">
        <v>-0.98</v>
      </c>
      <c r="W2696" s="128">
        <v>0</v>
      </c>
      <c r="X2696" s="128">
        <v>0</v>
      </c>
      <c r="Y2696" s="128">
        <v>0</v>
      </c>
      <c r="Z2696" s="128">
        <v>-0.98</v>
      </c>
      <c r="AA2696" s="128">
        <v>0</v>
      </c>
      <c r="AB2696" s="126">
        <f t="shared" si="277"/>
        <v>9.8000000000000004E-8</v>
      </c>
      <c r="AC2696" s="122" t="s">
        <v>1838</v>
      </c>
      <c r="AD2696" s="123">
        <f t="shared" si="278"/>
        <v>1983.9723217250009</v>
      </c>
    </row>
    <row r="2697" spans="1:30" ht="12.75" hidden="1" customHeight="1">
      <c r="A2697" s="125" t="str">
        <f t="shared" si="274"/>
        <v>LIC177HDFC Bank Ltd</v>
      </c>
      <c r="B2697" s="125">
        <f>+IFERROR(VLOOKUP(L2697,'TB mapping'!A:D,4,0),0)</f>
        <v>0</v>
      </c>
      <c r="C2697" s="125">
        <f>+IFERROR(VLOOKUP(L2697,'TB mapping'!A:C,3,0),0)</f>
        <v>0</v>
      </c>
      <c r="D2697" s="125" t="str">
        <f t="shared" si="275"/>
        <v>LIC1770</v>
      </c>
      <c r="E2697" s="125" t="str">
        <f t="shared" si="276"/>
        <v>LIC1770</v>
      </c>
      <c r="F2697" s="158" t="str">
        <f>+VLOOKUP(H2697,'code mapping'!A:C,3,0)</f>
        <v>LIC177</v>
      </c>
      <c r="G2697" s="127" t="s">
        <v>453</v>
      </c>
      <c r="H2697" s="127" t="s">
        <v>778</v>
      </c>
      <c r="I2697" s="127" t="s">
        <v>779</v>
      </c>
      <c r="J2697" s="128">
        <v>140000</v>
      </c>
      <c r="K2697" s="127" t="s">
        <v>472</v>
      </c>
      <c r="L2697" s="151">
        <v>140372</v>
      </c>
      <c r="M2697" s="128">
        <v>0</v>
      </c>
      <c r="N2697" s="127" t="s">
        <v>476</v>
      </c>
      <c r="O2697" s="127" t="s">
        <v>457</v>
      </c>
      <c r="P2697" s="128">
        <v>0</v>
      </c>
      <c r="Q2697" s="128">
        <v>2.52</v>
      </c>
      <c r="R2697" s="128">
        <v>0</v>
      </c>
      <c r="S2697" s="128">
        <v>0</v>
      </c>
      <c r="T2697" s="128">
        <v>0</v>
      </c>
      <c r="U2697" s="128">
        <v>2.52</v>
      </c>
      <c r="V2697" s="128">
        <v>0</v>
      </c>
      <c r="W2697" s="128">
        <v>2.52</v>
      </c>
      <c r="X2697" s="128">
        <v>0</v>
      </c>
      <c r="Y2697" s="128">
        <v>0</v>
      </c>
      <c r="Z2697" s="128">
        <v>0</v>
      </c>
      <c r="AA2697" s="128">
        <v>2.52</v>
      </c>
      <c r="AB2697" s="126">
        <f t="shared" si="277"/>
        <v>-2.5199999999999998E-7</v>
      </c>
      <c r="AC2697" s="122" t="s">
        <v>1838</v>
      </c>
      <c r="AD2697" s="123">
        <f t="shared" si="278"/>
        <v>1983.9723217250009</v>
      </c>
    </row>
    <row r="2698" spans="1:30" ht="12.75" hidden="1" customHeight="1">
      <c r="A2698" s="125" t="str">
        <f t="shared" si="274"/>
        <v>LIC177Standard Chartered Bank- India</v>
      </c>
      <c r="B2698" s="125">
        <f>+IFERROR(VLOOKUP(L2698,'TB mapping'!A:D,4,0),0)</f>
        <v>0</v>
      </c>
      <c r="C2698" s="125">
        <f>+IFERROR(VLOOKUP(L2698,'TB mapping'!A:C,3,0),0)</f>
        <v>0</v>
      </c>
      <c r="D2698" s="125" t="str">
        <f t="shared" si="275"/>
        <v>LIC1770</v>
      </c>
      <c r="E2698" s="125" t="str">
        <f t="shared" si="276"/>
        <v>LIC1770</v>
      </c>
      <c r="F2698" s="158" t="str">
        <f>+VLOOKUP(H2698,'code mapping'!A:C,3,0)</f>
        <v>LIC177</v>
      </c>
      <c r="G2698" s="127" t="s">
        <v>453</v>
      </c>
      <c r="H2698" s="127" t="s">
        <v>778</v>
      </c>
      <c r="I2698" s="127" t="s">
        <v>779</v>
      </c>
      <c r="J2698" s="128">
        <v>140000</v>
      </c>
      <c r="K2698" s="127" t="s">
        <v>472</v>
      </c>
      <c r="L2698" s="151">
        <v>140500</v>
      </c>
      <c r="M2698" s="128">
        <v>0</v>
      </c>
      <c r="N2698" s="127" t="s">
        <v>477</v>
      </c>
      <c r="O2698" s="127" t="s">
        <v>457</v>
      </c>
      <c r="P2698" s="128">
        <v>-6883.91</v>
      </c>
      <c r="Q2698" s="128">
        <v>0</v>
      </c>
      <c r="R2698" s="128">
        <v>0</v>
      </c>
      <c r="S2698" s="128">
        <v>0</v>
      </c>
      <c r="T2698" s="128">
        <v>-6883.91</v>
      </c>
      <c r="U2698" s="128">
        <v>0</v>
      </c>
      <c r="V2698" s="128">
        <v>-6883.91</v>
      </c>
      <c r="W2698" s="128">
        <v>0</v>
      </c>
      <c r="X2698" s="128">
        <v>0</v>
      </c>
      <c r="Y2698" s="128">
        <v>0</v>
      </c>
      <c r="Z2698" s="128">
        <v>-6883.91</v>
      </c>
      <c r="AA2698" s="128">
        <v>0</v>
      </c>
      <c r="AB2698" s="126">
        <f t="shared" si="277"/>
        <v>6.88391E-4</v>
      </c>
      <c r="AC2698" s="122" t="s">
        <v>1838</v>
      </c>
      <c r="AD2698" s="123">
        <f t="shared" si="278"/>
        <v>1983.9723217250009</v>
      </c>
    </row>
    <row r="2699" spans="1:30" ht="12.75" hidden="1" customHeight="1">
      <c r="A2699" s="125" t="str">
        <f t="shared" si="274"/>
        <v>LIC177Amort Receivable - CBLO</v>
      </c>
      <c r="B2699" s="125">
        <f>+IFERROR(VLOOKUP(L2699,'TB mapping'!A:D,4,0),0)</f>
        <v>0</v>
      </c>
      <c r="C2699" s="125">
        <f>+IFERROR(VLOOKUP(L2699,'TB mapping'!A:C,3,0),0)</f>
        <v>0</v>
      </c>
      <c r="D2699" s="125" t="str">
        <f t="shared" si="275"/>
        <v>LIC1770</v>
      </c>
      <c r="E2699" s="125" t="str">
        <f t="shared" si="276"/>
        <v>LIC1770</v>
      </c>
      <c r="F2699" s="158" t="str">
        <f>+VLOOKUP(H2699,'code mapping'!A:C,3,0)</f>
        <v>LIC177</v>
      </c>
      <c r="G2699" s="127" t="s">
        <v>453</v>
      </c>
      <c r="H2699" s="127" t="s">
        <v>778</v>
      </c>
      <c r="I2699" s="127" t="s">
        <v>779</v>
      </c>
      <c r="J2699" s="128">
        <v>152000</v>
      </c>
      <c r="K2699" s="127" t="s">
        <v>478</v>
      </c>
      <c r="L2699" s="151">
        <v>152232</v>
      </c>
      <c r="M2699" s="128">
        <v>0</v>
      </c>
      <c r="N2699" s="127" t="s">
        <v>482</v>
      </c>
      <c r="O2699" s="127" t="s">
        <v>457</v>
      </c>
      <c r="P2699" s="128">
        <v>-4588.84</v>
      </c>
      <c r="Q2699" s="128">
        <v>0</v>
      </c>
      <c r="R2699" s="128">
        <v>0</v>
      </c>
      <c r="S2699" s="128">
        <v>0</v>
      </c>
      <c r="T2699" s="128">
        <v>-4588.84</v>
      </c>
      <c r="U2699" s="128">
        <v>0</v>
      </c>
      <c r="V2699" s="128">
        <v>-4588.84</v>
      </c>
      <c r="W2699" s="128">
        <v>0</v>
      </c>
      <c r="X2699" s="128">
        <v>0</v>
      </c>
      <c r="Y2699" s="128">
        <v>0</v>
      </c>
      <c r="Z2699" s="128">
        <v>-4588.84</v>
      </c>
      <c r="AA2699" s="128">
        <v>0</v>
      </c>
      <c r="AB2699" s="126">
        <f t="shared" si="277"/>
        <v>4.5888400000000001E-4</v>
      </c>
      <c r="AC2699" s="122" t="s">
        <v>1838</v>
      </c>
      <c r="AD2699" s="123">
        <f t="shared" si="278"/>
        <v>1983.9723217250009</v>
      </c>
    </row>
    <row r="2700" spans="1:30" ht="12.75" hidden="1" customHeight="1">
      <c r="A2700" s="125" t="str">
        <f t="shared" si="274"/>
        <v>LIC177Prov Unr P/L - Equities</v>
      </c>
      <c r="B2700" s="125">
        <f>+IFERROR(VLOOKUP(L2700,'TB mapping'!A:D,4,0),0)</f>
        <v>0</v>
      </c>
      <c r="C2700" s="125">
        <f>+IFERROR(VLOOKUP(L2700,'TB mapping'!A:C,3,0),0)</f>
        <v>0</v>
      </c>
      <c r="D2700" s="125" t="str">
        <f t="shared" si="275"/>
        <v>LIC1770</v>
      </c>
      <c r="E2700" s="125" t="str">
        <f t="shared" si="276"/>
        <v>LIC1770</v>
      </c>
      <c r="F2700" s="158" t="str">
        <f>+VLOOKUP(H2700,'code mapping'!A:C,3,0)</f>
        <v>LIC177</v>
      </c>
      <c r="G2700" s="127" t="s">
        <v>453</v>
      </c>
      <c r="H2700" s="127" t="s">
        <v>778</v>
      </c>
      <c r="I2700" s="127" t="s">
        <v>779</v>
      </c>
      <c r="J2700" s="128">
        <v>160000</v>
      </c>
      <c r="K2700" s="127" t="s">
        <v>483</v>
      </c>
      <c r="L2700" s="151">
        <v>161100</v>
      </c>
      <c r="M2700" s="128">
        <v>0</v>
      </c>
      <c r="N2700" s="127" t="s">
        <v>595</v>
      </c>
      <c r="O2700" s="127" t="s">
        <v>457</v>
      </c>
      <c r="P2700" s="128">
        <v>-735722928.04999995</v>
      </c>
      <c r="Q2700" s="128">
        <v>0</v>
      </c>
      <c r="R2700" s="128">
        <v>0</v>
      </c>
      <c r="S2700" s="128">
        <v>0</v>
      </c>
      <c r="T2700" s="128">
        <v>-735722928.04999995</v>
      </c>
      <c r="U2700" s="128">
        <v>0</v>
      </c>
      <c r="V2700" s="128">
        <v>-735722928.04999995</v>
      </c>
      <c r="W2700" s="128">
        <v>0</v>
      </c>
      <c r="X2700" s="128">
        <v>0</v>
      </c>
      <c r="Y2700" s="128">
        <v>0</v>
      </c>
      <c r="Z2700" s="128">
        <v>-735722928.04999995</v>
      </c>
      <c r="AA2700" s="128">
        <v>0</v>
      </c>
      <c r="AB2700" s="126">
        <f t="shared" si="277"/>
        <v>73.572292804999989</v>
      </c>
      <c r="AC2700" s="122" t="s">
        <v>1838</v>
      </c>
      <c r="AD2700" s="123">
        <f t="shared" si="278"/>
        <v>1983.9723217250009</v>
      </c>
    </row>
    <row r="2701" spans="1:30" ht="12.75" hidden="1" customHeight="1">
      <c r="A2701" s="125" t="str">
        <f t="shared" si="274"/>
        <v>LIC177Audit Fee-Payable</v>
      </c>
      <c r="B2701" s="125">
        <f>+IFERROR(VLOOKUP(L2701,'TB mapping'!A:D,4,0),0)</f>
        <v>0</v>
      </c>
      <c r="C2701" s="125">
        <f>+IFERROR(VLOOKUP(L2701,'TB mapping'!A:C,3,0),0)</f>
        <v>0</v>
      </c>
      <c r="D2701" s="125" t="str">
        <f t="shared" si="275"/>
        <v>LIC1770</v>
      </c>
      <c r="E2701" s="125" t="str">
        <f t="shared" si="276"/>
        <v>LIC1770</v>
      </c>
      <c r="F2701" s="158" t="str">
        <f>+VLOOKUP(H2701,'code mapping'!A:C,3,0)</f>
        <v>LIC177</v>
      </c>
      <c r="G2701" s="127" t="s">
        <v>453</v>
      </c>
      <c r="H2701" s="127" t="s">
        <v>778</v>
      </c>
      <c r="I2701" s="127" t="s">
        <v>779</v>
      </c>
      <c r="J2701" s="128">
        <v>212000</v>
      </c>
      <c r="K2701" s="127" t="s">
        <v>487</v>
      </c>
      <c r="L2701" s="151">
        <v>212194</v>
      </c>
      <c r="M2701" s="128">
        <v>0</v>
      </c>
      <c r="N2701" s="127" t="s">
        <v>496</v>
      </c>
      <c r="O2701" s="127" t="s">
        <v>457</v>
      </c>
      <c r="P2701" s="128">
        <v>-77.38</v>
      </c>
      <c r="Q2701" s="128">
        <v>0</v>
      </c>
      <c r="R2701" s="128">
        <v>0</v>
      </c>
      <c r="S2701" s="128">
        <v>0</v>
      </c>
      <c r="T2701" s="128">
        <v>-77.38</v>
      </c>
      <c r="U2701" s="128">
        <v>0</v>
      </c>
      <c r="V2701" s="128">
        <v>-77.38</v>
      </c>
      <c r="W2701" s="128">
        <v>0</v>
      </c>
      <c r="X2701" s="128">
        <v>0</v>
      </c>
      <c r="Y2701" s="128">
        <v>0</v>
      </c>
      <c r="Z2701" s="128">
        <v>-77.38</v>
      </c>
      <c r="AA2701" s="128">
        <v>0</v>
      </c>
      <c r="AB2701" s="126">
        <f t="shared" si="277"/>
        <v>7.7379999999999994E-6</v>
      </c>
      <c r="AC2701" s="122" t="s">
        <v>1838</v>
      </c>
      <c r="AD2701" s="123">
        <f t="shared" si="278"/>
        <v>1983.9723217250009</v>
      </c>
    </row>
    <row r="2702" spans="1:30" ht="12.75" hidden="1" customHeight="1">
      <c r="A2702" s="125" t="str">
        <f t="shared" si="274"/>
        <v>LIC177Other Exp- Payable</v>
      </c>
      <c r="B2702" s="125">
        <f>+IFERROR(VLOOKUP(L2702,'TB mapping'!A:D,4,0),0)</f>
        <v>0</v>
      </c>
      <c r="C2702" s="125">
        <f>+IFERROR(VLOOKUP(L2702,'TB mapping'!A:C,3,0),0)</f>
        <v>0</v>
      </c>
      <c r="D2702" s="125" t="str">
        <f t="shared" si="275"/>
        <v>LIC1770</v>
      </c>
      <c r="E2702" s="125" t="str">
        <f t="shared" si="276"/>
        <v>LIC1770</v>
      </c>
      <c r="F2702" s="158" t="str">
        <f>+VLOOKUP(H2702,'code mapping'!A:C,3,0)</f>
        <v>LIC177</v>
      </c>
      <c r="G2702" s="127" t="s">
        <v>453</v>
      </c>
      <c r="H2702" s="127" t="s">
        <v>778</v>
      </c>
      <c r="I2702" s="127" t="s">
        <v>779</v>
      </c>
      <c r="J2702" s="128">
        <v>212000</v>
      </c>
      <c r="K2702" s="127" t="s">
        <v>487</v>
      </c>
      <c r="L2702" s="151">
        <v>212220</v>
      </c>
      <c r="M2702" s="128">
        <v>0</v>
      </c>
      <c r="N2702" s="127" t="s">
        <v>497</v>
      </c>
      <c r="O2702" s="127" t="s">
        <v>457</v>
      </c>
      <c r="P2702" s="128">
        <v>0</v>
      </c>
      <c r="Q2702" s="128">
        <v>1520216.58</v>
      </c>
      <c r="R2702" s="128">
        <v>0</v>
      </c>
      <c r="S2702" s="128">
        <v>0</v>
      </c>
      <c r="T2702" s="128">
        <v>0</v>
      </c>
      <c r="U2702" s="128">
        <v>1520216.58</v>
      </c>
      <c r="V2702" s="128">
        <v>0</v>
      </c>
      <c r="W2702" s="128">
        <v>1520216.58</v>
      </c>
      <c r="X2702" s="128">
        <v>0</v>
      </c>
      <c r="Y2702" s="128">
        <v>0</v>
      </c>
      <c r="Z2702" s="128">
        <v>0</v>
      </c>
      <c r="AA2702" s="128">
        <v>1520216.58</v>
      </c>
      <c r="AB2702" s="126">
        <f t="shared" si="277"/>
        <v>-0.152021658</v>
      </c>
      <c r="AC2702" s="122" t="s">
        <v>1838</v>
      </c>
      <c r="AD2702" s="123">
        <f t="shared" si="278"/>
        <v>1983.9723217250009</v>
      </c>
    </row>
    <row r="2703" spans="1:30" ht="12.75" hidden="1" customHeight="1">
      <c r="A2703" s="125" t="str">
        <f t="shared" si="274"/>
        <v>LIC177Expense Allocation-Liab'ity Ac</v>
      </c>
      <c r="B2703" s="125">
        <f>+IFERROR(VLOOKUP(L2703,'TB mapping'!A:D,4,0),0)</f>
        <v>0</v>
      </c>
      <c r="C2703" s="125">
        <f>+IFERROR(VLOOKUP(L2703,'TB mapping'!A:C,3,0),0)</f>
        <v>0</v>
      </c>
      <c r="D2703" s="125" t="str">
        <f t="shared" si="275"/>
        <v>LIC1770</v>
      </c>
      <c r="E2703" s="125" t="str">
        <f t="shared" si="276"/>
        <v>LIC1770</v>
      </c>
      <c r="F2703" s="158" t="str">
        <f>+VLOOKUP(H2703,'code mapping'!A:C,3,0)</f>
        <v>LIC177</v>
      </c>
      <c r="G2703" s="127" t="s">
        <v>453</v>
      </c>
      <c r="H2703" s="127" t="s">
        <v>778</v>
      </c>
      <c r="I2703" s="127" t="s">
        <v>779</v>
      </c>
      <c r="J2703" s="128">
        <v>212000</v>
      </c>
      <c r="K2703" s="127" t="s">
        <v>487</v>
      </c>
      <c r="L2703" s="151">
        <v>212223</v>
      </c>
      <c r="M2703" s="128">
        <v>0</v>
      </c>
      <c r="N2703" s="127" t="s">
        <v>498</v>
      </c>
      <c r="O2703" s="127" t="s">
        <v>457</v>
      </c>
      <c r="P2703" s="128">
        <v>-908772.03</v>
      </c>
      <c r="Q2703" s="128">
        <v>0</v>
      </c>
      <c r="R2703" s="128">
        <v>0</v>
      </c>
      <c r="S2703" s="128">
        <v>0</v>
      </c>
      <c r="T2703" s="128">
        <v>-908772.03</v>
      </c>
      <c r="U2703" s="128">
        <v>0</v>
      </c>
      <c r="V2703" s="128">
        <v>-908772.03</v>
      </c>
      <c r="W2703" s="128">
        <v>0</v>
      </c>
      <c r="X2703" s="128">
        <v>0</v>
      </c>
      <c r="Y2703" s="128">
        <v>0</v>
      </c>
      <c r="Z2703" s="128">
        <v>-908772.03</v>
      </c>
      <c r="AA2703" s="128">
        <v>0</v>
      </c>
      <c r="AB2703" s="126">
        <f t="shared" si="277"/>
        <v>9.0877203000000004E-2</v>
      </c>
      <c r="AC2703" s="122" t="s">
        <v>1838</v>
      </c>
      <c r="AD2703" s="123">
        <f t="shared" si="278"/>
        <v>1983.9723217250009</v>
      </c>
    </row>
    <row r="2704" spans="1:30" ht="12.75" hidden="1" customHeight="1">
      <c r="A2704" s="125" t="str">
        <f t="shared" si="274"/>
        <v>LIC177Investor Education Payable</v>
      </c>
      <c r="B2704" s="125">
        <f>+IFERROR(VLOOKUP(L2704,'TB mapping'!A:D,4,0),0)</f>
        <v>0</v>
      </c>
      <c r="C2704" s="125">
        <f>+IFERROR(VLOOKUP(L2704,'TB mapping'!A:C,3,0),0)</f>
        <v>0</v>
      </c>
      <c r="D2704" s="125" t="str">
        <f t="shared" si="275"/>
        <v>LIC1770</v>
      </c>
      <c r="E2704" s="125" t="str">
        <f t="shared" si="276"/>
        <v>LIC1770</v>
      </c>
      <c r="F2704" s="158" t="str">
        <f>+VLOOKUP(H2704,'code mapping'!A:C,3,0)</f>
        <v>LIC177</v>
      </c>
      <c r="G2704" s="127" t="s">
        <v>453</v>
      </c>
      <c r="H2704" s="127" t="s">
        <v>778</v>
      </c>
      <c r="I2704" s="127" t="s">
        <v>779</v>
      </c>
      <c r="J2704" s="128">
        <v>212000</v>
      </c>
      <c r="K2704" s="127" t="s">
        <v>487</v>
      </c>
      <c r="L2704" s="151">
        <v>212240</v>
      </c>
      <c r="M2704" s="128">
        <v>0</v>
      </c>
      <c r="N2704" s="127" t="s">
        <v>500</v>
      </c>
      <c r="O2704" s="127" t="s">
        <v>457</v>
      </c>
      <c r="P2704" s="128">
        <v>0</v>
      </c>
      <c r="Q2704" s="128">
        <v>24415.1</v>
      </c>
      <c r="R2704" s="128">
        <v>0</v>
      </c>
      <c r="S2704" s="128">
        <v>0</v>
      </c>
      <c r="T2704" s="128">
        <v>0</v>
      </c>
      <c r="U2704" s="128">
        <v>24415.1</v>
      </c>
      <c r="V2704" s="128">
        <v>0</v>
      </c>
      <c r="W2704" s="128">
        <v>24415.1</v>
      </c>
      <c r="X2704" s="128">
        <v>0</v>
      </c>
      <c r="Y2704" s="128">
        <v>0</v>
      </c>
      <c r="Z2704" s="128">
        <v>0</v>
      </c>
      <c r="AA2704" s="128">
        <v>24415.1</v>
      </c>
      <c r="AB2704" s="126">
        <f t="shared" si="277"/>
        <v>-2.44151E-3</v>
      </c>
      <c r="AC2704" s="122" t="s">
        <v>1838</v>
      </c>
      <c r="AD2704" s="123">
        <f t="shared" si="278"/>
        <v>1983.9723217250009</v>
      </c>
    </row>
    <row r="2705" spans="1:30" ht="12.75" hidden="1" customHeight="1">
      <c r="A2705" s="125" t="str">
        <f t="shared" si="274"/>
        <v>LIC177Transaction Charges Payable</v>
      </c>
      <c r="B2705" s="125">
        <f>+IFERROR(VLOOKUP(L2705,'TB mapping'!A:D,4,0),0)</f>
        <v>0</v>
      </c>
      <c r="C2705" s="125">
        <f>+IFERROR(VLOOKUP(L2705,'TB mapping'!A:C,3,0),0)</f>
        <v>0</v>
      </c>
      <c r="D2705" s="125" t="str">
        <f t="shared" si="275"/>
        <v>LIC1770</v>
      </c>
      <c r="E2705" s="125" t="str">
        <f t="shared" si="276"/>
        <v>LIC1770</v>
      </c>
      <c r="F2705" s="158" t="str">
        <f>+VLOOKUP(H2705,'code mapping'!A:C,3,0)</f>
        <v>LIC177</v>
      </c>
      <c r="G2705" s="127" t="s">
        <v>453</v>
      </c>
      <c r="H2705" s="127" t="s">
        <v>778</v>
      </c>
      <c r="I2705" s="127" t="s">
        <v>779</v>
      </c>
      <c r="J2705" s="128">
        <v>212000</v>
      </c>
      <c r="K2705" s="127" t="s">
        <v>487</v>
      </c>
      <c r="L2705" s="151">
        <v>212247</v>
      </c>
      <c r="M2705" s="128">
        <v>0</v>
      </c>
      <c r="N2705" s="127" t="s">
        <v>501</v>
      </c>
      <c r="O2705" s="127" t="s">
        <v>457</v>
      </c>
      <c r="P2705" s="128">
        <v>0</v>
      </c>
      <c r="Q2705" s="128">
        <v>550</v>
      </c>
      <c r="R2705" s="128">
        <v>0</v>
      </c>
      <c r="S2705" s="128">
        <v>0</v>
      </c>
      <c r="T2705" s="128">
        <v>0</v>
      </c>
      <c r="U2705" s="128">
        <v>550</v>
      </c>
      <c r="V2705" s="128">
        <v>0</v>
      </c>
      <c r="W2705" s="128">
        <v>550</v>
      </c>
      <c r="X2705" s="128">
        <v>0</v>
      </c>
      <c r="Y2705" s="128">
        <v>0</v>
      </c>
      <c r="Z2705" s="128">
        <v>0</v>
      </c>
      <c r="AA2705" s="128">
        <v>550</v>
      </c>
      <c r="AB2705" s="126">
        <f t="shared" si="277"/>
        <v>-5.5000000000000002E-5</v>
      </c>
      <c r="AC2705" s="122" t="s">
        <v>1838</v>
      </c>
      <c r="AD2705" s="123">
        <f t="shared" si="278"/>
        <v>1983.9723217250009</v>
      </c>
    </row>
    <row r="2706" spans="1:30" ht="12.75" hidden="1" customHeight="1">
      <c r="A2706" s="125" t="str">
        <f t="shared" si="274"/>
        <v>LIC177Brokerage &amp; Dist Exp Payable</v>
      </c>
      <c r="B2706" s="125">
        <f>+IFERROR(VLOOKUP(L2706,'TB mapping'!A:D,4,0),0)</f>
        <v>0</v>
      </c>
      <c r="C2706" s="125">
        <f>+IFERROR(VLOOKUP(L2706,'TB mapping'!A:C,3,0),0)</f>
        <v>0</v>
      </c>
      <c r="D2706" s="125" t="str">
        <f t="shared" si="275"/>
        <v>LIC1770</v>
      </c>
      <c r="E2706" s="125" t="str">
        <f t="shared" si="276"/>
        <v>LIC1770</v>
      </c>
      <c r="F2706" s="158" t="str">
        <f>+VLOOKUP(H2706,'code mapping'!A:C,3,0)</f>
        <v>LIC177</v>
      </c>
      <c r="G2706" s="127" t="s">
        <v>453</v>
      </c>
      <c r="H2706" s="127" t="s">
        <v>778</v>
      </c>
      <c r="I2706" s="127" t="s">
        <v>779</v>
      </c>
      <c r="J2706" s="128">
        <v>212000</v>
      </c>
      <c r="K2706" s="127" t="s">
        <v>487</v>
      </c>
      <c r="L2706" s="151">
        <v>212255</v>
      </c>
      <c r="M2706" s="128">
        <v>0</v>
      </c>
      <c r="N2706" s="127" t="s">
        <v>503</v>
      </c>
      <c r="O2706" s="127" t="s">
        <v>457</v>
      </c>
      <c r="P2706" s="128">
        <v>0</v>
      </c>
      <c r="Q2706" s="128">
        <v>621027.76</v>
      </c>
      <c r="R2706" s="128">
        <v>0</v>
      </c>
      <c r="S2706" s="128">
        <v>0</v>
      </c>
      <c r="T2706" s="128">
        <v>0</v>
      </c>
      <c r="U2706" s="128">
        <v>621027.76</v>
      </c>
      <c r="V2706" s="128">
        <v>0</v>
      </c>
      <c r="W2706" s="128">
        <v>621027.76</v>
      </c>
      <c r="X2706" s="128">
        <v>0</v>
      </c>
      <c r="Y2706" s="128">
        <v>0</v>
      </c>
      <c r="Z2706" s="128">
        <v>0</v>
      </c>
      <c r="AA2706" s="128">
        <v>621027.76</v>
      </c>
      <c r="AB2706" s="126">
        <f t="shared" si="277"/>
        <v>-6.2102775999999998E-2</v>
      </c>
      <c r="AC2706" s="122" t="s">
        <v>1838</v>
      </c>
      <c r="AD2706" s="123">
        <f t="shared" si="278"/>
        <v>1983.9723217250009</v>
      </c>
    </row>
    <row r="2707" spans="1:30" ht="12.75" hidden="1" customHeight="1">
      <c r="A2707" s="125" t="str">
        <f t="shared" si="274"/>
        <v>LIC177Upfront Brk &amp; Trail Paid-Liab</v>
      </c>
      <c r="B2707" s="125">
        <f>+IFERROR(VLOOKUP(L2707,'TB mapping'!A:D,4,0),0)</f>
        <v>0</v>
      </c>
      <c r="C2707" s="125">
        <f>+IFERROR(VLOOKUP(L2707,'TB mapping'!A:C,3,0),0)</f>
        <v>0</v>
      </c>
      <c r="D2707" s="125" t="str">
        <f t="shared" si="275"/>
        <v>LIC1770</v>
      </c>
      <c r="E2707" s="125" t="str">
        <f t="shared" si="276"/>
        <v>LIC1770</v>
      </c>
      <c r="F2707" s="158" t="str">
        <f>+VLOOKUP(H2707,'code mapping'!A:C,3,0)</f>
        <v>LIC177</v>
      </c>
      <c r="G2707" s="127" t="s">
        <v>453</v>
      </c>
      <c r="H2707" s="127" t="s">
        <v>778</v>
      </c>
      <c r="I2707" s="127" t="s">
        <v>779</v>
      </c>
      <c r="J2707" s="128">
        <v>212000</v>
      </c>
      <c r="K2707" s="127" t="s">
        <v>487</v>
      </c>
      <c r="L2707" s="151">
        <v>212257</v>
      </c>
      <c r="M2707" s="128">
        <v>0</v>
      </c>
      <c r="N2707" s="127" t="s">
        <v>504</v>
      </c>
      <c r="O2707" s="127" t="s">
        <v>457</v>
      </c>
      <c r="P2707" s="128">
        <v>-51.16</v>
      </c>
      <c r="Q2707" s="128">
        <v>0</v>
      </c>
      <c r="R2707" s="128">
        <v>0</v>
      </c>
      <c r="S2707" s="128">
        <v>0</v>
      </c>
      <c r="T2707" s="128">
        <v>-51.16</v>
      </c>
      <c r="U2707" s="128">
        <v>0</v>
      </c>
      <c r="V2707" s="128">
        <v>-51.16</v>
      </c>
      <c r="W2707" s="128">
        <v>0</v>
      </c>
      <c r="X2707" s="128">
        <v>0</v>
      </c>
      <c r="Y2707" s="128">
        <v>0</v>
      </c>
      <c r="Z2707" s="128">
        <v>-51.16</v>
      </c>
      <c r="AA2707" s="128">
        <v>0</v>
      </c>
      <c r="AB2707" s="126">
        <f t="shared" si="277"/>
        <v>5.1159999999999998E-6</v>
      </c>
      <c r="AC2707" s="122" t="s">
        <v>1838</v>
      </c>
      <c r="AD2707" s="123">
        <f t="shared" si="278"/>
        <v>1983.9723217250009</v>
      </c>
    </row>
    <row r="2708" spans="1:30" ht="12.75" hidden="1" customHeight="1">
      <c r="A2708" s="125" t="str">
        <f t="shared" si="274"/>
        <v>LIC177Payable CGST on Mfees</v>
      </c>
      <c r="B2708" s="125">
        <f>+IFERROR(VLOOKUP(L2708,'TB mapping'!A:D,4,0),0)</f>
        <v>0</v>
      </c>
      <c r="C2708" s="125">
        <f>+IFERROR(VLOOKUP(L2708,'TB mapping'!A:C,3,0),0)</f>
        <v>0</v>
      </c>
      <c r="D2708" s="125" t="str">
        <f t="shared" si="275"/>
        <v>LIC1770</v>
      </c>
      <c r="E2708" s="125" t="str">
        <f t="shared" si="276"/>
        <v>LIC1770</v>
      </c>
      <c r="F2708" s="158" t="str">
        <f>+VLOOKUP(H2708,'code mapping'!A:C,3,0)</f>
        <v>LIC177</v>
      </c>
      <c r="G2708" s="127" t="s">
        <v>453</v>
      </c>
      <c r="H2708" s="127" t="s">
        <v>778</v>
      </c>
      <c r="I2708" s="127" t="s">
        <v>779</v>
      </c>
      <c r="J2708" s="128">
        <v>212000</v>
      </c>
      <c r="K2708" s="127" t="s">
        <v>487</v>
      </c>
      <c r="L2708" s="151">
        <v>212271</v>
      </c>
      <c r="M2708" s="128">
        <v>0</v>
      </c>
      <c r="N2708" s="127" t="s">
        <v>505</v>
      </c>
      <c r="O2708" s="127" t="s">
        <v>457</v>
      </c>
      <c r="P2708" s="128">
        <v>0</v>
      </c>
      <c r="Q2708" s="128">
        <v>1754.99</v>
      </c>
      <c r="R2708" s="128">
        <v>0</v>
      </c>
      <c r="S2708" s="128">
        <v>0</v>
      </c>
      <c r="T2708" s="128">
        <v>0</v>
      </c>
      <c r="U2708" s="128">
        <v>1754.99</v>
      </c>
      <c r="V2708" s="128">
        <v>0</v>
      </c>
      <c r="W2708" s="128">
        <v>1754.99</v>
      </c>
      <c r="X2708" s="128">
        <v>0</v>
      </c>
      <c r="Y2708" s="128">
        <v>0</v>
      </c>
      <c r="Z2708" s="128">
        <v>0</v>
      </c>
      <c r="AA2708" s="128">
        <v>1754.99</v>
      </c>
      <c r="AB2708" s="126">
        <f t="shared" si="277"/>
        <v>-1.7549899999999999E-4</v>
      </c>
      <c r="AC2708" s="122" t="s">
        <v>1838</v>
      </c>
      <c r="AD2708" s="123">
        <f t="shared" si="278"/>
        <v>1983.9723217250009</v>
      </c>
    </row>
    <row r="2709" spans="1:30" ht="12.75" hidden="1" customHeight="1">
      <c r="A2709" s="125" t="str">
        <f t="shared" si="274"/>
        <v>LIC177Payable SGST on Mfees</v>
      </c>
      <c r="B2709" s="125">
        <f>+IFERROR(VLOOKUP(L2709,'TB mapping'!A:D,4,0),0)</f>
        <v>0</v>
      </c>
      <c r="C2709" s="125">
        <f>+IFERROR(VLOOKUP(L2709,'TB mapping'!A:C,3,0),0)</f>
        <v>0</v>
      </c>
      <c r="D2709" s="125" t="str">
        <f t="shared" si="275"/>
        <v>LIC1770</v>
      </c>
      <c r="E2709" s="125" t="str">
        <f t="shared" si="276"/>
        <v>LIC1770</v>
      </c>
      <c r="F2709" s="158" t="str">
        <f>+VLOOKUP(H2709,'code mapping'!A:C,3,0)</f>
        <v>LIC177</v>
      </c>
      <c r="G2709" s="127" t="s">
        <v>453</v>
      </c>
      <c r="H2709" s="127" t="s">
        <v>778</v>
      </c>
      <c r="I2709" s="127" t="s">
        <v>779</v>
      </c>
      <c r="J2709" s="128">
        <v>212000</v>
      </c>
      <c r="K2709" s="127" t="s">
        <v>487</v>
      </c>
      <c r="L2709" s="151">
        <v>212272</v>
      </c>
      <c r="M2709" s="128">
        <v>0</v>
      </c>
      <c r="N2709" s="127" t="s">
        <v>506</v>
      </c>
      <c r="O2709" s="127" t="s">
        <v>457</v>
      </c>
      <c r="P2709" s="128">
        <v>0</v>
      </c>
      <c r="Q2709" s="128">
        <v>1754.99</v>
      </c>
      <c r="R2709" s="128">
        <v>0</v>
      </c>
      <c r="S2709" s="128">
        <v>0</v>
      </c>
      <c r="T2709" s="128">
        <v>0</v>
      </c>
      <c r="U2709" s="128">
        <v>1754.99</v>
      </c>
      <c r="V2709" s="128">
        <v>0</v>
      </c>
      <c r="W2709" s="128">
        <v>1754.99</v>
      </c>
      <c r="X2709" s="128">
        <v>0</v>
      </c>
      <c r="Y2709" s="128">
        <v>0</v>
      </c>
      <c r="Z2709" s="128">
        <v>0</v>
      </c>
      <c r="AA2709" s="128">
        <v>1754.99</v>
      </c>
      <c r="AB2709" s="126">
        <f t="shared" si="277"/>
        <v>-1.7549899999999999E-4</v>
      </c>
      <c r="AC2709" s="122" t="s">
        <v>1838</v>
      </c>
      <c r="AD2709" s="123">
        <f t="shared" si="278"/>
        <v>1983.9723217250009</v>
      </c>
    </row>
    <row r="2710" spans="1:30" ht="12.75" hidden="1" customHeight="1">
      <c r="A2710" s="125" t="str">
        <f t="shared" si="274"/>
        <v>LIC177Payable -Inv Educ Fund-AMFI</v>
      </c>
      <c r="B2710" s="125">
        <f>+IFERROR(VLOOKUP(L2710,'TB mapping'!A:D,4,0),0)</f>
        <v>0</v>
      </c>
      <c r="C2710" s="125">
        <f>+IFERROR(VLOOKUP(L2710,'TB mapping'!A:C,3,0),0)</f>
        <v>0</v>
      </c>
      <c r="D2710" s="125" t="str">
        <f t="shared" si="275"/>
        <v>LIC1770</v>
      </c>
      <c r="E2710" s="125" t="str">
        <f t="shared" si="276"/>
        <v>LIC1770</v>
      </c>
      <c r="F2710" s="158" t="str">
        <f>+VLOOKUP(H2710,'code mapping'!A:C,3,0)</f>
        <v>LIC177</v>
      </c>
      <c r="G2710" s="127" t="s">
        <v>453</v>
      </c>
      <c r="H2710" s="127" t="s">
        <v>778</v>
      </c>
      <c r="I2710" s="127" t="s">
        <v>779</v>
      </c>
      <c r="J2710" s="128">
        <v>212000</v>
      </c>
      <c r="K2710" s="127" t="s">
        <v>487</v>
      </c>
      <c r="L2710" s="151">
        <v>213166</v>
      </c>
      <c r="M2710" s="128">
        <v>0</v>
      </c>
      <c r="N2710" s="127" t="s">
        <v>507</v>
      </c>
      <c r="O2710" s="127" t="s">
        <v>457</v>
      </c>
      <c r="P2710" s="128">
        <v>0</v>
      </c>
      <c r="Q2710" s="128">
        <v>24415.1</v>
      </c>
      <c r="R2710" s="128">
        <v>0</v>
      </c>
      <c r="S2710" s="128">
        <v>0</v>
      </c>
      <c r="T2710" s="128">
        <v>0</v>
      </c>
      <c r="U2710" s="128">
        <v>24415.1</v>
      </c>
      <c r="V2710" s="128">
        <v>0</v>
      </c>
      <c r="W2710" s="128">
        <v>24415.1</v>
      </c>
      <c r="X2710" s="128">
        <v>0</v>
      </c>
      <c r="Y2710" s="128">
        <v>0</v>
      </c>
      <c r="Z2710" s="128">
        <v>0</v>
      </c>
      <c r="AA2710" s="128">
        <v>24415.1</v>
      </c>
      <c r="AB2710" s="126">
        <f t="shared" si="277"/>
        <v>-2.44151E-3</v>
      </c>
      <c r="AC2710" s="122" t="s">
        <v>1838</v>
      </c>
      <c r="AD2710" s="123">
        <f t="shared" si="278"/>
        <v>1983.9723217250009</v>
      </c>
    </row>
    <row r="2711" spans="1:30" ht="12.75" hidden="1" customHeight="1">
      <c r="A2711" s="125" t="str">
        <f t="shared" si="274"/>
        <v>LIC177Management Fee Payable</v>
      </c>
      <c r="B2711" s="125">
        <f>+IFERROR(VLOOKUP(L2711,'TB mapping'!A:D,4,0),0)</f>
        <v>0</v>
      </c>
      <c r="C2711" s="125">
        <f>+IFERROR(VLOOKUP(L2711,'TB mapping'!A:C,3,0),0)</f>
        <v>0</v>
      </c>
      <c r="D2711" s="125" t="str">
        <f t="shared" si="275"/>
        <v>LIC1770</v>
      </c>
      <c r="E2711" s="125" t="str">
        <f t="shared" si="276"/>
        <v>LIC1770</v>
      </c>
      <c r="F2711" s="158" t="str">
        <f>+VLOOKUP(H2711,'code mapping'!A:C,3,0)</f>
        <v>LIC177</v>
      </c>
      <c r="G2711" s="127" t="s">
        <v>453</v>
      </c>
      <c r="H2711" s="127" t="s">
        <v>778</v>
      </c>
      <c r="I2711" s="127" t="s">
        <v>779</v>
      </c>
      <c r="J2711" s="128">
        <v>213000</v>
      </c>
      <c r="K2711" s="127" t="s">
        <v>508</v>
      </c>
      <c r="L2711" s="151">
        <v>213500</v>
      </c>
      <c r="M2711" s="128">
        <v>0</v>
      </c>
      <c r="N2711" s="127" t="s">
        <v>509</v>
      </c>
      <c r="O2711" s="127" t="s">
        <v>457</v>
      </c>
      <c r="P2711" s="128">
        <v>0</v>
      </c>
      <c r="Q2711" s="128">
        <v>19500.02</v>
      </c>
      <c r="R2711" s="128">
        <v>0</v>
      </c>
      <c r="S2711" s="128">
        <v>0</v>
      </c>
      <c r="T2711" s="128">
        <v>0</v>
      </c>
      <c r="U2711" s="128">
        <v>19500.02</v>
      </c>
      <c r="V2711" s="128">
        <v>0</v>
      </c>
      <c r="W2711" s="128">
        <v>19500.02</v>
      </c>
      <c r="X2711" s="128">
        <v>0</v>
      </c>
      <c r="Y2711" s="128">
        <v>0</v>
      </c>
      <c r="Z2711" s="128">
        <v>0</v>
      </c>
      <c r="AA2711" s="128">
        <v>19500.02</v>
      </c>
      <c r="AB2711" s="126">
        <f t="shared" si="277"/>
        <v>-1.9500019999999999E-3</v>
      </c>
      <c r="AC2711" s="122" t="s">
        <v>1838</v>
      </c>
      <c r="AD2711" s="123">
        <f t="shared" si="278"/>
        <v>1983.9723217250009</v>
      </c>
    </row>
    <row r="2712" spans="1:30" ht="12.75" hidden="1" customHeight="1">
      <c r="A2712" s="125" t="str">
        <f t="shared" si="274"/>
        <v>LIC177Other Adjustment A/c.</v>
      </c>
      <c r="B2712" s="125">
        <f>+IFERROR(VLOOKUP(L2712,'TB mapping'!A:D,4,0),0)</f>
        <v>0</v>
      </c>
      <c r="C2712" s="125">
        <f>+IFERROR(VLOOKUP(L2712,'TB mapping'!A:C,3,0),0)</f>
        <v>0</v>
      </c>
      <c r="D2712" s="125" t="str">
        <f t="shared" si="275"/>
        <v>LIC1770</v>
      </c>
      <c r="E2712" s="125" t="str">
        <f t="shared" si="276"/>
        <v>LIC1770</v>
      </c>
      <c r="F2712" s="158" t="str">
        <f>+VLOOKUP(H2712,'code mapping'!A:C,3,0)</f>
        <v>LIC177</v>
      </c>
      <c r="G2712" s="127" t="s">
        <v>453</v>
      </c>
      <c r="H2712" s="127" t="s">
        <v>778</v>
      </c>
      <c r="I2712" s="127" t="s">
        <v>779</v>
      </c>
      <c r="J2712" s="128">
        <v>220000</v>
      </c>
      <c r="K2712" s="127" t="s">
        <v>510</v>
      </c>
      <c r="L2712" s="151">
        <v>190000</v>
      </c>
      <c r="M2712" s="128">
        <v>0</v>
      </c>
      <c r="N2712" s="127" t="s">
        <v>511</v>
      </c>
      <c r="O2712" s="127" t="s">
        <v>457</v>
      </c>
      <c r="P2712" s="128">
        <v>0</v>
      </c>
      <c r="Q2712" s="128">
        <v>1.24</v>
      </c>
      <c r="R2712" s="128">
        <v>0</v>
      </c>
      <c r="S2712" s="128">
        <v>0</v>
      </c>
      <c r="T2712" s="128">
        <v>0</v>
      </c>
      <c r="U2712" s="128">
        <v>1.24</v>
      </c>
      <c r="V2712" s="128">
        <v>0</v>
      </c>
      <c r="W2712" s="128">
        <v>1.24</v>
      </c>
      <c r="X2712" s="128">
        <v>0</v>
      </c>
      <c r="Y2712" s="128">
        <v>0</v>
      </c>
      <c r="Z2712" s="128">
        <v>0</v>
      </c>
      <c r="AA2712" s="128">
        <v>1.24</v>
      </c>
      <c r="AB2712" s="126">
        <f t="shared" si="277"/>
        <v>-1.24E-7</v>
      </c>
      <c r="AC2712" s="122" t="s">
        <v>1838</v>
      </c>
      <c r="AD2712" s="123">
        <f t="shared" si="278"/>
        <v>1983.9723217250009</v>
      </c>
    </row>
    <row r="2713" spans="1:30" ht="12.75" hidden="1" customHeight="1">
      <c r="A2713" s="125" t="str">
        <f t="shared" si="274"/>
        <v>LIC177Prov For Withholding Brokerage</v>
      </c>
      <c r="B2713" s="125">
        <f>+IFERROR(VLOOKUP(L2713,'TB mapping'!A:D,4,0),0)</f>
        <v>0</v>
      </c>
      <c r="C2713" s="125">
        <f>+IFERROR(VLOOKUP(L2713,'TB mapping'!A:C,3,0),0)</f>
        <v>0</v>
      </c>
      <c r="D2713" s="125" t="str">
        <f t="shared" si="275"/>
        <v>LIC1770</v>
      </c>
      <c r="E2713" s="125" t="str">
        <f t="shared" si="276"/>
        <v>LIC1770</v>
      </c>
      <c r="F2713" s="158" t="str">
        <f>+VLOOKUP(H2713,'code mapping'!A:C,3,0)</f>
        <v>LIC177</v>
      </c>
      <c r="G2713" s="127" t="s">
        <v>453</v>
      </c>
      <c r="H2713" s="127" t="s">
        <v>778</v>
      </c>
      <c r="I2713" s="127" t="s">
        <v>779</v>
      </c>
      <c r="J2713" s="128">
        <v>220000</v>
      </c>
      <c r="K2713" s="127" t="s">
        <v>510</v>
      </c>
      <c r="L2713" s="151">
        <v>210162</v>
      </c>
      <c r="M2713" s="128">
        <v>0</v>
      </c>
      <c r="N2713" s="127" t="s">
        <v>512</v>
      </c>
      <c r="O2713" s="127" t="s">
        <v>457</v>
      </c>
      <c r="P2713" s="128">
        <v>0</v>
      </c>
      <c r="Q2713" s="128">
        <v>73.86</v>
      </c>
      <c r="R2713" s="128">
        <v>0</v>
      </c>
      <c r="S2713" s="128">
        <v>0</v>
      </c>
      <c r="T2713" s="128">
        <v>0</v>
      </c>
      <c r="U2713" s="128">
        <v>73.86</v>
      </c>
      <c r="V2713" s="128">
        <v>0</v>
      </c>
      <c r="W2713" s="128">
        <v>73.86</v>
      </c>
      <c r="X2713" s="128">
        <v>0</v>
      </c>
      <c r="Y2713" s="128">
        <v>0</v>
      </c>
      <c r="Z2713" s="128">
        <v>0</v>
      </c>
      <c r="AA2713" s="128">
        <v>73.86</v>
      </c>
      <c r="AB2713" s="126">
        <f t="shared" si="277"/>
        <v>-7.3860000000000001E-6</v>
      </c>
      <c r="AC2713" s="122" t="s">
        <v>1838</v>
      </c>
      <c r="AD2713" s="123">
        <f t="shared" si="278"/>
        <v>1983.9723217250009</v>
      </c>
    </row>
    <row r="2714" spans="1:30" ht="12.75" hidden="1" customHeight="1">
      <c r="A2714" s="125" t="str">
        <f t="shared" si="274"/>
        <v>LIC177Prov  Withholding Brok 2016-17</v>
      </c>
      <c r="B2714" s="125">
        <f>+IFERROR(VLOOKUP(L2714,'TB mapping'!A:D,4,0),0)</f>
        <v>0</v>
      </c>
      <c r="C2714" s="125">
        <f>+IFERROR(VLOOKUP(L2714,'TB mapping'!A:C,3,0),0)</f>
        <v>0</v>
      </c>
      <c r="D2714" s="125" t="str">
        <f t="shared" si="275"/>
        <v>LIC1770</v>
      </c>
      <c r="E2714" s="125" t="str">
        <f t="shared" si="276"/>
        <v>LIC1770</v>
      </c>
      <c r="F2714" s="158" t="str">
        <f>+VLOOKUP(H2714,'code mapping'!A:C,3,0)</f>
        <v>LIC177</v>
      </c>
      <c r="G2714" s="127" t="s">
        <v>453</v>
      </c>
      <c r="H2714" s="127" t="s">
        <v>778</v>
      </c>
      <c r="I2714" s="127" t="s">
        <v>779</v>
      </c>
      <c r="J2714" s="128">
        <v>220000</v>
      </c>
      <c r="K2714" s="127" t="s">
        <v>510</v>
      </c>
      <c r="L2714" s="151">
        <v>210163</v>
      </c>
      <c r="M2714" s="128">
        <v>0</v>
      </c>
      <c r="N2714" s="127" t="s">
        <v>513</v>
      </c>
      <c r="O2714" s="127" t="s">
        <v>457</v>
      </c>
      <c r="P2714" s="128">
        <v>0</v>
      </c>
      <c r="Q2714" s="128">
        <v>665.42</v>
      </c>
      <c r="R2714" s="128">
        <v>0</v>
      </c>
      <c r="S2714" s="128">
        <v>0</v>
      </c>
      <c r="T2714" s="128">
        <v>0</v>
      </c>
      <c r="U2714" s="128">
        <v>665.42</v>
      </c>
      <c r="V2714" s="128">
        <v>0</v>
      </c>
      <c r="W2714" s="128">
        <v>665.42</v>
      </c>
      <c r="X2714" s="128">
        <v>0</v>
      </c>
      <c r="Y2714" s="128">
        <v>0</v>
      </c>
      <c r="Z2714" s="128">
        <v>0</v>
      </c>
      <c r="AA2714" s="128">
        <v>665.42</v>
      </c>
      <c r="AB2714" s="126">
        <f t="shared" si="277"/>
        <v>-6.6542000000000001E-5</v>
      </c>
      <c r="AC2714" s="122" t="s">
        <v>1838</v>
      </c>
      <c r="AD2714" s="123">
        <f t="shared" si="278"/>
        <v>1983.9723217250009</v>
      </c>
    </row>
    <row r="2715" spans="1:30" ht="12.75" hidden="1" customHeight="1">
      <c r="A2715" s="125" t="str">
        <f t="shared" si="274"/>
        <v>LIC177Unit Capital</v>
      </c>
      <c r="B2715" s="125">
        <f>+IFERROR(VLOOKUP(L2715,'TB mapping'!A:D,4,0),0)</f>
        <v>0</v>
      </c>
      <c r="C2715" s="125">
        <f>+IFERROR(VLOOKUP(L2715,'TB mapping'!A:C,3,0),0)</f>
        <v>0</v>
      </c>
      <c r="D2715" s="125" t="str">
        <f t="shared" si="275"/>
        <v>LIC1770</v>
      </c>
      <c r="E2715" s="125" t="str">
        <f t="shared" si="276"/>
        <v>LIC1770</v>
      </c>
      <c r="F2715" s="158" t="str">
        <f>+VLOOKUP(H2715,'code mapping'!A:C,3,0)</f>
        <v>LIC177</v>
      </c>
      <c r="G2715" s="127" t="s">
        <v>453</v>
      </c>
      <c r="H2715" s="127" t="s">
        <v>778</v>
      </c>
      <c r="I2715" s="127" t="s">
        <v>779</v>
      </c>
      <c r="J2715" s="128">
        <v>301000</v>
      </c>
      <c r="K2715" s="127" t="s">
        <v>514</v>
      </c>
      <c r="L2715" s="151">
        <v>310000</v>
      </c>
      <c r="M2715" s="128">
        <v>0</v>
      </c>
      <c r="N2715" s="127" t="s">
        <v>515</v>
      </c>
      <c r="O2715" s="127" t="s">
        <v>457</v>
      </c>
      <c r="P2715" s="128">
        <v>0</v>
      </c>
      <c r="Q2715" s="128">
        <v>266442420</v>
      </c>
      <c r="R2715" s="128">
        <v>0</v>
      </c>
      <c r="S2715" s="128">
        <v>0</v>
      </c>
      <c r="T2715" s="128">
        <v>0</v>
      </c>
      <c r="U2715" s="128">
        <v>266442420</v>
      </c>
      <c r="V2715" s="128">
        <v>0</v>
      </c>
      <c r="W2715" s="128">
        <v>266442420</v>
      </c>
      <c r="X2715" s="128">
        <v>0</v>
      </c>
      <c r="Y2715" s="128">
        <v>0</v>
      </c>
      <c r="Z2715" s="128">
        <v>0</v>
      </c>
      <c r="AA2715" s="128">
        <v>266442420</v>
      </c>
      <c r="AB2715" s="126">
        <f t="shared" si="277"/>
        <v>-26.644241999999998</v>
      </c>
      <c r="AC2715" s="122" t="s">
        <v>1838</v>
      </c>
      <c r="AD2715" s="123">
        <f t="shared" si="278"/>
        <v>1983.9723217250009</v>
      </c>
    </row>
    <row r="2716" spans="1:30" ht="12.75" hidden="1" customHeight="1">
      <c r="A2716" s="125" t="str">
        <f t="shared" si="274"/>
        <v>LIC177Unit Premium Reserve- G</v>
      </c>
      <c r="B2716" s="125">
        <f>+IFERROR(VLOOKUP(L2716,'TB mapping'!A:D,4,0),0)</f>
        <v>0</v>
      </c>
      <c r="C2716" s="125">
        <f>+IFERROR(VLOOKUP(L2716,'TB mapping'!A:C,3,0),0)</f>
        <v>0</v>
      </c>
      <c r="D2716" s="125" t="str">
        <f t="shared" si="275"/>
        <v>LIC1770</v>
      </c>
      <c r="E2716" s="125" t="str">
        <f t="shared" si="276"/>
        <v>LIC1770</v>
      </c>
      <c r="F2716" s="158" t="str">
        <f>+VLOOKUP(H2716,'code mapping'!A:C,3,0)</f>
        <v>LIC177</v>
      </c>
      <c r="G2716" s="127" t="s">
        <v>453</v>
      </c>
      <c r="H2716" s="127" t="s">
        <v>778</v>
      </c>
      <c r="I2716" s="127" t="s">
        <v>779</v>
      </c>
      <c r="J2716" s="128">
        <v>303000</v>
      </c>
      <c r="K2716" s="127" t="s">
        <v>516</v>
      </c>
      <c r="L2716" s="151">
        <v>303207</v>
      </c>
      <c r="M2716" s="128">
        <v>0</v>
      </c>
      <c r="N2716" s="127" t="s">
        <v>620</v>
      </c>
      <c r="O2716" s="127" t="s">
        <v>457</v>
      </c>
      <c r="P2716" s="128">
        <v>0</v>
      </c>
      <c r="Q2716" s="128">
        <v>1758985252.29</v>
      </c>
      <c r="R2716" s="128">
        <v>0</v>
      </c>
      <c r="S2716" s="128">
        <v>0</v>
      </c>
      <c r="T2716" s="128">
        <v>0</v>
      </c>
      <c r="U2716" s="128">
        <v>1758985252.29</v>
      </c>
      <c r="V2716" s="128">
        <v>0</v>
      </c>
      <c r="W2716" s="128">
        <v>1758985252.29</v>
      </c>
      <c r="X2716" s="128">
        <v>0</v>
      </c>
      <c r="Y2716" s="128">
        <v>0</v>
      </c>
      <c r="Z2716" s="128">
        <v>0</v>
      </c>
      <c r="AA2716" s="128">
        <v>1758985252.29</v>
      </c>
      <c r="AB2716" s="126">
        <f t="shared" si="277"/>
        <v>-175.898525229</v>
      </c>
      <c r="AC2716" s="122" t="s">
        <v>1838</v>
      </c>
      <c r="AD2716" s="123">
        <f t="shared" si="278"/>
        <v>1983.9723217250009</v>
      </c>
    </row>
    <row r="2717" spans="1:30" ht="12.75" hidden="1" customHeight="1">
      <c r="A2717" s="125" t="str">
        <f t="shared" si="274"/>
        <v>LIC177Net Earnings</v>
      </c>
      <c r="B2717" s="125">
        <f>+IFERROR(VLOOKUP(L2717,'TB mapping'!A:D,4,0),0)</f>
        <v>0</v>
      </c>
      <c r="C2717" s="125">
        <f>+IFERROR(VLOOKUP(L2717,'TB mapping'!A:C,3,0),0)</f>
        <v>0</v>
      </c>
      <c r="D2717" s="125" t="str">
        <f t="shared" si="275"/>
        <v>LIC1770</v>
      </c>
      <c r="E2717" s="125" t="str">
        <f t="shared" si="276"/>
        <v>LIC1770</v>
      </c>
      <c r="F2717" s="158" t="str">
        <f>+VLOOKUP(H2717,'code mapping'!A:C,3,0)</f>
        <v>LIC177</v>
      </c>
      <c r="G2717" s="127" t="s">
        <v>453</v>
      </c>
      <c r="H2717" s="127" t="s">
        <v>778</v>
      </c>
      <c r="I2717" s="127" t="s">
        <v>779</v>
      </c>
      <c r="J2717" s="128">
        <v>303000</v>
      </c>
      <c r="K2717" s="127" t="s">
        <v>516</v>
      </c>
      <c r="L2717" s="151">
        <v>390000</v>
      </c>
      <c r="M2717" s="128">
        <v>0</v>
      </c>
      <c r="N2717" s="127" t="s">
        <v>521</v>
      </c>
      <c r="O2717" s="127" t="s">
        <v>457</v>
      </c>
      <c r="P2717" s="128">
        <v>0</v>
      </c>
      <c r="Q2717" s="128">
        <v>42784045.799999997</v>
      </c>
      <c r="R2717" s="128">
        <v>0</v>
      </c>
      <c r="S2717" s="128">
        <v>0</v>
      </c>
      <c r="T2717" s="128">
        <v>0</v>
      </c>
      <c r="U2717" s="128">
        <v>42784045.799999997</v>
      </c>
      <c r="V2717" s="128">
        <v>0</v>
      </c>
      <c r="W2717" s="128">
        <v>42784045.799999997</v>
      </c>
      <c r="X2717" s="128">
        <v>0</v>
      </c>
      <c r="Y2717" s="128">
        <v>0</v>
      </c>
      <c r="Z2717" s="128">
        <v>0</v>
      </c>
      <c r="AA2717" s="128">
        <v>42784045.799999997</v>
      </c>
      <c r="AB2717" s="126">
        <f t="shared" si="277"/>
        <v>-4.2784045800000001</v>
      </c>
      <c r="AC2717" s="122" t="s">
        <v>1838</v>
      </c>
      <c r="AD2717" s="123">
        <f t="shared" si="278"/>
        <v>1983.9723217250009</v>
      </c>
    </row>
    <row r="2718" spans="1:30" ht="12.75" hidden="1" customHeight="1">
      <c r="A2718" s="125" t="str">
        <f t="shared" si="274"/>
        <v>LIC177R/L G/P - Equities</v>
      </c>
      <c r="B2718" s="125">
        <f>+IFERROR(VLOOKUP(L2718,'TB mapping'!A:D,4,0),0)</f>
        <v>0</v>
      </c>
      <c r="C2718" s="125">
        <f>+IFERROR(VLOOKUP(L2718,'TB mapping'!A:C,3,0),0)</f>
        <v>5.3</v>
      </c>
      <c r="D2718" s="125" t="str">
        <f t="shared" si="275"/>
        <v>LIC1770</v>
      </c>
      <c r="E2718" s="125" t="str">
        <f t="shared" si="276"/>
        <v>LIC1775.3</v>
      </c>
      <c r="F2718" s="158" t="str">
        <f>+VLOOKUP(H2718,'code mapping'!A:C,3,0)</f>
        <v>LIC177</v>
      </c>
      <c r="G2718" s="127" t="s">
        <v>453</v>
      </c>
      <c r="H2718" s="127" t="s">
        <v>778</v>
      </c>
      <c r="I2718" s="127" t="s">
        <v>779</v>
      </c>
      <c r="J2718" s="128">
        <v>410000</v>
      </c>
      <c r="K2718" s="127" t="s">
        <v>522</v>
      </c>
      <c r="L2718" s="151">
        <v>411100</v>
      </c>
      <c r="M2718" s="128">
        <v>0</v>
      </c>
      <c r="N2718" s="127" t="s">
        <v>596</v>
      </c>
      <c r="O2718" s="127" t="s">
        <v>457</v>
      </c>
      <c r="P2718" s="128">
        <v>0</v>
      </c>
      <c r="Q2718" s="128">
        <v>15913391.74</v>
      </c>
      <c r="R2718" s="128">
        <v>0</v>
      </c>
      <c r="S2718" s="128">
        <v>0</v>
      </c>
      <c r="T2718" s="128">
        <v>0</v>
      </c>
      <c r="U2718" s="128">
        <v>15913391.74</v>
      </c>
      <c r="V2718" s="128">
        <v>0</v>
      </c>
      <c r="W2718" s="128">
        <v>15913391.74</v>
      </c>
      <c r="X2718" s="128">
        <v>0</v>
      </c>
      <c r="Y2718" s="128">
        <v>0</v>
      </c>
      <c r="Z2718" s="128">
        <v>0</v>
      </c>
      <c r="AA2718" s="128">
        <v>15913391.74</v>
      </c>
      <c r="AB2718" s="126">
        <f t="shared" si="277"/>
        <v>-1.591339174</v>
      </c>
      <c r="AC2718" s="122" t="s">
        <v>1838</v>
      </c>
      <c r="AD2718" s="123">
        <f>SUMIF(E:E,E2718,AB:AB)</f>
        <v>-1.41247042</v>
      </c>
    </row>
    <row r="2719" spans="1:30" ht="12.75" hidden="1" customHeight="1">
      <c r="A2719" s="125" t="str">
        <f t="shared" si="274"/>
        <v>LIC177R/L G/P - Rights</v>
      </c>
      <c r="B2719" s="125">
        <f>+IFERROR(VLOOKUP(L2719,'TB mapping'!A:D,4,0),0)</f>
        <v>0</v>
      </c>
      <c r="C2719" s="125">
        <f>+IFERROR(VLOOKUP(L2719,'TB mapping'!A:C,3,0),0)</f>
        <v>5.3</v>
      </c>
      <c r="D2719" s="125" t="str">
        <f t="shared" si="275"/>
        <v>LIC1770</v>
      </c>
      <c r="E2719" s="125" t="str">
        <f t="shared" si="276"/>
        <v>LIC1775.3</v>
      </c>
      <c r="F2719" s="158" t="str">
        <f>+VLOOKUP(H2719,'code mapping'!A:C,3,0)</f>
        <v>LIC177</v>
      </c>
      <c r="G2719" s="127" t="s">
        <v>453</v>
      </c>
      <c r="H2719" s="127" t="s">
        <v>778</v>
      </c>
      <c r="I2719" s="127" t="s">
        <v>779</v>
      </c>
      <c r="J2719" s="128">
        <v>410000</v>
      </c>
      <c r="K2719" s="127" t="s">
        <v>522</v>
      </c>
      <c r="L2719" s="151">
        <v>411120</v>
      </c>
      <c r="M2719" s="128">
        <v>0</v>
      </c>
      <c r="N2719" s="127" t="s">
        <v>705</v>
      </c>
      <c r="O2719" s="127" t="s">
        <v>457</v>
      </c>
      <c r="P2719" s="128">
        <v>0</v>
      </c>
      <c r="Q2719" s="128">
        <v>46648.59</v>
      </c>
      <c r="R2719" s="128">
        <v>0</v>
      </c>
      <c r="S2719" s="128">
        <v>0</v>
      </c>
      <c r="T2719" s="128">
        <v>0</v>
      </c>
      <c r="U2719" s="128">
        <v>46648.59</v>
      </c>
      <c r="V2719" s="128">
        <v>0</v>
      </c>
      <c r="W2719" s="128">
        <v>46648.59</v>
      </c>
      <c r="X2719" s="128">
        <v>0</v>
      </c>
      <c r="Y2719" s="128">
        <v>0</v>
      </c>
      <c r="Z2719" s="128">
        <v>0</v>
      </c>
      <c r="AA2719" s="128">
        <v>46648.59</v>
      </c>
      <c r="AB2719" s="126">
        <f t="shared" si="277"/>
        <v>-4.6648589999999995E-3</v>
      </c>
      <c r="AC2719" s="122" t="s">
        <v>1838</v>
      </c>
      <c r="AD2719" s="123">
        <f>SUMIF(E:E,E2719,AB:AB)</f>
        <v>-1.41247042</v>
      </c>
    </row>
    <row r="2720" spans="1:30" ht="12.75" hidden="1" customHeight="1">
      <c r="A2720" s="125" t="str">
        <f t="shared" si="274"/>
        <v>LIC177UR/L G/P - Equities</v>
      </c>
      <c r="B2720" s="125">
        <f>+IFERROR(VLOOKUP(L2720,'TB mapping'!A:D,4,0),0)</f>
        <v>0</v>
      </c>
      <c r="C2720" s="125" t="str">
        <f>+IFERROR(VLOOKUP(L2720,'TB mapping'!A:C,3,0),0)</f>
        <v>Ignore</v>
      </c>
      <c r="D2720" s="125" t="str">
        <f t="shared" si="275"/>
        <v>LIC1770</v>
      </c>
      <c r="E2720" s="125" t="str">
        <f t="shared" si="276"/>
        <v>LIC177Ignore</v>
      </c>
      <c r="F2720" s="158" t="str">
        <f>+VLOOKUP(H2720,'code mapping'!A:C,3,0)</f>
        <v>LIC177</v>
      </c>
      <c r="G2720" s="127" t="s">
        <v>453</v>
      </c>
      <c r="H2720" s="127" t="s">
        <v>778</v>
      </c>
      <c r="I2720" s="127" t="s">
        <v>779</v>
      </c>
      <c r="J2720" s="128">
        <v>430000</v>
      </c>
      <c r="K2720" s="127" t="s">
        <v>528</v>
      </c>
      <c r="L2720" s="151">
        <v>431100</v>
      </c>
      <c r="M2720" s="128">
        <v>0</v>
      </c>
      <c r="N2720" s="127" t="s">
        <v>597</v>
      </c>
      <c r="O2720" s="127" t="s">
        <v>457</v>
      </c>
      <c r="P2720" s="128">
        <v>0</v>
      </c>
      <c r="Q2720" s="128">
        <v>735722928.04999995</v>
      </c>
      <c r="R2720" s="128">
        <v>0</v>
      </c>
      <c r="S2720" s="128">
        <v>0</v>
      </c>
      <c r="T2720" s="128">
        <v>0</v>
      </c>
      <c r="U2720" s="128">
        <v>735722928.04999995</v>
      </c>
      <c r="V2720" s="128">
        <v>0</v>
      </c>
      <c r="W2720" s="128">
        <v>735722928.04999995</v>
      </c>
      <c r="X2720" s="128">
        <v>0</v>
      </c>
      <c r="Y2720" s="128">
        <v>0</v>
      </c>
      <c r="Z2720" s="128">
        <v>0</v>
      </c>
      <c r="AA2720" s="128">
        <v>735722928.04999995</v>
      </c>
      <c r="AB2720" s="126">
        <f t="shared" si="277"/>
        <v>-73.572292804999989</v>
      </c>
      <c r="AC2720" s="122" t="s">
        <v>1838</v>
      </c>
      <c r="AD2720" s="123">
        <f>SUMIF(C:C,C2720,AB:AB)</f>
        <v>-291.7660984179999</v>
      </c>
    </row>
    <row r="2721" spans="1:30" ht="12.75" hidden="1" customHeight="1">
      <c r="A2721" s="125" t="str">
        <f t="shared" si="274"/>
        <v>LIC177Dividend Income - Equities</v>
      </c>
      <c r="B2721" s="125">
        <f>+IFERROR(VLOOKUP(L2721,'TB mapping'!A:D,4,0),0)</f>
        <v>0</v>
      </c>
      <c r="C2721" s="125">
        <f>+IFERROR(VLOOKUP(L2721,'TB mapping'!A:C,3,0),0)</f>
        <v>5.0999999999999996</v>
      </c>
      <c r="D2721" s="125" t="str">
        <f t="shared" si="275"/>
        <v>LIC1770</v>
      </c>
      <c r="E2721" s="125" t="str">
        <f t="shared" si="276"/>
        <v>LIC1775.1</v>
      </c>
      <c r="F2721" s="158" t="str">
        <f>+VLOOKUP(H2721,'code mapping'!A:C,3,0)</f>
        <v>LIC177</v>
      </c>
      <c r="G2721" s="127" t="s">
        <v>453</v>
      </c>
      <c r="H2721" s="127" t="s">
        <v>778</v>
      </c>
      <c r="I2721" s="127" t="s">
        <v>779</v>
      </c>
      <c r="J2721" s="128">
        <v>450000</v>
      </c>
      <c r="K2721" s="127" t="s">
        <v>532</v>
      </c>
      <c r="L2721" s="151">
        <v>451100</v>
      </c>
      <c r="M2721" s="128">
        <v>0</v>
      </c>
      <c r="N2721" s="127" t="s">
        <v>598</v>
      </c>
      <c r="O2721" s="127" t="s">
        <v>457</v>
      </c>
      <c r="P2721" s="128">
        <v>0</v>
      </c>
      <c r="Q2721" s="128">
        <v>38411420.329999998</v>
      </c>
      <c r="R2721" s="128">
        <v>0</v>
      </c>
      <c r="S2721" s="128">
        <v>0</v>
      </c>
      <c r="T2721" s="128">
        <v>0</v>
      </c>
      <c r="U2721" s="128">
        <v>38411420.329999998</v>
      </c>
      <c r="V2721" s="128">
        <v>0</v>
      </c>
      <c r="W2721" s="128">
        <v>38411420.329999998</v>
      </c>
      <c r="X2721" s="128">
        <v>0</v>
      </c>
      <c r="Y2721" s="128">
        <v>0</v>
      </c>
      <c r="Z2721" s="128">
        <v>0</v>
      </c>
      <c r="AA2721" s="128">
        <v>38411420.329999998</v>
      </c>
      <c r="AB2721" s="126">
        <f t="shared" si="277"/>
        <v>-3.8411420329999997</v>
      </c>
      <c r="AC2721" s="122" t="s">
        <v>1838</v>
      </c>
      <c r="AD2721" s="123">
        <f t="shared" ref="AD2721:AD2746" si="279">SUMIF(E:E,E2721,AB:AB)</f>
        <v>-3.8411420329999997</v>
      </c>
    </row>
    <row r="2722" spans="1:30" ht="12.75" hidden="1" customHeight="1">
      <c r="A2722" s="125" t="str">
        <f t="shared" si="274"/>
        <v>LIC177Amort. Income - CBLO</v>
      </c>
      <c r="B2722" s="125">
        <f>+IFERROR(VLOOKUP(L2722,'TB mapping'!A:D,4,0),0)</f>
        <v>0</v>
      </c>
      <c r="C2722" s="125">
        <f>+IFERROR(VLOOKUP(L2722,'TB mapping'!A:C,3,0),0)</f>
        <v>5.2</v>
      </c>
      <c r="D2722" s="125" t="str">
        <f t="shared" si="275"/>
        <v>LIC1770</v>
      </c>
      <c r="E2722" s="125" t="str">
        <f t="shared" si="276"/>
        <v>LIC1775.2</v>
      </c>
      <c r="F2722" s="158" t="str">
        <f>+VLOOKUP(H2722,'code mapping'!A:C,3,0)</f>
        <v>LIC177</v>
      </c>
      <c r="G2722" s="127" t="s">
        <v>453</v>
      </c>
      <c r="H2722" s="127" t="s">
        <v>778</v>
      </c>
      <c r="I2722" s="127" t="s">
        <v>779</v>
      </c>
      <c r="J2722" s="128">
        <v>450000</v>
      </c>
      <c r="K2722" s="127" t="s">
        <v>532</v>
      </c>
      <c r="L2722" s="151">
        <v>452228</v>
      </c>
      <c r="M2722" s="128">
        <v>0</v>
      </c>
      <c r="N2722" s="127" t="s">
        <v>537</v>
      </c>
      <c r="O2722" s="127" t="s">
        <v>457</v>
      </c>
      <c r="P2722" s="128">
        <v>0</v>
      </c>
      <c r="Q2722" s="128">
        <v>457426.95</v>
      </c>
      <c r="R2722" s="128">
        <v>0</v>
      </c>
      <c r="S2722" s="128">
        <v>0</v>
      </c>
      <c r="T2722" s="128">
        <v>0</v>
      </c>
      <c r="U2722" s="128">
        <v>457426.95</v>
      </c>
      <c r="V2722" s="128">
        <v>0</v>
      </c>
      <c r="W2722" s="128">
        <v>457426.95</v>
      </c>
      <c r="X2722" s="128">
        <v>0</v>
      </c>
      <c r="Y2722" s="128">
        <v>0</v>
      </c>
      <c r="Z2722" s="128">
        <v>0</v>
      </c>
      <c r="AA2722" s="128">
        <v>457426.95</v>
      </c>
      <c r="AB2722" s="126">
        <f t="shared" si="277"/>
        <v>-4.5742695E-2</v>
      </c>
      <c r="AC2722" s="122" t="s">
        <v>1838</v>
      </c>
      <c r="AD2722" s="123">
        <f t="shared" si="279"/>
        <v>-4.5742695E-2</v>
      </c>
    </row>
    <row r="2723" spans="1:30" ht="12.75" hidden="1" customHeight="1">
      <c r="A2723" s="125" t="str">
        <f t="shared" si="274"/>
        <v>LIC177Misc Income</v>
      </c>
      <c r="B2723" s="125">
        <f>+IFERROR(VLOOKUP(L2723,'TB mapping'!A:D,4,0),0)</f>
        <v>0</v>
      </c>
      <c r="C2723" s="125">
        <f>+IFERROR(VLOOKUP(L2723,'TB mapping'!A:C,3,0),0)</f>
        <v>5.5</v>
      </c>
      <c r="D2723" s="125" t="str">
        <f t="shared" si="275"/>
        <v>LIC1770</v>
      </c>
      <c r="E2723" s="125" t="str">
        <f t="shared" si="276"/>
        <v>LIC1775.5</v>
      </c>
      <c r="F2723" s="158" t="str">
        <f>+VLOOKUP(H2723,'code mapping'!A:C,3,0)</f>
        <v>LIC177</v>
      </c>
      <c r="G2723" s="127" t="s">
        <v>453</v>
      </c>
      <c r="H2723" s="127" t="s">
        <v>778</v>
      </c>
      <c r="I2723" s="127" t="s">
        <v>779</v>
      </c>
      <c r="J2723" s="128">
        <v>460000</v>
      </c>
      <c r="K2723" s="127" t="s">
        <v>539</v>
      </c>
      <c r="L2723" s="151">
        <v>452233</v>
      </c>
      <c r="M2723" s="128">
        <v>0</v>
      </c>
      <c r="N2723" s="127" t="s">
        <v>706</v>
      </c>
      <c r="O2723" s="127" t="s">
        <v>457</v>
      </c>
      <c r="P2723" s="128">
        <v>0</v>
      </c>
      <c r="Q2723" s="128">
        <v>516.74</v>
      </c>
      <c r="R2723" s="128">
        <v>0</v>
      </c>
      <c r="S2723" s="128">
        <v>0</v>
      </c>
      <c r="T2723" s="128">
        <v>0</v>
      </c>
      <c r="U2723" s="128">
        <v>516.74</v>
      </c>
      <c r="V2723" s="128">
        <v>0</v>
      </c>
      <c r="W2723" s="128">
        <v>516.74</v>
      </c>
      <c r="X2723" s="128">
        <v>0</v>
      </c>
      <c r="Y2723" s="128">
        <v>0</v>
      </c>
      <c r="Z2723" s="128">
        <v>0</v>
      </c>
      <c r="AA2723" s="128">
        <v>516.74</v>
      </c>
      <c r="AB2723" s="126">
        <f t="shared" si="277"/>
        <v>-5.1674E-5</v>
      </c>
      <c r="AC2723" s="122" t="s">
        <v>1838</v>
      </c>
      <c r="AD2723" s="123">
        <f t="shared" si="279"/>
        <v>-1.063308E-3</v>
      </c>
    </row>
    <row r="2724" spans="1:30" ht="12.75" hidden="1" customHeight="1">
      <c r="A2724" s="125" t="str">
        <f t="shared" si="274"/>
        <v>LIC177Other Income</v>
      </c>
      <c r="B2724" s="125">
        <f>+IFERROR(VLOOKUP(L2724,'TB mapping'!A:D,4,0),0)</f>
        <v>0</v>
      </c>
      <c r="C2724" s="125">
        <f>+IFERROR(VLOOKUP(L2724,'TB mapping'!A:C,3,0),0)</f>
        <v>5.5</v>
      </c>
      <c r="D2724" s="125" t="str">
        <f t="shared" si="275"/>
        <v>LIC1770</v>
      </c>
      <c r="E2724" s="125" t="str">
        <f t="shared" si="276"/>
        <v>LIC1775.5</v>
      </c>
      <c r="F2724" s="158" t="str">
        <f>+VLOOKUP(H2724,'code mapping'!A:C,3,0)</f>
        <v>LIC177</v>
      </c>
      <c r="G2724" s="127" t="s">
        <v>453</v>
      </c>
      <c r="H2724" s="127" t="s">
        <v>778</v>
      </c>
      <c r="I2724" s="127" t="s">
        <v>779</v>
      </c>
      <c r="J2724" s="128">
        <v>460000</v>
      </c>
      <c r="K2724" s="127" t="s">
        <v>539</v>
      </c>
      <c r="L2724" s="151">
        <v>460000</v>
      </c>
      <c r="M2724" s="128">
        <v>0</v>
      </c>
      <c r="N2724" s="127" t="s">
        <v>541</v>
      </c>
      <c r="O2724" s="127" t="s">
        <v>457</v>
      </c>
      <c r="P2724" s="128">
        <v>0</v>
      </c>
      <c r="Q2724" s="128">
        <v>10116.34</v>
      </c>
      <c r="R2724" s="128">
        <v>0</v>
      </c>
      <c r="S2724" s="128">
        <v>0</v>
      </c>
      <c r="T2724" s="128">
        <v>0</v>
      </c>
      <c r="U2724" s="128">
        <v>10116.34</v>
      </c>
      <c r="V2724" s="128">
        <v>0</v>
      </c>
      <c r="W2724" s="128">
        <v>10116.34</v>
      </c>
      <c r="X2724" s="128">
        <v>0</v>
      </c>
      <c r="Y2724" s="128">
        <v>0</v>
      </c>
      <c r="Z2724" s="128">
        <v>0</v>
      </c>
      <c r="AA2724" s="128">
        <v>10116.34</v>
      </c>
      <c r="AB2724" s="126">
        <f t="shared" si="277"/>
        <v>-1.011634E-3</v>
      </c>
      <c r="AC2724" s="122" t="s">
        <v>1838</v>
      </c>
      <c r="AD2724" s="123">
        <f t="shared" si="279"/>
        <v>-1.063308E-3</v>
      </c>
    </row>
    <row r="2725" spans="1:30" ht="12.75" hidden="1" customHeight="1">
      <c r="A2725" s="125" t="str">
        <f t="shared" si="274"/>
        <v>LIC177R/L L/P - Equities</v>
      </c>
      <c r="B2725" s="125">
        <f>+IFERROR(VLOOKUP(L2725,'TB mapping'!A:D,4,0),0)</f>
        <v>0</v>
      </c>
      <c r="C2725" s="125">
        <f>+IFERROR(VLOOKUP(L2725,'TB mapping'!A:C,3,0),0)</f>
        <v>5.3</v>
      </c>
      <c r="D2725" s="125" t="str">
        <f t="shared" si="275"/>
        <v>LIC1770</v>
      </c>
      <c r="E2725" s="125" t="str">
        <f t="shared" si="276"/>
        <v>LIC1775.3</v>
      </c>
      <c r="F2725" s="158" t="str">
        <f>+VLOOKUP(H2725,'code mapping'!A:C,3,0)</f>
        <v>LIC177</v>
      </c>
      <c r="G2725" s="127" t="s">
        <v>453</v>
      </c>
      <c r="H2725" s="127" t="s">
        <v>778</v>
      </c>
      <c r="I2725" s="127" t="s">
        <v>779</v>
      </c>
      <c r="J2725" s="128">
        <v>510000</v>
      </c>
      <c r="K2725" s="127" t="s">
        <v>546</v>
      </c>
      <c r="L2725" s="151">
        <v>511100</v>
      </c>
      <c r="M2725" s="128">
        <v>0</v>
      </c>
      <c r="N2725" s="127" t="s">
        <v>599</v>
      </c>
      <c r="O2725" s="127" t="s">
        <v>457</v>
      </c>
      <c r="P2725" s="128">
        <v>-1835336.13</v>
      </c>
      <c r="Q2725" s="128">
        <v>0</v>
      </c>
      <c r="R2725" s="128">
        <v>0</v>
      </c>
      <c r="S2725" s="128">
        <v>0</v>
      </c>
      <c r="T2725" s="128">
        <v>-1835336.13</v>
      </c>
      <c r="U2725" s="128">
        <v>0</v>
      </c>
      <c r="V2725" s="128">
        <v>-1835336.13</v>
      </c>
      <c r="W2725" s="128">
        <v>0</v>
      </c>
      <c r="X2725" s="128">
        <v>0</v>
      </c>
      <c r="Y2725" s="128">
        <v>0</v>
      </c>
      <c r="Z2725" s="128">
        <v>-1835336.13</v>
      </c>
      <c r="AA2725" s="128">
        <v>0</v>
      </c>
      <c r="AB2725" s="126">
        <f t="shared" si="277"/>
        <v>0.18353361299999998</v>
      </c>
      <c r="AC2725" s="122" t="s">
        <v>1838</v>
      </c>
      <c r="AD2725" s="123">
        <f t="shared" si="279"/>
        <v>-1.41247042</v>
      </c>
    </row>
    <row r="2726" spans="1:30" ht="12.75" hidden="1" customHeight="1">
      <c r="A2726" s="125" t="str">
        <f t="shared" si="274"/>
        <v>LIC177SEBI Fees</v>
      </c>
      <c r="B2726" s="125">
        <f>+IFERROR(VLOOKUP(L2726,'TB mapping'!A:D,4,0),0)</f>
        <v>0</v>
      </c>
      <c r="C2726" s="125">
        <f>+IFERROR(VLOOKUP(L2726,'TB mapping'!A:C,3,0),0)</f>
        <v>6.3</v>
      </c>
      <c r="D2726" s="125" t="str">
        <f t="shared" si="275"/>
        <v>LIC1770</v>
      </c>
      <c r="E2726" s="125" t="str">
        <f t="shared" si="276"/>
        <v>LIC1776.3</v>
      </c>
      <c r="F2726" s="158" t="str">
        <f>+VLOOKUP(H2726,'code mapping'!A:C,3,0)</f>
        <v>LIC177</v>
      </c>
      <c r="G2726" s="127" t="s">
        <v>453</v>
      </c>
      <c r="H2726" s="127" t="s">
        <v>778</v>
      </c>
      <c r="I2726" s="127" t="s">
        <v>779</v>
      </c>
      <c r="J2726" s="128">
        <v>550000</v>
      </c>
      <c r="K2726" s="127" t="s">
        <v>550</v>
      </c>
      <c r="L2726" s="151">
        <v>553007</v>
      </c>
      <c r="M2726" s="128">
        <v>0</v>
      </c>
      <c r="N2726" s="127" t="s">
        <v>551</v>
      </c>
      <c r="O2726" s="127" t="s">
        <v>457</v>
      </c>
      <c r="P2726" s="128">
        <v>-29882.99</v>
      </c>
      <c r="Q2726" s="128">
        <v>0</v>
      </c>
      <c r="R2726" s="128">
        <v>0</v>
      </c>
      <c r="S2726" s="128">
        <v>0</v>
      </c>
      <c r="T2726" s="128">
        <v>-29882.99</v>
      </c>
      <c r="U2726" s="128">
        <v>0</v>
      </c>
      <c r="V2726" s="128">
        <v>-29882.99</v>
      </c>
      <c r="W2726" s="128">
        <v>0</v>
      </c>
      <c r="X2726" s="128">
        <v>0</v>
      </c>
      <c r="Y2726" s="128">
        <v>0</v>
      </c>
      <c r="Z2726" s="128">
        <v>-29882.99</v>
      </c>
      <c r="AA2726" s="128">
        <v>0</v>
      </c>
      <c r="AB2726" s="126">
        <f t="shared" si="277"/>
        <v>2.9882990000000003E-3</v>
      </c>
      <c r="AC2726" s="122" t="s">
        <v>1838</v>
      </c>
      <c r="AD2726" s="123">
        <f t="shared" si="279"/>
        <v>0.74968921300000002</v>
      </c>
    </row>
    <row r="2727" spans="1:30" ht="12.75" hidden="1" customHeight="1">
      <c r="A2727" s="125" t="str">
        <f t="shared" si="274"/>
        <v>LIC177Audit Fee</v>
      </c>
      <c r="B2727" s="125">
        <f>+IFERROR(VLOOKUP(L2727,'TB mapping'!A:D,4,0),0)</f>
        <v>0</v>
      </c>
      <c r="C2727" s="125">
        <f>+IFERROR(VLOOKUP(L2727,'TB mapping'!A:C,3,0),0)</f>
        <v>6.3</v>
      </c>
      <c r="D2727" s="125" t="str">
        <f t="shared" si="275"/>
        <v>LIC1770</v>
      </c>
      <c r="E2727" s="125" t="str">
        <f t="shared" si="276"/>
        <v>LIC1776.3</v>
      </c>
      <c r="F2727" s="158" t="str">
        <f>+VLOOKUP(H2727,'code mapping'!A:C,3,0)</f>
        <v>LIC177</v>
      </c>
      <c r="G2727" s="127" t="s">
        <v>453</v>
      </c>
      <c r="H2727" s="127" t="s">
        <v>778</v>
      </c>
      <c r="I2727" s="127" t="s">
        <v>779</v>
      </c>
      <c r="J2727" s="128">
        <v>550000</v>
      </c>
      <c r="K2727" s="127" t="s">
        <v>550</v>
      </c>
      <c r="L2727" s="151">
        <v>553105</v>
      </c>
      <c r="M2727" s="128">
        <v>0</v>
      </c>
      <c r="N2727" s="127" t="s">
        <v>552</v>
      </c>
      <c r="O2727" s="127" t="s">
        <v>457</v>
      </c>
      <c r="P2727" s="128">
        <v>0</v>
      </c>
      <c r="Q2727" s="128">
        <v>1287.1500000000001</v>
      </c>
      <c r="R2727" s="128">
        <v>0</v>
      </c>
      <c r="S2727" s="128">
        <v>0</v>
      </c>
      <c r="T2727" s="128">
        <v>0</v>
      </c>
      <c r="U2727" s="128">
        <v>1287.1500000000001</v>
      </c>
      <c r="V2727" s="128">
        <v>0</v>
      </c>
      <c r="W2727" s="128">
        <v>1287.1500000000001</v>
      </c>
      <c r="X2727" s="128">
        <v>0</v>
      </c>
      <c r="Y2727" s="128">
        <v>0</v>
      </c>
      <c r="Z2727" s="128">
        <v>0</v>
      </c>
      <c r="AA2727" s="128">
        <v>1287.1500000000001</v>
      </c>
      <c r="AB2727" s="126">
        <f t="shared" si="277"/>
        <v>-1.28715E-4</v>
      </c>
      <c r="AC2727" s="122" t="s">
        <v>1838</v>
      </c>
      <c r="AD2727" s="123">
        <f t="shared" si="279"/>
        <v>0.74968921300000002</v>
      </c>
    </row>
    <row r="2728" spans="1:30" ht="12.75" hidden="1" customHeight="1">
      <c r="A2728" s="125" t="str">
        <f t="shared" si="274"/>
        <v>LIC177Custody Fee</v>
      </c>
      <c r="B2728" s="125">
        <f>+IFERROR(VLOOKUP(L2728,'TB mapping'!A:D,4,0),0)</f>
        <v>0</v>
      </c>
      <c r="C2728" s="125">
        <f>+IFERROR(VLOOKUP(L2728,'TB mapping'!A:C,3,0),0)</f>
        <v>6.3</v>
      </c>
      <c r="D2728" s="125" t="str">
        <f t="shared" si="275"/>
        <v>LIC1770</v>
      </c>
      <c r="E2728" s="125" t="str">
        <f t="shared" si="276"/>
        <v>LIC1776.3</v>
      </c>
      <c r="F2728" s="158" t="str">
        <f>+VLOOKUP(H2728,'code mapping'!A:C,3,0)</f>
        <v>LIC177</v>
      </c>
      <c r="G2728" s="127" t="s">
        <v>453</v>
      </c>
      <c r="H2728" s="127" t="s">
        <v>778</v>
      </c>
      <c r="I2728" s="127" t="s">
        <v>779</v>
      </c>
      <c r="J2728" s="128">
        <v>550000</v>
      </c>
      <c r="K2728" s="127" t="s">
        <v>550</v>
      </c>
      <c r="L2728" s="151">
        <v>553107</v>
      </c>
      <c r="M2728" s="128">
        <v>0</v>
      </c>
      <c r="N2728" s="127" t="s">
        <v>553</v>
      </c>
      <c r="O2728" s="127" t="s">
        <v>457</v>
      </c>
      <c r="P2728" s="128">
        <v>-366674.6</v>
      </c>
      <c r="Q2728" s="128">
        <v>0</v>
      </c>
      <c r="R2728" s="128">
        <v>0</v>
      </c>
      <c r="S2728" s="128">
        <v>0</v>
      </c>
      <c r="T2728" s="128">
        <v>-366674.6</v>
      </c>
      <c r="U2728" s="128">
        <v>0</v>
      </c>
      <c r="V2728" s="128">
        <v>-366674.6</v>
      </c>
      <c r="W2728" s="128">
        <v>0</v>
      </c>
      <c r="X2728" s="128">
        <v>0</v>
      </c>
      <c r="Y2728" s="128">
        <v>0</v>
      </c>
      <c r="Z2728" s="128">
        <v>-366674.6</v>
      </c>
      <c r="AA2728" s="128">
        <v>0</v>
      </c>
      <c r="AB2728" s="126">
        <f t="shared" si="277"/>
        <v>3.6667459999999999E-2</v>
      </c>
      <c r="AC2728" s="122" t="s">
        <v>1838</v>
      </c>
      <c r="AD2728" s="123">
        <f t="shared" si="279"/>
        <v>0.74968921300000002</v>
      </c>
    </row>
    <row r="2729" spans="1:30" ht="12.75" hidden="1" customHeight="1">
      <c r="A2729" s="125" t="str">
        <f t="shared" si="274"/>
        <v>LIC177Expense Allocation Account</v>
      </c>
      <c r="B2729" s="125">
        <f>+IFERROR(VLOOKUP(L2729,'TB mapping'!A:D,4,0),0)</f>
        <v>0</v>
      </c>
      <c r="C2729" s="125">
        <f>+IFERROR(VLOOKUP(L2729,'TB mapping'!A:C,3,0),0)</f>
        <v>6.3</v>
      </c>
      <c r="D2729" s="125" t="str">
        <f t="shared" si="275"/>
        <v>LIC1770</v>
      </c>
      <c r="E2729" s="125" t="str">
        <f t="shared" si="276"/>
        <v>LIC1776.3</v>
      </c>
      <c r="F2729" s="158" t="str">
        <f>+VLOOKUP(H2729,'code mapping'!A:C,3,0)</f>
        <v>LIC177</v>
      </c>
      <c r="G2729" s="127" t="s">
        <v>453</v>
      </c>
      <c r="H2729" s="127" t="s">
        <v>778</v>
      </c>
      <c r="I2729" s="127" t="s">
        <v>779</v>
      </c>
      <c r="J2729" s="128">
        <v>550000</v>
      </c>
      <c r="K2729" s="127" t="s">
        <v>550</v>
      </c>
      <c r="L2729" s="151">
        <v>553111</v>
      </c>
      <c r="M2729" s="128">
        <v>0</v>
      </c>
      <c r="N2729" s="127" t="s">
        <v>554</v>
      </c>
      <c r="O2729" s="127" t="s">
        <v>457</v>
      </c>
      <c r="P2729" s="128">
        <v>0</v>
      </c>
      <c r="Q2729" s="128">
        <v>908772.26</v>
      </c>
      <c r="R2729" s="128">
        <v>0</v>
      </c>
      <c r="S2729" s="128">
        <v>0</v>
      </c>
      <c r="T2729" s="128">
        <v>0</v>
      </c>
      <c r="U2729" s="128">
        <v>908772.26</v>
      </c>
      <c r="V2729" s="128">
        <v>0</v>
      </c>
      <c r="W2729" s="128">
        <v>908772.26</v>
      </c>
      <c r="X2729" s="128">
        <v>0</v>
      </c>
      <c r="Y2729" s="128">
        <v>0</v>
      </c>
      <c r="Z2729" s="128">
        <v>0</v>
      </c>
      <c r="AA2729" s="128">
        <v>908772.26</v>
      </c>
      <c r="AB2729" s="126">
        <f t="shared" si="277"/>
        <v>-9.0877226000000005E-2</v>
      </c>
      <c r="AC2729" s="122" t="s">
        <v>1838</v>
      </c>
      <c r="AD2729" s="123">
        <f t="shared" si="279"/>
        <v>0.74968921300000002</v>
      </c>
    </row>
    <row r="2730" spans="1:30" ht="12.75" hidden="1" customHeight="1">
      <c r="A2730" s="125" t="str">
        <f t="shared" si="274"/>
        <v>LIC177Trustee Fee</v>
      </c>
      <c r="B2730" s="125">
        <f>+IFERROR(VLOOKUP(L2730,'TB mapping'!A:D,4,0),0)</f>
        <v>6.2</v>
      </c>
      <c r="C2730" s="125">
        <f>+IFERROR(VLOOKUP(L2730,'TB mapping'!A:C,3,0),0)</f>
        <v>6.3</v>
      </c>
      <c r="D2730" s="125" t="str">
        <f t="shared" si="275"/>
        <v>LIC1776.2</v>
      </c>
      <c r="E2730" s="125" t="str">
        <f t="shared" si="276"/>
        <v>LIC1776.3</v>
      </c>
      <c r="F2730" s="158" t="str">
        <f>+VLOOKUP(H2730,'code mapping'!A:C,3,0)</f>
        <v>LIC177</v>
      </c>
      <c r="G2730" s="127" t="s">
        <v>453</v>
      </c>
      <c r="H2730" s="127" t="s">
        <v>778</v>
      </c>
      <c r="I2730" s="127" t="s">
        <v>779</v>
      </c>
      <c r="J2730" s="128">
        <v>550000</v>
      </c>
      <c r="K2730" s="127" t="s">
        <v>550</v>
      </c>
      <c r="L2730" s="151">
        <v>553131</v>
      </c>
      <c r="M2730" s="128">
        <v>0</v>
      </c>
      <c r="N2730" s="127" t="s">
        <v>555</v>
      </c>
      <c r="O2730" s="127" t="s">
        <v>457</v>
      </c>
      <c r="P2730" s="128">
        <v>-27096.34</v>
      </c>
      <c r="Q2730" s="128">
        <v>0</v>
      </c>
      <c r="R2730" s="128">
        <v>0</v>
      </c>
      <c r="S2730" s="128">
        <v>0</v>
      </c>
      <c r="T2730" s="128">
        <v>-27096.34</v>
      </c>
      <c r="U2730" s="128">
        <v>0</v>
      </c>
      <c r="V2730" s="128">
        <v>-27096.34</v>
      </c>
      <c r="W2730" s="128">
        <v>0</v>
      </c>
      <c r="X2730" s="128">
        <v>0</v>
      </c>
      <c r="Y2730" s="128">
        <v>0</v>
      </c>
      <c r="Z2730" s="128">
        <v>-27096.34</v>
      </c>
      <c r="AA2730" s="128">
        <v>0</v>
      </c>
      <c r="AB2730" s="126">
        <f t="shared" si="277"/>
        <v>2.7096339999999998E-3</v>
      </c>
      <c r="AC2730" s="122" t="s">
        <v>1838</v>
      </c>
      <c r="AD2730" s="123">
        <f t="shared" si="279"/>
        <v>0.74968921300000002</v>
      </c>
    </row>
    <row r="2731" spans="1:30" ht="12.75" hidden="1" customHeight="1">
      <c r="A2731" s="125" t="str">
        <f t="shared" si="274"/>
        <v>LIC177Listing Expenses</v>
      </c>
      <c r="B2731" s="125">
        <f>+IFERROR(VLOOKUP(L2731,'TB mapping'!A:D,4,0),0)</f>
        <v>0</v>
      </c>
      <c r="C2731" s="125">
        <f>+IFERROR(VLOOKUP(L2731,'TB mapping'!A:C,3,0),0)</f>
        <v>6.3</v>
      </c>
      <c r="D2731" s="125" t="str">
        <f t="shared" si="275"/>
        <v>LIC1770</v>
      </c>
      <c r="E2731" s="125" t="str">
        <f t="shared" si="276"/>
        <v>LIC1776.3</v>
      </c>
      <c r="F2731" s="158" t="str">
        <f>+VLOOKUP(H2731,'code mapping'!A:C,3,0)</f>
        <v>LIC177</v>
      </c>
      <c r="G2731" s="127" t="s">
        <v>453</v>
      </c>
      <c r="H2731" s="127" t="s">
        <v>778</v>
      </c>
      <c r="I2731" s="127" t="s">
        <v>779</v>
      </c>
      <c r="J2731" s="128">
        <v>550000</v>
      </c>
      <c r="K2731" s="127" t="s">
        <v>550</v>
      </c>
      <c r="L2731" s="151">
        <v>553135</v>
      </c>
      <c r="M2731" s="128">
        <v>0</v>
      </c>
      <c r="N2731" s="127" t="s">
        <v>780</v>
      </c>
      <c r="O2731" s="127" t="s">
        <v>457</v>
      </c>
      <c r="P2731" s="128">
        <v>-38640</v>
      </c>
      <c r="Q2731" s="128">
        <v>0</v>
      </c>
      <c r="R2731" s="128">
        <v>0</v>
      </c>
      <c r="S2731" s="128">
        <v>0</v>
      </c>
      <c r="T2731" s="128">
        <v>-38640</v>
      </c>
      <c r="U2731" s="128">
        <v>0</v>
      </c>
      <c r="V2731" s="128">
        <v>-38640</v>
      </c>
      <c r="W2731" s="128">
        <v>0</v>
      </c>
      <c r="X2731" s="128">
        <v>0</v>
      </c>
      <c r="Y2731" s="128">
        <v>0</v>
      </c>
      <c r="Z2731" s="128">
        <v>-38640</v>
      </c>
      <c r="AA2731" s="128">
        <v>0</v>
      </c>
      <c r="AB2731" s="126">
        <f t="shared" si="277"/>
        <v>3.8639999999999998E-3</v>
      </c>
      <c r="AC2731" s="122" t="s">
        <v>1838</v>
      </c>
      <c r="AD2731" s="123">
        <f t="shared" si="279"/>
        <v>0.74968921300000002</v>
      </c>
    </row>
    <row r="2732" spans="1:30" ht="12.75" hidden="1" customHeight="1">
      <c r="A2732" s="125" t="str">
        <f t="shared" si="274"/>
        <v>LIC177Bank Charges</v>
      </c>
      <c r="B2732" s="125">
        <f>+IFERROR(VLOOKUP(L2732,'TB mapping'!A:D,4,0),0)</f>
        <v>0</v>
      </c>
      <c r="C2732" s="125">
        <f>+IFERROR(VLOOKUP(L2732,'TB mapping'!A:C,3,0),0)</f>
        <v>6.3</v>
      </c>
      <c r="D2732" s="125" t="str">
        <f t="shared" si="275"/>
        <v>LIC1770</v>
      </c>
      <c r="E2732" s="125" t="str">
        <f t="shared" si="276"/>
        <v>LIC1776.3</v>
      </c>
      <c r="F2732" s="158" t="str">
        <f>+VLOOKUP(H2732,'code mapping'!A:C,3,0)</f>
        <v>LIC177</v>
      </c>
      <c r="G2732" s="127" t="s">
        <v>453</v>
      </c>
      <c r="H2732" s="127" t="s">
        <v>778</v>
      </c>
      <c r="I2732" s="127" t="s">
        <v>779</v>
      </c>
      <c r="J2732" s="128">
        <v>550000</v>
      </c>
      <c r="K2732" s="127" t="s">
        <v>550</v>
      </c>
      <c r="L2732" s="151">
        <v>553141</v>
      </c>
      <c r="M2732" s="128">
        <v>0</v>
      </c>
      <c r="N2732" s="127" t="s">
        <v>556</v>
      </c>
      <c r="O2732" s="127" t="s">
        <v>457</v>
      </c>
      <c r="P2732" s="128">
        <v>-1987.3300000000004</v>
      </c>
      <c r="Q2732" s="128">
        <v>0</v>
      </c>
      <c r="R2732" s="128">
        <v>0</v>
      </c>
      <c r="S2732" s="128">
        <v>0</v>
      </c>
      <c r="T2732" s="128">
        <v>-1987.3300000000004</v>
      </c>
      <c r="U2732" s="128">
        <v>0</v>
      </c>
      <c r="V2732" s="128">
        <v>-1987.3300000000004</v>
      </c>
      <c r="W2732" s="128">
        <v>0</v>
      </c>
      <c r="X2732" s="128">
        <v>0</v>
      </c>
      <c r="Y2732" s="128">
        <v>0</v>
      </c>
      <c r="Z2732" s="128">
        <v>-1987.3300000000004</v>
      </c>
      <c r="AA2732" s="128">
        <v>0</v>
      </c>
      <c r="AB2732" s="126">
        <f t="shared" si="277"/>
        <v>1.9873300000000004E-4</v>
      </c>
      <c r="AC2732" s="122" t="s">
        <v>1838</v>
      </c>
      <c r="AD2732" s="123">
        <f t="shared" si="279"/>
        <v>0.74968921300000002</v>
      </c>
    </row>
    <row r="2733" spans="1:30" ht="12.75" hidden="1" customHeight="1">
      <c r="A2733" s="125" t="str">
        <f t="shared" si="274"/>
        <v>LIC177Investor Education Fund Exps</v>
      </c>
      <c r="B2733" s="125">
        <f>+IFERROR(VLOOKUP(L2733,'TB mapping'!A:D,4,0),0)</f>
        <v>0</v>
      </c>
      <c r="C2733" s="125">
        <f>+IFERROR(VLOOKUP(L2733,'TB mapping'!A:C,3,0),0)</f>
        <v>6.3</v>
      </c>
      <c r="D2733" s="125" t="str">
        <f t="shared" si="275"/>
        <v>LIC1770</v>
      </c>
      <c r="E2733" s="125" t="str">
        <f t="shared" si="276"/>
        <v>LIC1776.3</v>
      </c>
      <c r="F2733" s="158" t="str">
        <f>+VLOOKUP(H2733,'code mapping'!A:C,3,0)</f>
        <v>LIC177</v>
      </c>
      <c r="G2733" s="127" t="s">
        <v>453</v>
      </c>
      <c r="H2733" s="127" t="s">
        <v>778</v>
      </c>
      <c r="I2733" s="127" t="s">
        <v>779</v>
      </c>
      <c r="J2733" s="128">
        <v>550000</v>
      </c>
      <c r="K2733" s="127" t="s">
        <v>550</v>
      </c>
      <c r="L2733" s="151">
        <v>553171</v>
      </c>
      <c r="M2733" s="128">
        <v>0</v>
      </c>
      <c r="N2733" s="127" t="s">
        <v>557</v>
      </c>
      <c r="O2733" s="127" t="s">
        <v>457</v>
      </c>
      <c r="P2733" s="128">
        <v>-281088.28000000003</v>
      </c>
      <c r="Q2733" s="128">
        <v>0</v>
      </c>
      <c r="R2733" s="128">
        <v>0</v>
      </c>
      <c r="S2733" s="128">
        <v>0</v>
      </c>
      <c r="T2733" s="128">
        <v>-281088.28000000003</v>
      </c>
      <c r="U2733" s="128">
        <v>0</v>
      </c>
      <c r="V2733" s="128">
        <v>-281088.28000000003</v>
      </c>
      <c r="W2733" s="128">
        <v>0</v>
      </c>
      <c r="X2733" s="128">
        <v>0</v>
      </c>
      <c r="Y2733" s="128">
        <v>0</v>
      </c>
      <c r="Z2733" s="128">
        <v>-281088.28000000003</v>
      </c>
      <c r="AA2733" s="128">
        <v>0</v>
      </c>
      <c r="AB2733" s="126">
        <f t="shared" si="277"/>
        <v>2.8108828000000002E-2</v>
      </c>
      <c r="AC2733" s="122" t="s">
        <v>1838</v>
      </c>
      <c r="AD2733" s="123">
        <f t="shared" si="279"/>
        <v>0.74968921300000002</v>
      </c>
    </row>
    <row r="2734" spans="1:30" ht="12.75" hidden="1" customHeight="1">
      <c r="A2734" s="125" t="str">
        <f t="shared" si="274"/>
        <v>LIC177CCIL Expenses</v>
      </c>
      <c r="B2734" s="125">
        <f>+IFERROR(VLOOKUP(L2734,'TB mapping'!A:D,4,0),0)</f>
        <v>0</v>
      </c>
      <c r="C2734" s="125">
        <f>+IFERROR(VLOOKUP(L2734,'TB mapping'!A:C,3,0),0)</f>
        <v>6.3</v>
      </c>
      <c r="D2734" s="125" t="str">
        <f t="shared" si="275"/>
        <v>LIC1770</v>
      </c>
      <c r="E2734" s="125" t="str">
        <f t="shared" si="276"/>
        <v>LIC1776.3</v>
      </c>
      <c r="F2734" s="158" t="str">
        <f>+VLOOKUP(H2734,'code mapping'!A:C,3,0)</f>
        <v>LIC177</v>
      </c>
      <c r="G2734" s="127" t="s">
        <v>453</v>
      </c>
      <c r="H2734" s="127" t="s">
        <v>778</v>
      </c>
      <c r="I2734" s="127" t="s">
        <v>779</v>
      </c>
      <c r="J2734" s="128">
        <v>550000</v>
      </c>
      <c r="K2734" s="127" t="s">
        <v>550</v>
      </c>
      <c r="L2734" s="151">
        <v>553176</v>
      </c>
      <c r="M2734" s="128">
        <v>0</v>
      </c>
      <c r="N2734" s="127" t="s">
        <v>559</v>
      </c>
      <c r="O2734" s="127" t="s">
        <v>457</v>
      </c>
      <c r="P2734" s="128">
        <v>-2228.62</v>
      </c>
      <c r="Q2734" s="128">
        <v>0</v>
      </c>
      <c r="R2734" s="128">
        <v>0</v>
      </c>
      <c r="S2734" s="128">
        <v>0</v>
      </c>
      <c r="T2734" s="128">
        <v>-2228.62</v>
      </c>
      <c r="U2734" s="128">
        <v>0</v>
      </c>
      <c r="V2734" s="128">
        <v>-2228.62</v>
      </c>
      <c r="W2734" s="128">
        <v>0</v>
      </c>
      <c r="X2734" s="128">
        <v>0</v>
      </c>
      <c r="Y2734" s="128">
        <v>0</v>
      </c>
      <c r="Z2734" s="128">
        <v>-2228.62</v>
      </c>
      <c r="AA2734" s="128">
        <v>0</v>
      </c>
      <c r="AB2734" s="126">
        <f t="shared" si="277"/>
        <v>2.2286199999999999E-4</v>
      </c>
      <c r="AC2734" s="122" t="s">
        <v>1838</v>
      </c>
      <c r="AD2734" s="123">
        <f t="shared" si="279"/>
        <v>0.74968921300000002</v>
      </c>
    </row>
    <row r="2735" spans="1:30" ht="12.75" hidden="1" customHeight="1">
      <c r="A2735" s="125" t="str">
        <f t="shared" si="274"/>
        <v>LIC177Out of Pocket Expenses - R&amp;T</v>
      </c>
      <c r="B2735" s="125">
        <f>+IFERROR(VLOOKUP(L2735,'TB mapping'!A:D,4,0),0)</f>
        <v>0</v>
      </c>
      <c r="C2735" s="125">
        <f>+IFERROR(VLOOKUP(L2735,'TB mapping'!A:C,3,0),0)</f>
        <v>6.3</v>
      </c>
      <c r="D2735" s="125" t="str">
        <f t="shared" si="275"/>
        <v>LIC1770</v>
      </c>
      <c r="E2735" s="125" t="str">
        <f t="shared" si="276"/>
        <v>LIC1776.3</v>
      </c>
      <c r="F2735" s="158" t="str">
        <f>+VLOOKUP(H2735,'code mapping'!A:C,3,0)</f>
        <v>LIC177</v>
      </c>
      <c r="G2735" s="127" t="s">
        <v>453</v>
      </c>
      <c r="H2735" s="127" t="s">
        <v>778</v>
      </c>
      <c r="I2735" s="127" t="s">
        <v>779</v>
      </c>
      <c r="J2735" s="128">
        <v>550000</v>
      </c>
      <c r="K2735" s="127" t="s">
        <v>550</v>
      </c>
      <c r="L2735" s="151">
        <v>553180</v>
      </c>
      <c r="M2735" s="128">
        <v>0</v>
      </c>
      <c r="N2735" s="127" t="s">
        <v>560</v>
      </c>
      <c r="O2735" s="127" t="s">
        <v>457</v>
      </c>
      <c r="P2735" s="128">
        <v>-2420.85</v>
      </c>
      <c r="Q2735" s="128">
        <v>0</v>
      </c>
      <c r="R2735" s="128">
        <v>0</v>
      </c>
      <c r="S2735" s="128">
        <v>0</v>
      </c>
      <c r="T2735" s="128">
        <v>-2420.85</v>
      </c>
      <c r="U2735" s="128">
        <v>0</v>
      </c>
      <c r="V2735" s="128">
        <v>-2420.85</v>
      </c>
      <c r="W2735" s="128">
        <v>0</v>
      </c>
      <c r="X2735" s="128">
        <v>0</v>
      </c>
      <c r="Y2735" s="128">
        <v>0</v>
      </c>
      <c r="Z2735" s="128">
        <v>-2420.85</v>
      </c>
      <c r="AA2735" s="128">
        <v>0</v>
      </c>
      <c r="AB2735" s="126">
        <f t="shared" si="277"/>
        <v>2.4208499999999998E-4</v>
      </c>
      <c r="AC2735" s="122" t="s">
        <v>1838</v>
      </c>
      <c r="AD2735" s="123">
        <f t="shared" si="279"/>
        <v>0.74968921300000002</v>
      </c>
    </row>
    <row r="2736" spans="1:30" ht="12.75" hidden="1" customHeight="1">
      <c r="A2736" s="125" t="str">
        <f t="shared" si="274"/>
        <v>LIC177Other Expenses</v>
      </c>
      <c r="B2736" s="125">
        <f>+IFERROR(VLOOKUP(L2736,'TB mapping'!A:D,4,0),0)</f>
        <v>0</v>
      </c>
      <c r="C2736" s="125">
        <f>+IFERROR(VLOOKUP(L2736,'TB mapping'!A:C,3,0),0)</f>
        <v>6.3</v>
      </c>
      <c r="D2736" s="125" t="str">
        <f t="shared" si="275"/>
        <v>LIC1770</v>
      </c>
      <c r="E2736" s="125" t="str">
        <f t="shared" si="276"/>
        <v>LIC1776.3</v>
      </c>
      <c r="F2736" s="158" t="str">
        <f>+VLOOKUP(H2736,'code mapping'!A:C,3,0)</f>
        <v>LIC177</v>
      </c>
      <c r="G2736" s="127" t="s">
        <v>453</v>
      </c>
      <c r="H2736" s="127" t="s">
        <v>778</v>
      </c>
      <c r="I2736" s="127" t="s">
        <v>779</v>
      </c>
      <c r="J2736" s="128">
        <v>550000</v>
      </c>
      <c r="K2736" s="127" t="s">
        <v>550</v>
      </c>
      <c r="L2736" s="151">
        <v>553190</v>
      </c>
      <c r="M2736" s="128">
        <v>0</v>
      </c>
      <c r="N2736" s="127" t="s">
        <v>561</v>
      </c>
      <c r="O2736" s="127" t="s">
        <v>457</v>
      </c>
      <c r="P2736" s="128">
        <v>0</v>
      </c>
      <c r="Q2736" s="128">
        <v>1218353.96</v>
      </c>
      <c r="R2736" s="128">
        <v>0</v>
      </c>
      <c r="S2736" s="128">
        <v>0</v>
      </c>
      <c r="T2736" s="128">
        <v>0</v>
      </c>
      <c r="U2736" s="128">
        <v>1218353.96</v>
      </c>
      <c r="V2736" s="128">
        <v>0</v>
      </c>
      <c r="W2736" s="128">
        <v>1218353.96</v>
      </c>
      <c r="X2736" s="128">
        <v>0</v>
      </c>
      <c r="Y2736" s="128">
        <v>0</v>
      </c>
      <c r="Z2736" s="128">
        <v>0</v>
      </c>
      <c r="AA2736" s="128">
        <v>1218353.96</v>
      </c>
      <c r="AB2736" s="126">
        <f t="shared" si="277"/>
        <v>-0.121835396</v>
      </c>
      <c r="AC2736" s="122" t="s">
        <v>1838</v>
      </c>
      <c r="AD2736" s="123">
        <f t="shared" si="279"/>
        <v>0.74968921300000002</v>
      </c>
    </row>
    <row r="2737" spans="1:30" ht="12.75" hidden="1" customHeight="1">
      <c r="A2737" s="125" t="str">
        <f t="shared" si="274"/>
        <v>LIC177Other Exp - Brok - Indirect</v>
      </c>
      <c r="B2737" s="125">
        <f>+IFERROR(VLOOKUP(L2737,'TB mapping'!A:D,4,0),0)</f>
        <v>0</v>
      </c>
      <c r="C2737" s="125">
        <f>+IFERROR(VLOOKUP(L2737,'TB mapping'!A:C,3,0),0)</f>
        <v>6.3</v>
      </c>
      <c r="D2737" s="125" t="str">
        <f t="shared" si="275"/>
        <v>LIC1770</v>
      </c>
      <c r="E2737" s="125" t="str">
        <f t="shared" si="276"/>
        <v>LIC1776.3</v>
      </c>
      <c r="F2737" s="158" t="str">
        <f>+VLOOKUP(H2737,'code mapping'!A:C,3,0)</f>
        <v>LIC177</v>
      </c>
      <c r="G2737" s="127" t="s">
        <v>453</v>
      </c>
      <c r="H2737" s="127" t="s">
        <v>778</v>
      </c>
      <c r="I2737" s="127" t="s">
        <v>779</v>
      </c>
      <c r="J2737" s="128">
        <v>550000</v>
      </c>
      <c r="K2737" s="127" t="s">
        <v>550</v>
      </c>
      <c r="L2737" s="151">
        <v>553202</v>
      </c>
      <c r="M2737" s="128">
        <v>0</v>
      </c>
      <c r="N2737" s="127" t="s">
        <v>564</v>
      </c>
      <c r="O2737" s="127" t="s">
        <v>457</v>
      </c>
      <c r="P2737" s="128">
        <v>-1424717.28</v>
      </c>
      <c r="Q2737" s="128">
        <v>0</v>
      </c>
      <c r="R2737" s="128">
        <v>0</v>
      </c>
      <c r="S2737" s="128">
        <v>0</v>
      </c>
      <c r="T2737" s="128">
        <v>-1424717.28</v>
      </c>
      <c r="U2737" s="128">
        <v>0</v>
      </c>
      <c r="V2737" s="128">
        <v>-1424717.28</v>
      </c>
      <c r="W2737" s="128">
        <v>0</v>
      </c>
      <c r="X2737" s="128">
        <v>0</v>
      </c>
      <c r="Y2737" s="128">
        <v>0</v>
      </c>
      <c r="Z2737" s="128">
        <v>-1424717.28</v>
      </c>
      <c r="AA2737" s="128">
        <v>0</v>
      </c>
      <c r="AB2737" s="126">
        <f t="shared" si="277"/>
        <v>0.14247172799999999</v>
      </c>
      <c r="AC2737" s="122" t="s">
        <v>1838</v>
      </c>
      <c r="AD2737" s="123">
        <f t="shared" si="279"/>
        <v>0.74968921300000002</v>
      </c>
    </row>
    <row r="2738" spans="1:30" ht="12.75" hidden="1" customHeight="1">
      <c r="A2738" s="125" t="str">
        <f t="shared" si="274"/>
        <v>LIC177Brokerage/Dist Exps</v>
      </c>
      <c r="B2738" s="125">
        <f>+IFERROR(VLOOKUP(L2738,'TB mapping'!A:D,4,0),0)</f>
        <v>0</v>
      </c>
      <c r="C2738" s="125">
        <f>+IFERROR(VLOOKUP(L2738,'TB mapping'!A:C,3,0),0)</f>
        <v>6.3</v>
      </c>
      <c r="D2738" s="125" t="str">
        <f t="shared" si="275"/>
        <v>LIC1770</v>
      </c>
      <c r="E2738" s="125" t="str">
        <f t="shared" si="276"/>
        <v>LIC1776.3</v>
      </c>
      <c r="F2738" s="158" t="str">
        <f>+VLOOKUP(H2738,'code mapping'!A:C,3,0)</f>
        <v>LIC177</v>
      </c>
      <c r="G2738" s="127" t="s">
        <v>453</v>
      </c>
      <c r="H2738" s="127" t="s">
        <v>778</v>
      </c>
      <c r="I2738" s="127" t="s">
        <v>779</v>
      </c>
      <c r="J2738" s="128">
        <v>550000</v>
      </c>
      <c r="K2738" s="127" t="s">
        <v>550</v>
      </c>
      <c r="L2738" s="151">
        <v>553208</v>
      </c>
      <c r="M2738" s="128">
        <v>0</v>
      </c>
      <c r="N2738" s="127" t="s">
        <v>565</v>
      </c>
      <c r="O2738" s="127" t="s">
        <v>457</v>
      </c>
      <c r="P2738" s="128">
        <v>0</v>
      </c>
      <c r="Q2738" s="128">
        <v>3689.52</v>
      </c>
      <c r="R2738" s="128">
        <v>0</v>
      </c>
      <c r="S2738" s="128">
        <v>0</v>
      </c>
      <c r="T2738" s="128">
        <v>0</v>
      </c>
      <c r="U2738" s="128">
        <v>3689.52</v>
      </c>
      <c r="V2738" s="128">
        <v>0</v>
      </c>
      <c r="W2738" s="128">
        <v>3689.52</v>
      </c>
      <c r="X2738" s="128">
        <v>0</v>
      </c>
      <c r="Y2738" s="128">
        <v>0</v>
      </c>
      <c r="Z2738" s="128">
        <v>0</v>
      </c>
      <c r="AA2738" s="128">
        <v>3689.52</v>
      </c>
      <c r="AB2738" s="126">
        <f t="shared" si="277"/>
        <v>-3.6895199999999997E-4</v>
      </c>
      <c r="AC2738" s="122" t="s">
        <v>1838</v>
      </c>
      <c r="AD2738" s="123">
        <f t="shared" si="279"/>
        <v>0.74968921300000002</v>
      </c>
    </row>
    <row r="2739" spans="1:30" ht="12.75" hidden="1" customHeight="1">
      <c r="A2739" s="125" t="str">
        <f t="shared" si="274"/>
        <v>LIC177Internal Audit Fee</v>
      </c>
      <c r="B2739" s="125">
        <f>+IFERROR(VLOOKUP(L2739,'TB mapping'!A:D,4,0),0)</f>
        <v>0</v>
      </c>
      <c r="C2739" s="125">
        <f>+IFERROR(VLOOKUP(L2739,'TB mapping'!A:C,3,0),0)</f>
        <v>6.3</v>
      </c>
      <c r="D2739" s="125" t="str">
        <f t="shared" si="275"/>
        <v>LIC1770</v>
      </c>
      <c r="E2739" s="125" t="str">
        <f t="shared" si="276"/>
        <v>LIC1776.3</v>
      </c>
      <c r="F2739" s="158" t="str">
        <f>+VLOOKUP(H2739,'code mapping'!A:C,3,0)</f>
        <v>LIC177</v>
      </c>
      <c r="G2739" s="127" t="s">
        <v>453</v>
      </c>
      <c r="H2739" s="127" t="s">
        <v>778</v>
      </c>
      <c r="I2739" s="127" t="s">
        <v>779</v>
      </c>
      <c r="J2739" s="128">
        <v>550000</v>
      </c>
      <c r="K2739" s="127" t="s">
        <v>550</v>
      </c>
      <c r="L2739" s="151">
        <v>553213</v>
      </c>
      <c r="M2739" s="128">
        <v>0</v>
      </c>
      <c r="N2739" s="127" t="s">
        <v>566</v>
      </c>
      <c r="O2739" s="127" t="s">
        <v>457</v>
      </c>
      <c r="P2739" s="128">
        <v>-16456.78</v>
      </c>
      <c r="Q2739" s="128">
        <v>0</v>
      </c>
      <c r="R2739" s="128">
        <v>0</v>
      </c>
      <c r="S2739" s="128">
        <v>0</v>
      </c>
      <c r="T2739" s="128">
        <v>-16456.78</v>
      </c>
      <c r="U2739" s="128">
        <v>0</v>
      </c>
      <c r="V2739" s="128">
        <v>-16456.78</v>
      </c>
      <c r="W2739" s="128">
        <v>0</v>
      </c>
      <c r="X2739" s="128">
        <v>0</v>
      </c>
      <c r="Y2739" s="128">
        <v>0</v>
      </c>
      <c r="Z2739" s="128">
        <v>-16456.78</v>
      </c>
      <c r="AA2739" s="128">
        <v>0</v>
      </c>
      <c r="AB2739" s="126">
        <f t="shared" si="277"/>
        <v>1.6456779999999998E-3</v>
      </c>
      <c r="AC2739" s="122" t="s">
        <v>1838</v>
      </c>
      <c r="AD2739" s="123">
        <f t="shared" si="279"/>
        <v>0.74968921300000002</v>
      </c>
    </row>
    <row r="2740" spans="1:30" ht="12.75" hidden="1" customHeight="1">
      <c r="A2740" s="125" t="str">
        <f t="shared" si="274"/>
        <v>LIC177Other Expenses - G</v>
      </c>
      <c r="B2740" s="125">
        <f>+IFERROR(VLOOKUP(L2740,'TB mapping'!A:D,4,0),0)</f>
        <v>0</v>
      </c>
      <c r="C2740" s="125">
        <f>+IFERROR(VLOOKUP(L2740,'TB mapping'!A:C,3,0),0)</f>
        <v>6.3</v>
      </c>
      <c r="D2740" s="125" t="str">
        <f t="shared" si="275"/>
        <v>LIC1770</v>
      </c>
      <c r="E2740" s="125" t="str">
        <f t="shared" si="276"/>
        <v>LIC1776.3</v>
      </c>
      <c r="F2740" s="158" t="str">
        <f>+VLOOKUP(H2740,'code mapping'!A:C,3,0)</f>
        <v>LIC177</v>
      </c>
      <c r="G2740" s="127" t="s">
        <v>453</v>
      </c>
      <c r="H2740" s="127" t="s">
        <v>778</v>
      </c>
      <c r="I2740" s="127" t="s">
        <v>779</v>
      </c>
      <c r="J2740" s="128">
        <v>550000</v>
      </c>
      <c r="K2740" s="127" t="s">
        <v>550</v>
      </c>
      <c r="L2740" s="151">
        <v>553273</v>
      </c>
      <c r="M2740" s="128">
        <v>0</v>
      </c>
      <c r="N2740" s="127" t="s">
        <v>621</v>
      </c>
      <c r="O2740" s="127" t="s">
        <v>457</v>
      </c>
      <c r="P2740" s="128">
        <v>-3038570.55</v>
      </c>
      <c r="Q2740" s="128">
        <v>0</v>
      </c>
      <c r="R2740" s="128">
        <v>0</v>
      </c>
      <c r="S2740" s="128">
        <v>0</v>
      </c>
      <c r="T2740" s="128">
        <v>-3038570.55</v>
      </c>
      <c r="U2740" s="128">
        <v>0</v>
      </c>
      <c r="V2740" s="128">
        <v>-3038570.55</v>
      </c>
      <c r="W2740" s="128">
        <v>0</v>
      </c>
      <c r="X2740" s="128">
        <v>0</v>
      </c>
      <c r="Y2740" s="128">
        <v>0</v>
      </c>
      <c r="Z2740" s="128">
        <v>-3038570.55</v>
      </c>
      <c r="AA2740" s="128">
        <v>0</v>
      </c>
      <c r="AB2740" s="126">
        <f t="shared" si="277"/>
        <v>0.30385705499999999</v>
      </c>
      <c r="AC2740" s="122" t="s">
        <v>1838</v>
      </c>
      <c r="AD2740" s="123">
        <f t="shared" si="279"/>
        <v>0.74968921300000002</v>
      </c>
    </row>
    <row r="2741" spans="1:30" ht="12.75" hidden="1" customHeight="1">
      <c r="A2741" s="125" t="str">
        <f t="shared" si="274"/>
        <v>LIC177Inv Educ Fund Expense - Amfi</v>
      </c>
      <c r="B2741" s="125">
        <f>+IFERROR(VLOOKUP(L2741,'TB mapping'!A:D,4,0),0)</f>
        <v>0</v>
      </c>
      <c r="C2741" s="125">
        <f>+IFERROR(VLOOKUP(L2741,'TB mapping'!A:C,3,0),0)</f>
        <v>6.3</v>
      </c>
      <c r="D2741" s="125" t="str">
        <f t="shared" si="275"/>
        <v>LIC1770</v>
      </c>
      <c r="E2741" s="125" t="str">
        <f t="shared" si="276"/>
        <v>LIC1776.3</v>
      </c>
      <c r="F2741" s="158" t="str">
        <f>+VLOOKUP(H2741,'code mapping'!A:C,3,0)</f>
        <v>LIC177</v>
      </c>
      <c r="G2741" s="127" t="s">
        <v>453</v>
      </c>
      <c r="H2741" s="127" t="s">
        <v>778</v>
      </c>
      <c r="I2741" s="127" t="s">
        <v>779</v>
      </c>
      <c r="J2741" s="128">
        <v>550000</v>
      </c>
      <c r="K2741" s="127" t="s">
        <v>550</v>
      </c>
      <c r="L2741" s="151">
        <v>554526</v>
      </c>
      <c r="M2741" s="128">
        <v>0</v>
      </c>
      <c r="N2741" s="127" t="s">
        <v>569</v>
      </c>
      <c r="O2741" s="127" t="s">
        <v>457</v>
      </c>
      <c r="P2741" s="128">
        <v>-281088.28000000003</v>
      </c>
      <c r="Q2741" s="128">
        <v>0</v>
      </c>
      <c r="R2741" s="128">
        <v>0</v>
      </c>
      <c r="S2741" s="128">
        <v>0</v>
      </c>
      <c r="T2741" s="128">
        <v>-281088.28000000003</v>
      </c>
      <c r="U2741" s="128">
        <v>0</v>
      </c>
      <c r="V2741" s="128">
        <v>-281088.28000000003</v>
      </c>
      <c r="W2741" s="128">
        <v>0</v>
      </c>
      <c r="X2741" s="128">
        <v>0</v>
      </c>
      <c r="Y2741" s="128">
        <v>0</v>
      </c>
      <c r="Z2741" s="128">
        <v>-281088.28000000003</v>
      </c>
      <c r="AA2741" s="128">
        <v>0</v>
      </c>
      <c r="AB2741" s="126">
        <f t="shared" si="277"/>
        <v>2.8108828000000002E-2</v>
      </c>
      <c r="AC2741" s="122" t="s">
        <v>1838</v>
      </c>
      <c r="AD2741" s="123">
        <f t="shared" si="279"/>
        <v>0.74968921300000002</v>
      </c>
    </row>
    <row r="2742" spans="1:30" ht="12.75" hidden="1" customHeight="1">
      <c r="A2742" s="125" t="str">
        <f t="shared" si="274"/>
        <v>LIC177Client Servicing Expenes</v>
      </c>
      <c r="B2742" s="125">
        <f>+IFERROR(VLOOKUP(L2742,'TB mapping'!A:D,4,0),0)</f>
        <v>0</v>
      </c>
      <c r="C2742" s="125">
        <f>+IFERROR(VLOOKUP(L2742,'TB mapping'!A:C,3,0),0)</f>
        <v>6.3</v>
      </c>
      <c r="D2742" s="125" t="str">
        <f t="shared" si="275"/>
        <v>LIC1770</v>
      </c>
      <c r="E2742" s="125" t="str">
        <f t="shared" si="276"/>
        <v>LIC1776.3</v>
      </c>
      <c r="F2742" s="158" t="str">
        <f>+VLOOKUP(H2742,'code mapping'!A:C,3,0)</f>
        <v>LIC177</v>
      </c>
      <c r="G2742" s="127" t="s">
        <v>453</v>
      </c>
      <c r="H2742" s="127" t="s">
        <v>778</v>
      </c>
      <c r="I2742" s="127" t="s">
        <v>779</v>
      </c>
      <c r="J2742" s="128">
        <v>550000</v>
      </c>
      <c r="K2742" s="127" t="s">
        <v>550</v>
      </c>
      <c r="L2742" s="151">
        <v>555157</v>
      </c>
      <c r="M2742" s="128">
        <v>0</v>
      </c>
      <c r="N2742" s="127" t="s">
        <v>571</v>
      </c>
      <c r="O2742" s="127" t="s">
        <v>457</v>
      </c>
      <c r="P2742" s="128">
        <v>-9849.02</v>
      </c>
      <c r="Q2742" s="128">
        <v>0</v>
      </c>
      <c r="R2742" s="128">
        <v>0</v>
      </c>
      <c r="S2742" s="128">
        <v>0</v>
      </c>
      <c r="T2742" s="128">
        <v>-9849.02</v>
      </c>
      <c r="U2742" s="128">
        <v>0</v>
      </c>
      <c r="V2742" s="128">
        <v>-9849.02</v>
      </c>
      <c r="W2742" s="128">
        <v>0</v>
      </c>
      <c r="X2742" s="128">
        <v>0</v>
      </c>
      <c r="Y2742" s="128">
        <v>0</v>
      </c>
      <c r="Z2742" s="128">
        <v>-9849.02</v>
      </c>
      <c r="AA2742" s="128">
        <v>0</v>
      </c>
      <c r="AB2742" s="126">
        <f t="shared" si="277"/>
        <v>9.8490199999999996E-4</v>
      </c>
      <c r="AC2742" s="122" t="s">
        <v>1838</v>
      </c>
      <c r="AD2742" s="123">
        <f t="shared" si="279"/>
        <v>0.74968921300000002</v>
      </c>
    </row>
    <row r="2743" spans="1:30" ht="12.75" hidden="1" customHeight="1">
      <c r="A2743" s="125" t="str">
        <f t="shared" si="274"/>
        <v>LIC177Management Fee-Reclassfication</v>
      </c>
      <c r="B2743" s="125">
        <f>+IFERROR(VLOOKUP(L2743,'TB mapping'!A:D,4,0),0)</f>
        <v>6.1</v>
      </c>
      <c r="C2743" s="125">
        <f>+IFERROR(VLOOKUP(L2743,'TB mapping'!A:C,3,0),0)</f>
        <v>6.3</v>
      </c>
      <c r="D2743" s="125" t="str">
        <f t="shared" si="275"/>
        <v>LIC1776.1</v>
      </c>
      <c r="E2743" s="125" t="str">
        <f t="shared" si="276"/>
        <v>LIC1776.3</v>
      </c>
      <c r="F2743" s="158" t="str">
        <f>+VLOOKUP(H2743,'code mapping'!A:C,3,0)</f>
        <v>LIC177</v>
      </c>
      <c r="G2743" s="127" t="s">
        <v>453</v>
      </c>
      <c r="H2743" s="127" t="s">
        <v>778</v>
      </c>
      <c r="I2743" s="127" t="s">
        <v>779</v>
      </c>
      <c r="J2743" s="128">
        <v>550000</v>
      </c>
      <c r="K2743" s="127" t="s">
        <v>550</v>
      </c>
      <c r="L2743" s="151">
        <v>555274</v>
      </c>
      <c r="M2743" s="128">
        <v>0</v>
      </c>
      <c r="N2743" s="127" t="s">
        <v>583</v>
      </c>
      <c r="O2743" s="127" t="s">
        <v>457</v>
      </c>
      <c r="P2743" s="128">
        <v>-3203390.06</v>
      </c>
      <c r="Q2743" s="128">
        <v>0</v>
      </c>
      <c r="R2743" s="128">
        <v>0</v>
      </c>
      <c r="S2743" s="128">
        <v>0</v>
      </c>
      <c r="T2743" s="128">
        <v>-3203390.06</v>
      </c>
      <c r="U2743" s="128">
        <v>0</v>
      </c>
      <c r="V2743" s="128">
        <v>-3203390.06</v>
      </c>
      <c r="W2743" s="128">
        <v>0</v>
      </c>
      <c r="X2743" s="128">
        <v>0</v>
      </c>
      <c r="Y2743" s="128">
        <v>0</v>
      </c>
      <c r="Z2743" s="128">
        <v>-3203390.06</v>
      </c>
      <c r="AA2743" s="128">
        <v>0</v>
      </c>
      <c r="AB2743" s="126">
        <f t="shared" si="277"/>
        <v>0.32033900599999998</v>
      </c>
      <c r="AC2743" s="122" t="s">
        <v>1838</v>
      </c>
      <c r="AD2743" s="123">
        <f t="shared" si="279"/>
        <v>0.74968921300000002</v>
      </c>
    </row>
    <row r="2744" spans="1:30" ht="12.75" hidden="1" customHeight="1">
      <c r="A2744" s="125" t="str">
        <f t="shared" si="274"/>
        <v>LIC177Brokerage_Indirect_Reclassify</v>
      </c>
      <c r="B2744" s="125">
        <f>+IFERROR(VLOOKUP(L2744,'TB mapping'!A:D,4,0),0)</f>
        <v>0</v>
      </c>
      <c r="C2744" s="125">
        <f>+IFERROR(VLOOKUP(L2744,'TB mapping'!A:C,3,0),0)</f>
        <v>6.3</v>
      </c>
      <c r="D2744" s="125" t="str">
        <f t="shared" si="275"/>
        <v>LIC1770</v>
      </c>
      <c r="E2744" s="125" t="str">
        <f t="shared" si="276"/>
        <v>LIC1776.3</v>
      </c>
      <c r="F2744" s="158" t="str">
        <f>+VLOOKUP(H2744,'code mapping'!A:C,3,0)</f>
        <v>LIC177</v>
      </c>
      <c r="G2744" s="127" t="s">
        <v>453</v>
      </c>
      <c r="H2744" s="127" t="s">
        <v>778</v>
      </c>
      <c r="I2744" s="127" t="s">
        <v>779</v>
      </c>
      <c r="J2744" s="128">
        <v>550000</v>
      </c>
      <c r="K2744" s="127" t="s">
        <v>550</v>
      </c>
      <c r="L2744" s="151">
        <v>555275</v>
      </c>
      <c r="M2744" s="128">
        <v>0</v>
      </c>
      <c r="N2744" s="127" t="s">
        <v>600</v>
      </c>
      <c r="O2744" s="127" t="s">
        <v>457</v>
      </c>
      <c r="P2744" s="128">
        <v>0</v>
      </c>
      <c r="Q2744" s="128">
        <v>800000</v>
      </c>
      <c r="R2744" s="128">
        <v>0</v>
      </c>
      <c r="S2744" s="128">
        <v>0</v>
      </c>
      <c r="T2744" s="128">
        <v>0</v>
      </c>
      <c r="U2744" s="128">
        <v>800000</v>
      </c>
      <c r="V2744" s="128">
        <v>0</v>
      </c>
      <c r="W2744" s="128">
        <v>800000</v>
      </c>
      <c r="X2744" s="128">
        <v>0</v>
      </c>
      <c r="Y2744" s="128">
        <v>0</v>
      </c>
      <c r="Z2744" s="128">
        <v>0</v>
      </c>
      <c r="AA2744" s="128">
        <v>800000</v>
      </c>
      <c r="AB2744" s="126">
        <f t="shared" si="277"/>
        <v>-0.08</v>
      </c>
      <c r="AC2744" s="122" t="s">
        <v>1838</v>
      </c>
      <c r="AD2744" s="123">
        <f t="shared" si="279"/>
        <v>0.74968921300000002</v>
      </c>
    </row>
    <row r="2745" spans="1:30" ht="12.75" hidden="1" customHeight="1">
      <c r="A2745" s="125" t="str">
        <f t="shared" ref="A2745:A2808" si="280">+F2745&amp;N2745</f>
        <v>LIC177CGST on Reclassify of Exp</v>
      </c>
      <c r="B2745" s="125">
        <f>+IFERROR(VLOOKUP(L2745,'TB mapping'!A:D,4,0),0)</f>
        <v>0</v>
      </c>
      <c r="C2745" s="125">
        <f>+IFERROR(VLOOKUP(L2745,'TB mapping'!A:C,3,0),0)</f>
        <v>6.3</v>
      </c>
      <c r="D2745" s="125" t="str">
        <f t="shared" ref="D2745:D2808" si="281">+F2745&amp;B2745</f>
        <v>LIC1770</v>
      </c>
      <c r="E2745" s="125" t="str">
        <f t="shared" ref="E2745:E2808" si="282">+F2745&amp;C2745</f>
        <v>LIC1776.3</v>
      </c>
      <c r="F2745" s="158" t="str">
        <f>+VLOOKUP(H2745,'code mapping'!A:C,3,0)</f>
        <v>LIC177</v>
      </c>
      <c r="G2745" s="127" t="s">
        <v>453</v>
      </c>
      <c r="H2745" s="127" t="s">
        <v>778</v>
      </c>
      <c r="I2745" s="127" t="s">
        <v>779</v>
      </c>
      <c r="J2745" s="128">
        <v>550000</v>
      </c>
      <c r="K2745" s="127" t="s">
        <v>550</v>
      </c>
      <c r="L2745" s="151">
        <v>555276</v>
      </c>
      <c r="M2745" s="128">
        <v>0</v>
      </c>
      <c r="N2745" s="127" t="s">
        <v>572</v>
      </c>
      <c r="O2745" s="127" t="s">
        <v>457</v>
      </c>
      <c r="P2745" s="128">
        <v>-106779.67</v>
      </c>
      <c r="Q2745" s="128">
        <v>0</v>
      </c>
      <c r="R2745" s="128">
        <v>0</v>
      </c>
      <c r="S2745" s="128">
        <v>0</v>
      </c>
      <c r="T2745" s="128">
        <v>-106779.67</v>
      </c>
      <c r="U2745" s="128">
        <v>0</v>
      </c>
      <c r="V2745" s="128">
        <v>-106779.67</v>
      </c>
      <c r="W2745" s="128">
        <v>0</v>
      </c>
      <c r="X2745" s="128">
        <v>0</v>
      </c>
      <c r="Y2745" s="128">
        <v>0</v>
      </c>
      <c r="Z2745" s="128">
        <v>-106779.67</v>
      </c>
      <c r="AA2745" s="128">
        <v>0</v>
      </c>
      <c r="AB2745" s="126">
        <f t="shared" ref="AB2745:AB2808" si="283">SUM(-Z2745-AA2745)/10^7</f>
        <v>1.0677967E-2</v>
      </c>
      <c r="AC2745" s="122" t="s">
        <v>1838</v>
      </c>
      <c r="AD2745" s="123">
        <f t="shared" si="279"/>
        <v>0.74968921300000002</v>
      </c>
    </row>
    <row r="2746" spans="1:30" ht="12.75" hidden="1" customHeight="1">
      <c r="A2746" s="125" t="str">
        <f t="shared" si="280"/>
        <v>LIC177SGST on Reclassify of Exp</v>
      </c>
      <c r="B2746" s="125">
        <f>+IFERROR(VLOOKUP(L2746,'TB mapping'!A:D,4,0),0)</f>
        <v>0</v>
      </c>
      <c r="C2746" s="125">
        <f>+IFERROR(VLOOKUP(L2746,'TB mapping'!A:C,3,0),0)</f>
        <v>6.3</v>
      </c>
      <c r="D2746" s="125" t="str">
        <f t="shared" si="281"/>
        <v>LIC1770</v>
      </c>
      <c r="E2746" s="125" t="str">
        <f t="shared" si="282"/>
        <v>LIC1776.3</v>
      </c>
      <c r="F2746" s="158" t="str">
        <f>+VLOOKUP(H2746,'code mapping'!A:C,3,0)</f>
        <v>LIC177</v>
      </c>
      <c r="G2746" s="127" t="s">
        <v>453</v>
      </c>
      <c r="H2746" s="127" t="s">
        <v>778</v>
      </c>
      <c r="I2746" s="127" t="s">
        <v>779</v>
      </c>
      <c r="J2746" s="128">
        <v>550000</v>
      </c>
      <c r="K2746" s="127" t="s">
        <v>550</v>
      </c>
      <c r="L2746" s="151">
        <v>555277</v>
      </c>
      <c r="M2746" s="128">
        <v>0</v>
      </c>
      <c r="N2746" s="127" t="s">
        <v>573</v>
      </c>
      <c r="O2746" s="127" t="s">
        <v>457</v>
      </c>
      <c r="P2746" s="128">
        <v>-106779.67</v>
      </c>
      <c r="Q2746" s="128">
        <v>0</v>
      </c>
      <c r="R2746" s="128">
        <v>0</v>
      </c>
      <c r="S2746" s="128">
        <v>0</v>
      </c>
      <c r="T2746" s="128">
        <v>-106779.67</v>
      </c>
      <c r="U2746" s="128">
        <v>0</v>
      </c>
      <c r="V2746" s="128">
        <v>-106779.67</v>
      </c>
      <c r="W2746" s="128">
        <v>0</v>
      </c>
      <c r="X2746" s="128">
        <v>0</v>
      </c>
      <c r="Y2746" s="128">
        <v>0</v>
      </c>
      <c r="Z2746" s="128">
        <v>-106779.67</v>
      </c>
      <c r="AA2746" s="128">
        <v>0</v>
      </c>
      <c r="AB2746" s="126">
        <f t="shared" si="283"/>
        <v>1.0677967E-2</v>
      </c>
      <c r="AC2746" s="122" t="s">
        <v>1838</v>
      </c>
      <c r="AD2746" s="123">
        <f t="shared" si="279"/>
        <v>0.74968921300000002</v>
      </c>
    </row>
    <row r="2747" spans="1:30" ht="12.75" hidden="1" customHeight="1">
      <c r="A2747" s="125" t="str">
        <f t="shared" si="280"/>
        <v>LIC177Other Expense-Reclassfication</v>
      </c>
      <c r="B2747" s="125">
        <f>+IFERROR(VLOOKUP(L2747,'TB mapping'!A:D,4,0),0)</f>
        <v>0</v>
      </c>
      <c r="C2747" s="125">
        <f>+IFERROR(VLOOKUP(L2747,'TB mapping'!A:C,3,0),0)</f>
        <v>0</v>
      </c>
      <c r="D2747" s="125" t="str">
        <f t="shared" si="281"/>
        <v>LIC1770</v>
      </c>
      <c r="E2747" s="125" t="str">
        <f t="shared" si="282"/>
        <v>LIC1770</v>
      </c>
      <c r="F2747" s="158" t="str">
        <f>+VLOOKUP(H2747,'code mapping'!A:C,3,0)</f>
        <v>LIC177</v>
      </c>
      <c r="G2747" s="127" t="s">
        <v>453</v>
      </c>
      <c r="H2747" s="127" t="s">
        <v>778</v>
      </c>
      <c r="I2747" s="127" t="s">
        <v>779</v>
      </c>
      <c r="J2747" s="128">
        <v>550000</v>
      </c>
      <c r="K2747" s="127" t="s">
        <v>550</v>
      </c>
      <c r="L2747" s="151">
        <v>555280</v>
      </c>
      <c r="M2747" s="128">
        <v>0</v>
      </c>
      <c r="N2747" s="127" t="s">
        <v>1590</v>
      </c>
      <c r="O2747" s="127" t="s">
        <v>457</v>
      </c>
      <c r="P2747" s="128">
        <v>0</v>
      </c>
      <c r="Q2747" s="128">
        <v>300000.01</v>
      </c>
      <c r="R2747" s="128">
        <v>0</v>
      </c>
      <c r="S2747" s="128">
        <v>0</v>
      </c>
      <c r="T2747" s="128">
        <v>0</v>
      </c>
      <c r="U2747" s="128">
        <v>300000.01</v>
      </c>
      <c r="V2747" s="128">
        <v>0</v>
      </c>
      <c r="W2747" s="128">
        <v>300000.01</v>
      </c>
      <c r="X2747" s="128">
        <v>0</v>
      </c>
      <c r="Y2747" s="128">
        <v>0</v>
      </c>
      <c r="Z2747" s="128">
        <v>0</v>
      </c>
      <c r="AA2747" s="128">
        <v>300000.01</v>
      </c>
      <c r="AB2747" s="126">
        <f t="shared" si="283"/>
        <v>-3.0000001000000002E-2</v>
      </c>
      <c r="AC2747" s="122" t="s">
        <v>1838</v>
      </c>
      <c r="AD2747" s="123">
        <f>SUMIF(C:C,C2747,AB:AB)</f>
        <v>1983.9723217250009</v>
      </c>
    </row>
    <row r="2748" spans="1:30" ht="12.75" hidden="1" customHeight="1">
      <c r="A2748" s="125" t="str">
        <f t="shared" si="280"/>
        <v>LIC177CGST on Mfees</v>
      </c>
      <c r="B2748" s="125">
        <f>+IFERROR(VLOOKUP(L2748,'TB mapping'!A:D,4,0),0)</f>
        <v>6.1</v>
      </c>
      <c r="C2748" s="125">
        <f>+IFERROR(VLOOKUP(L2748,'TB mapping'!A:C,3,0),0)</f>
        <v>6.3</v>
      </c>
      <c r="D2748" s="125" t="str">
        <f t="shared" si="281"/>
        <v>LIC1776.1</v>
      </c>
      <c r="E2748" s="125" t="str">
        <f t="shared" si="282"/>
        <v>LIC1776.3</v>
      </c>
      <c r="F2748" s="158" t="str">
        <f>+VLOOKUP(H2748,'code mapping'!A:C,3,0)</f>
        <v>LIC177</v>
      </c>
      <c r="G2748" s="127" t="s">
        <v>453</v>
      </c>
      <c r="H2748" s="127" t="s">
        <v>778</v>
      </c>
      <c r="I2748" s="127" t="s">
        <v>779</v>
      </c>
      <c r="J2748" s="128">
        <v>550000</v>
      </c>
      <c r="K2748" s="127" t="s">
        <v>550</v>
      </c>
      <c r="L2748" s="151">
        <v>555597</v>
      </c>
      <c r="M2748" s="128">
        <v>0</v>
      </c>
      <c r="N2748" s="127" t="s">
        <v>574</v>
      </c>
      <c r="O2748" s="127" t="s">
        <v>457</v>
      </c>
      <c r="P2748" s="128">
        <v>-267680.64000000001</v>
      </c>
      <c r="Q2748" s="128">
        <v>0</v>
      </c>
      <c r="R2748" s="128">
        <v>0</v>
      </c>
      <c r="S2748" s="128">
        <v>0</v>
      </c>
      <c r="T2748" s="128">
        <v>-267680.64000000001</v>
      </c>
      <c r="U2748" s="128">
        <v>0</v>
      </c>
      <c r="V2748" s="128">
        <v>-267680.64000000001</v>
      </c>
      <c r="W2748" s="128">
        <v>0</v>
      </c>
      <c r="X2748" s="128">
        <v>0</v>
      </c>
      <c r="Y2748" s="128">
        <v>0</v>
      </c>
      <c r="Z2748" s="128">
        <v>-267680.64000000001</v>
      </c>
      <c r="AA2748" s="128">
        <v>0</v>
      </c>
      <c r="AB2748" s="126">
        <f t="shared" si="283"/>
        <v>2.6768064000000001E-2</v>
      </c>
      <c r="AC2748" s="122" t="s">
        <v>1838</v>
      </c>
      <c r="AD2748" s="123">
        <f t="shared" ref="AD2748:AD2754" si="284">SUMIF(E:E,E2748,AB:AB)</f>
        <v>0.74968921300000002</v>
      </c>
    </row>
    <row r="2749" spans="1:30" ht="12.75" hidden="1" customHeight="1">
      <c r="A2749" s="125" t="str">
        <f t="shared" si="280"/>
        <v>LIC177SGST on Mfees</v>
      </c>
      <c r="B2749" s="125">
        <f>+IFERROR(VLOOKUP(L2749,'TB mapping'!A:D,4,0),0)</f>
        <v>6.1</v>
      </c>
      <c r="C2749" s="125">
        <f>+IFERROR(VLOOKUP(L2749,'TB mapping'!A:C,3,0),0)</f>
        <v>6.3</v>
      </c>
      <c r="D2749" s="125" t="str">
        <f t="shared" si="281"/>
        <v>LIC1776.1</v>
      </c>
      <c r="E2749" s="125" t="str">
        <f t="shared" si="282"/>
        <v>LIC1776.3</v>
      </c>
      <c r="F2749" s="158" t="str">
        <f>+VLOOKUP(H2749,'code mapping'!A:C,3,0)</f>
        <v>LIC177</v>
      </c>
      <c r="G2749" s="127" t="s">
        <v>453</v>
      </c>
      <c r="H2749" s="127" t="s">
        <v>778</v>
      </c>
      <c r="I2749" s="127" t="s">
        <v>779</v>
      </c>
      <c r="J2749" s="128">
        <v>550000</v>
      </c>
      <c r="K2749" s="127" t="s">
        <v>550</v>
      </c>
      <c r="L2749" s="151">
        <v>555598</v>
      </c>
      <c r="M2749" s="128">
        <v>0</v>
      </c>
      <c r="N2749" s="127" t="s">
        <v>575</v>
      </c>
      <c r="O2749" s="127" t="s">
        <v>457</v>
      </c>
      <c r="P2749" s="128">
        <v>-267680.64000000001</v>
      </c>
      <c r="Q2749" s="128">
        <v>0</v>
      </c>
      <c r="R2749" s="128">
        <v>0</v>
      </c>
      <c r="S2749" s="128">
        <v>0</v>
      </c>
      <c r="T2749" s="128">
        <v>-267680.64000000001</v>
      </c>
      <c r="U2749" s="128">
        <v>0</v>
      </c>
      <c r="V2749" s="128">
        <v>-267680.64000000001</v>
      </c>
      <c r="W2749" s="128">
        <v>0</v>
      </c>
      <c r="X2749" s="128">
        <v>0</v>
      </c>
      <c r="Y2749" s="128">
        <v>0</v>
      </c>
      <c r="Z2749" s="128">
        <v>-267680.64000000001</v>
      </c>
      <c r="AA2749" s="128">
        <v>0</v>
      </c>
      <c r="AB2749" s="126">
        <f t="shared" si="283"/>
        <v>2.6768064000000001E-2</v>
      </c>
      <c r="AC2749" s="122" t="s">
        <v>1838</v>
      </c>
      <c r="AD2749" s="123">
        <f t="shared" si="284"/>
        <v>0.74968921300000002</v>
      </c>
    </row>
    <row r="2750" spans="1:30" ht="12.75" hidden="1" customHeight="1">
      <c r="A2750" s="125" t="str">
        <f t="shared" si="280"/>
        <v>LIC177CGST on Mfees -G</v>
      </c>
      <c r="B2750" s="125">
        <f>+IFERROR(VLOOKUP(L2750,'TB mapping'!A:D,4,0),0)</f>
        <v>6.1</v>
      </c>
      <c r="C2750" s="125">
        <f>+IFERROR(VLOOKUP(L2750,'TB mapping'!A:C,3,0),0)</f>
        <v>6.3</v>
      </c>
      <c r="D2750" s="125" t="str">
        <f t="shared" si="281"/>
        <v>LIC1776.1</v>
      </c>
      <c r="E2750" s="125" t="str">
        <f t="shared" si="282"/>
        <v>LIC1776.3</v>
      </c>
      <c r="F2750" s="158" t="str">
        <f>+VLOOKUP(H2750,'code mapping'!A:C,3,0)</f>
        <v>LIC177</v>
      </c>
      <c r="G2750" s="127" t="s">
        <v>453</v>
      </c>
      <c r="H2750" s="127" t="s">
        <v>778</v>
      </c>
      <c r="I2750" s="127" t="s">
        <v>779</v>
      </c>
      <c r="J2750" s="128">
        <v>550000</v>
      </c>
      <c r="K2750" s="127" t="s">
        <v>550</v>
      </c>
      <c r="L2750" s="151">
        <v>555619</v>
      </c>
      <c r="M2750" s="128">
        <v>0</v>
      </c>
      <c r="N2750" s="127" t="s">
        <v>781</v>
      </c>
      <c r="O2750" s="127" t="s">
        <v>457</v>
      </c>
      <c r="P2750" s="128">
        <v>0</v>
      </c>
      <c r="Q2750" s="128">
        <v>121.92</v>
      </c>
      <c r="R2750" s="128">
        <v>0</v>
      </c>
      <c r="S2750" s="128">
        <v>0</v>
      </c>
      <c r="T2750" s="128">
        <v>0</v>
      </c>
      <c r="U2750" s="128">
        <v>121.92</v>
      </c>
      <c r="V2750" s="128">
        <v>0</v>
      </c>
      <c r="W2750" s="128">
        <v>121.92</v>
      </c>
      <c r="X2750" s="128">
        <v>0</v>
      </c>
      <c r="Y2750" s="128">
        <v>0</v>
      </c>
      <c r="Z2750" s="128">
        <v>0</v>
      </c>
      <c r="AA2750" s="128">
        <v>121.92</v>
      </c>
      <c r="AB2750" s="126">
        <f t="shared" si="283"/>
        <v>-1.2191999999999999E-5</v>
      </c>
      <c r="AC2750" s="122" t="s">
        <v>1838</v>
      </c>
      <c r="AD2750" s="123">
        <f t="shared" si="284"/>
        <v>0.74968921300000002</v>
      </c>
    </row>
    <row r="2751" spans="1:30" ht="12.75" hidden="1" customHeight="1">
      <c r="A2751" s="125" t="str">
        <f t="shared" si="280"/>
        <v>LIC177SGST on Mfees -G</v>
      </c>
      <c r="B2751" s="125">
        <f>+IFERROR(VLOOKUP(L2751,'TB mapping'!A:D,4,0),0)</f>
        <v>6.1</v>
      </c>
      <c r="C2751" s="125">
        <f>+IFERROR(VLOOKUP(L2751,'TB mapping'!A:C,3,0),0)</f>
        <v>6.3</v>
      </c>
      <c r="D2751" s="125" t="str">
        <f t="shared" si="281"/>
        <v>LIC1776.1</v>
      </c>
      <c r="E2751" s="125" t="str">
        <f t="shared" si="282"/>
        <v>LIC1776.3</v>
      </c>
      <c r="F2751" s="158" t="str">
        <f>+VLOOKUP(H2751,'code mapping'!A:C,3,0)</f>
        <v>LIC177</v>
      </c>
      <c r="G2751" s="127" t="s">
        <v>453</v>
      </c>
      <c r="H2751" s="127" t="s">
        <v>778</v>
      </c>
      <c r="I2751" s="127" t="s">
        <v>779</v>
      </c>
      <c r="J2751" s="128">
        <v>550000</v>
      </c>
      <c r="K2751" s="127" t="s">
        <v>550</v>
      </c>
      <c r="L2751" s="151">
        <v>555620</v>
      </c>
      <c r="M2751" s="128">
        <v>0</v>
      </c>
      <c r="N2751" s="127" t="s">
        <v>782</v>
      </c>
      <c r="O2751" s="127" t="s">
        <v>457</v>
      </c>
      <c r="P2751" s="128">
        <v>0</v>
      </c>
      <c r="Q2751" s="128">
        <v>121.92</v>
      </c>
      <c r="R2751" s="128">
        <v>0</v>
      </c>
      <c r="S2751" s="128">
        <v>0</v>
      </c>
      <c r="T2751" s="128">
        <v>0</v>
      </c>
      <c r="U2751" s="128">
        <v>121.92</v>
      </c>
      <c r="V2751" s="128">
        <v>0</v>
      </c>
      <c r="W2751" s="128">
        <v>121.92</v>
      </c>
      <c r="X2751" s="128">
        <v>0</v>
      </c>
      <c r="Y2751" s="128">
        <v>0</v>
      </c>
      <c r="Z2751" s="128">
        <v>0</v>
      </c>
      <c r="AA2751" s="128">
        <v>121.92</v>
      </c>
      <c r="AB2751" s="126">
        <f t="shared" si="283"/>
        <v>-1.2191999999999999E-5</v>
      </c>
      <c r="AC2751" s="122" t="s">
        <v>1838</v>
      </c>
      <c r="AD2751" s="123">
        <f t="shared" si="284"/>
        <v>0.74968921300000002</v>
      </c>
    </row>
    <row r="2752" spans="1:30" ht="12.75" hidden="1" customHeight="1">
      <c r="A2752" s="125" t="str">
        <f t="shared" si="280"/>
        <v>LIC177Operating Expenses</v>
      </c>
      <c r="B2752" s="125">
        <f>+IFERROR(VLOOKUP(L2752,'TB mapping'!A:D,4,0),0)</f>
        <v>0</v>
      </c>
      <c r="C2752" s="125">
        <f>+IFERROR(VLOOKUP(L2752,'TB mapping'!A:C,3,0),0)</f>
        <v>6.3</v>
      </c>
      <c r="D2752" s="125" t="str">
        <f t="shared" si="281"/>
        <v>LIC1770</v>
      </c>
      <c r="E2752" s="125" t="str">
        <f t="shared" si="282"/>
        <v>LIC1776.3</v>
      </c>
      <c r="F2752" s="158" t="str">
        <f>+VLOOKUP(H2752,'code mapping'!A:C,3,0)</f>
        <v>LIC177</v>
      </c>
      <c r="G2752" s="127" t="s">
        <v>453</v>
      </c>
      <c r="H2752" s="127" t="s">
        <v>778</v>
      </c>
      <c r="I2752" s="127" t="s">
        <v>779</v>
      </c>
      <c r="J2752" s="128">
        <v>550000</v>
      </c>
      <c r="K2752" s="127" t="s">
        <v>550</v>
      </c>
      <c r="L2752" s="151">
        <v>556421</v>
      </c>
      <c r="M2752" s="128">
        <v>0</v>
      </c>
      <c r="N2752" s="127" t="s">
        <v>578</v>
      </c>
      <c r="O2752" s="127" t="s">
        <v>457</v>
      </c>
      <c r="P2752" s="128">
        <v>-311.28000000000003</v>
      </c>
      <c r="Q2752" s="128">
        <v>0</v>
      </c>
      <c r="R2752" s="128">
        <v>0</v>
      </c>
      <c r="S2752" s="128">
        <v>0</v>
      </c>
      <c r="T2752" s="128">
        <v>-311.28000000000003</v>
      </c>
      <c r="U2752" s="128">
        <v>0</v>
      </c>
      <c r="V2752" s="128">
        <v>-311.28000000000003</v>
      </c>
      <c r="W2752" s="128">
        <v>0</v>
      </c>
      <c r="X2752" s="128">
        <v>0</v>
      </c>
      <c r="Y2752" s="128">
        <v>0</v>
      </c>
      <c r="Z2752" s="128">
        <v>-311.28000000000003</v>
      </c>
      <c r="AA2752" s="128">
        <v>0</v>
      </c>
      <c r="AB2752" s="126">
        <f t="shared" si="283"/>
        <v>3.1128000000000004E-5</v>
      </c>
      <c r="AC2752" s="122" t="s">
        <v>1838</v>
      </c>
      <c r="AD2752" s="123">
        <f t="shared" si="284"/>
        <v>0.74968921300000002</v>
      </c>
    </row>
    <row r="2753" spans="1:30" ht="12.75" hidden="1" customHeight="1">
      <c r="A2753" s="125" t="str">
        <f t="shared" si="280"/>
        <v>LIC177Management Fee</v>
      </c>
      <c r="B2753" s="125">
        <f>+IFERROR(VLOOKUP(L2753,'TB mapping'!A:D,4,0),0)</f>
        <v>6.1</v>
      </c>
      <c r="C2753" s="125">
        <f>+IFERROR(VLOOKUP(L2753,'TB mapping'!A:C,3,0),0)</f>
        <v>6.3</v>
      </c>
      <c r="D2753" s="125" t="str">
        <f t="shared" si="281"/>
        <v>LIC1776.1</v>
      </c>
      <c r="E2753" s="125" t="str">
        <f t="shared" si="282"/>
        <v>LIC1776.3</v>
      </c>
      <c r="F2753" s="158" t="str">
        <f>+VLOOKUP(H2753,'code mapping'!A:C,3,0)</f>
        <v>LIC177</v>
      </c>
      <c r="G2753" s="127" t="s">
        <v>453</v>
      </c>
      <c r="H2753" s="127" t="s">
        <v>778</v>
      </c>
      <c r="I2753" s="127" t="s">
        <v>779</v>
      </c>
      <c r="J2753" s="128">
        <v>555100</v>
      </c>
      <c r="K2753" s="127" t="s">
        <v>579</v>
      </c>
      <c r="L2753" s="151">
        <v>555100</v>
      </c>
      <c r="M2753" s="128">
        <v>0</v>
      </c>
      <c r="N2753" s="127" t="s">
        <v>580</v>
      </c>
      <c r="O2753" s="127" t="s">
        <v>457</v>
      </c>
      <c r="P2753" s="128">
        <v>0</v>
      </c>
      <c r="Q2753" s="128">
        <v>0.79</v>
      </c>
      <c r="R2753" s="128">
        <v>0</v>
      </c>
      <c r="S2753" s="128">
        <v>0</v>
      </c>
      <c r="T2753" s="128">
        <v>0</v>
      </c>
      <c r="U2753" s="128">
        <v>0.79</v>
      </c>
      <c r="V2753" s="128">
        <v>0</v>
      </c>
      <c r="W2753" s="128">
        <v>0.79</v>
      </c>
      <c r="X2753" s="128">
        <v>0</v>
      </c>
      <c r="Y2753" s="128">
        <v>0</v>
      </c>
      <c r="Z2753" s="128">
        <v>0</v>
      </c>
      <c r="AA2753" s="128">
        <v>0.79</v>
      </c>
      <c r="AB2753" s="126">
        <f t="shared" si="283"/>
        <v>-7.9000000000000006E-8</v>
      </c>
      <c r="AC2753" s="122" t="s">
        <v>1838</v>
      </c>
      <c r="AD2753" s="123">
        <f t="shared" si="284"/>
        <v>0.74968921300000002</v>
      </c>
    </row>
    <row r="2754" spans="1:30" ht="12.75" hidden="1" customHeight="1">
      <c r="A2754" s="125" t="str">
        <f t="shared" si="280"/>
        <v>LIC177Management Fees-G</v>
      </c>
      <c r="B2754" s="125">
        <f>+IFERROR(VLOOKUP(L2754,'TB mapping'!A:D,4,0),0)</f>
        <v>6.1</v>
      </c>
      <c r="C2754" s="125">
        <f>+IFERROR(VLOOKUP(L2754,'TB mapping'!A:C,3,0),0)</f>
        <v>6.3</v>
      </c>
      <c r="D2754" s="125" t="str">
        <f t="shared" si="281"/>
        <v>LIC1776.1</v>
      </c>
      <c r="E2754" s="125" t="str">
        <f t="shared" si="282"/>
        <v>LIC1776.3</v>
      </c>
      <c r="F2754" s="158" t="str">
        <f>+VLOOKUP(H2754,'code mapping'!A:C,3,0)</f>
        <v>LIC177</v>
      </c>
      <c r="G2754" s="127" t="s">
        <v>453</v>
      </c>
      <c r="H2754" s="127" t="s">
        <v>778</v>
      </c>
      <c r="I2754" s="127" t="s">
        <v>779</v>
      </c>
      <c r="J2754" s="128">
        <v>555100</v>
      </c>
      <c r="K2754" s="127" t="s">
        <v>579</v>
      </c>
      <c r="L2754" s="151">
        <v>555190</v>
      </c>
      <c r="M2754" s="128">
        <v>0</v>
      </c>
      <c r="N2754" s="127" t="s">
        <v>622</v>
      </c>
      <c r="O2754" s="127" t="s">
        <v>457</v>
      </c>
      <c r="P2754" s="128">
        <v>-955916.77</v>
      </c>
      <c r="Q2754" s="128">
        <v>0</v>
      </c>
      <c r="R2754" s="128">
        <v>0</v>
      </c>
      <c r="S2754" s="128">
        <v>0</v>
      </c>
      <c r="T2754" s="128">
        <v>-955916.77</v>
      </c>
      <c r="U2754" s="128">
        <v>0</v>
      </c>
      <c r="V2754" s="128">
        <v>-955916.77</v>
      </c>
      <c r="W2754" s="128">
        <v>0</v>
      </c>
      <c r="X2754" s="128">
        <v>0</v>
      </c>
      <c r="Y2754" s="128">
        <v>0</v>
      </c>
      <c r="Z2754" s="128">
        <v>-955916.77</v>
      </c>
      <c r="AA2754" s="128">
        <v>0</v>
      </c>
      <c r="AB2754" s="126">
        <f t="shared" si="283"/>
        <v>9.5591677E-2</v>
      </c>
      <c r="AC2754" s="122" t="s">
        <v>1838</v>
      </c>
      <c r="AD2754" s="123">
        <f t="shared" si="284"/>
        <v>0.74968921300000002</v>
      </c>
    </row>
    <row r="2755" spans="1:30" ht="12.75" hidden="1" customHeight="1">
      <c r="A2755" s="125" t="str">
        <f t="shared" si="280"/>
        <v>LIC28Investment - Equities</v>
      </c>
      <c r="B2755" s="125">
        <f>+IFERROR(VLOOKUP(L2755,'TB mapping'!A:D,4,0),0)</f>
        <v>0</v>
      </c>
      <c r="C2755" s="125">
        <f>+IFERROR(VLOOKUP(L2755,'TB mapping'!A:C,3,0),0)</f>
        <v>0</v>
      </c>
      <c r="D2755" s="125" t="str">
        <f t="shared" si="281"/>
        <v>LIC280</v>
      </c>
      <c r="E2755" s="125" t="str">
        <f t="shared" si="282"/>
        <v>LIC280</v>
      </c>
      <c r="F2755" s="158" t="str">
        <f>+VLOOKUP(H2755,'code mapping'!A:C,3,0)</f>
        <v>LIC28</v>
      </c>
      <c r="G2755" s="127" t="s">
        <v>453</v>
      </c>
      <c r="H2755" s="127" t="s">
        <v>783</v>
      </c>
      <c r="I2755" s="127" t="s">
        <v>55</v>
      </c>
      <c r="J2755" s="128">
        <v>101000</v>
      </c>
      <c r="K2755" s="127" t="s">
        <v>591</v>
      </c>
      <c r="L2755" s="151">
        <v>101100</v>
      </c>
      <c r="M2755" s="128">
        <v>0</v>
      </c>
      <c r="N2755" s="127" t="s">
        <v>592</v>
      </c>
      <c r="O2755" s="127" t="s">
        <v>457</v>
      </c>
      <c r="P2755" s="128">
        <v>-1293782560.98</v>
      </c>
      <c r="Q2755" s="128">
        <v>0</v>
      </c>
      <c r="R2755" s="128">
        <v>0</v>
      </c>
      <c r="S2755" s="128">
        <v>0</v>
      </c>
      <c r="T2755" s="128">
        <v>-1293782560.98</v>
      </c>
      <c r="U2755" s="128">
        <v>0</v>
      </c>
      <c r="V2755" s="128">
        <v>-1293782560.98</v>
      </c>
      <c r="W2755" s="128">
        <v>0</v>
      </c>
      <c r="X2755" s="128">
        <v>0</v>
      </c>
      <c r="Y2755" s="128">
        <v>0</v>
      </c>
      <c r="Z2755" s="128">
        <v>-1293782560.98</v>
      </c>
      <c r="AA2755" s="128">
        <v>0</v>
      </c>
      <c r="AB2755" s="126">
        <f t="shared" si="283"/>
        <v>129.37825609800001</v>
      </c>
      <c r="AC2755" s="122" t="s">
        <v>1838</v>
      </c>
      <c r="AD2755" s="123">
        <f t="shared" ref="AD2755:AD2798" si="285">SUMIF(C:C,C2755,AB:AB)</f>
        <v>1983.9723217250009</v>
      </c>
    </row>
    <row r="2756" spans="1:30" ht="12.75" hidden="1" customHeight="1">
      <c r="A2756" s="125" t="str">
        <f t="shared" si="280"/>
        <v>LIC28Investment Mutual Fund</v>
      </c>
      <c r="B2756" s="125">
        <f>+IFERROR(VLOOKUP(L2756,'TB mapping'!A:D,4,0),0)</f>
        <v>0</v>
      </c>
      <c r="C2756" s="125">
        <f>+IFERROR(VLOOKUP(L2756,'TB mapping'!A:C,3,0),0)</f>
        <v>0</v>
      </c>
      <c r="D2756" s="125" t="str">
        <f t="shared" si="281"/>
        <v>LIC280</v>
      </c>
      <c r="E2756" s="125" t="str">
        <f t="shared" si="282"/>
        <v>LIC280</v>
      </c>
      <c r="F2756" s="158" t="str">
        <f>+VLOOKUP(H2756,'code mapping'!A:C,3,0)</f>
        <v>LIC28</v>
      </c>
      <c r="G2756" s="127" t="s">
        <v>453</v>
      </c>
      <c r="H2756" s="127" t="s">
        <v>783</v>
      </c>
      <c r="I2756" s="127" t="s">
        <v>55</v>
      </c>
      <c r="J2756" s="128">
        <v>105000</v>
      </c>
      <c r="K2756" s="127" t="s">
        <v>460</v>
      </c>
      <c r="L2756" s="151">
        <v>105100</v>
      </c>
      <c r="M2756" s="128">
        <v>0</v>
      </c>
      <c r="N2756" s="127" t="s">
        <v>461</v>
      </c>
      <c r="O2756" s="127" t="s">
        <v>457</v>
      </c>
      <c r="P2756" s="128">
        <v>-0.02</v>
      </c>
      <c r="Q2756" s="128">
        <v>0</v>
      </c>
      <c r="R2756" s="128">
        <v>0</v>
      </c>
      <c r="S2756" s="128">
        <v>0</v>
      </c>
      <c r="T2756" s="128">
        <v>-0.02</v>
      </c>
      <c r="U2756" s="128">
        <v>0</v>
      </c>
      <c r="V2756" s="128">
        <v>-0.02</v>
      </c>
      <c r="W2756" s="128">
        <v>0</v>
      </c>
      <c r="X2756" s="128">
        <v>0</v>
      </c>
      <c r="Y2756" s="128">
        <v>0</v>
      </c>
      <c r="Z2756" s="128">
        <v>-0.02</v>
      </c>
      <c r="AA2756" s="128">
        <v>0</v>
      </c>
      <c r="AB2756" s="126">
        <f t="shared" si="283"/>
        <v>2.0000000000000001E-9</v>
      </c>
      <c r="AC2756" s="122" t="s">
        <v>1838</v>
      </c>
      <c r="AD2756" s="123">
        <f t="shared" si="285"/>
        <v>1983.9723217250009</v>
      </c>
    </row>
    <row r="2757" spans="1:30" ht="12.75" hidden="1" customHeight="1">
      <c r="A2757" s="125" t="str">
        <f t="shared" si="280"/>
        <v>LIC28Investment - CBLO</v>
      </c>
      <c r="B2757" s="125">
        <f>+IFERROR(VLOOKUP(L2757,'TB mapping'!A:D,4,0),0)</f>
        <v>0</v>
      </c>
      <c r="C2757" s="125">
        <f>+IFERROR(VLOOKUP(L2757,'TB mapping'!A:C,3,0),0)</f>
        <v>0</v>
      </c>
      <c r="D2757" s="125" t="str">
        <f t="shared" si="281"/>
        <v>LIC280</v>
      </c>
      <c r="E2757" s="125" t="str">
        <f t="shared" si="282"/>
        <v>LIC280</v>
      </c>
      <c r="F2757" s="158" t="str">
        <f>+VLOOKUP(H2757,'code mapping'!A:C,3,0)</f>
        <v>LIC28</v>
      </c>
      <c r="G2757" s="127" t="s">
        <v>453</v>
      </c>
      <c r="H2757" s="127" t="s">
        <v>783</v>
      </c>
      <c r="I2757" s="127" t="s">
        <v>55</v>
      </c>
      <c r="J2757" s="128">
        <v>110000</v>
      </c>
      <c r="K2757" s="127" t="s">
        <v>462</v>
      </c>
      <c r="L2757" s="151">
        <v>110100</v>
      </c>
      <c r="M2757" s="128">
        <v>0</v>
      </c>
      <c r="N2757" s="127" t="s">
        <v>463</v>
      </c>
      <c r="O2757" s="127" t="s">
        <v>457</v>
      </c>
      <c r="P2757" s="128">
        <v>-59091398.130000003</v>
      </c>
      <c r="Q2757" s="128">
        <v>0</v>
      </c>
      <c r="R2757" s="128">
        <v>0</v>
      </c>
      <c r="S2757" s="128">
        <v>0</v>
      </c>
      <c r="T2757" s="128">
        <v>-59091398.130000003</v>
      </c>
      <c r="U2757" s="128">
        <v>0</v>
      </c>
      <c r="V2757" s="128">
        <v>-59091398.130000003</v>
      </c>
      <c r="W2757" s="128">
        <v>0</v>
      </c>
      <c r="X2757" s="128">
        <v>0</v>
      </c>
      <c r="Y2757" s="128">
        <v>0</v>
      </c>
      <c r="Z2757" s="128">
        <v>-59091398.130000003</v>
      </c>
      <c r="AA2757" s="128">
        <v>0</v>
      </c>
      <c r="AB2757" s="126">
        <f t="shared" si="283"/>
        <v>5.9091398130000004</v>
      </c>
      <c r="AC2757" s="122" t="s">
        <v>1838</v>
      </c>
      <c r="AD2757" s="123">
        <f t="shared" si="285"/>
        <v>1983.9723217250009</v>
      </c>
    </row>
    <row r="2758" spans="1:30" ht="12.75" hidden="1" customHeight="1">
      <c r="A2758" s="125" t="str">
        <f t="shared" si="280"/>
        <v>LIC28Margin Deposit For CCIL</v>
      </c>
      <c r="B2758" s="125">
        <f>+IFERROR(VLOOKUP(L2758,'TB mapping'!A:D,4,0),0)</f>
        <v>0</v>
      </c>
      <c r="C2758" s="125">
        <f>+IFERROR(VLOOKUP(L2758,'TB mapping'!A:C,3,0),0)</f>
        <v>0</v>
      </c>
      <c r="D2758" s="125" t="str">
        <f t="shared" si="281"/>
        <v>LIC280</v>
      </c>
      <c r="E2758" s="125" t="str">
        <f t="shared" si="282"/>
        <v>LIC280</v>
      </c>
      <c r="F2758" s="158" t="str">
        <f>+VLOOKUP(H2758,'code mapping'!A:C,3,0)</f>
        <v>LIC28</v>
      </c>
      <c r="G2758" s="127" t="s">
        <v>453</v>
      </c>
      <c r="H2758" s="127" t="s">
        <v>783</v>
      </c>
      <c r="I2758" s="127" t="s">
        <v>55</v>
      </c>
      <c r="J2758" s="128">
        <v>110000</v>
      </c>
      <c r="K2758" s="127" t="s">
        <v>462</v>
      </c>
      <c r="L2758" s="151">
        <v>110116</v>
      </c>
      <c r="M2758" s="128">
        <v>0</v>
      </c>
      <c r="N2758" s="127" t="s">
        <v>465</v>
      </c>
      <c r="O2758" s="127" t="s">
        <v>457</v>
      </c>
      <c r="P2758" s="128">
        <v>-43563.9</v>
      </c>
      <c r="Q2758" s="128">
        <v>0</v>
      </c>
      <c r="R2758" s="128">
        <v>0</v>
      </c>
      <c r="S2758" s="128">
        <v>0</v>
      </c>
      <c r="T2758" s="128">
        <v>-43563.9</v>
      </c>
      <c r="U2758" s="128">
        <v>0</v>
      </c>
      <c r="V2758" s="128">
        <v>-43563.9</v>
      </c>
      <c r="W2758" s="128">
        <v>0</v>
      </c>
      <c r="X2758" s="128">
        <v>0</v>
      </c>
      <c r="Y2758" s="128">
        <v>0</v>
      </c>
      <c r="Z2758" s="128">
        <v>-43563.9</v>
      </c>
      <c r="AA2758" s="128">
        <v>0</v>
      </c>
      <c r="AB2758" s="126">
        <f t="shared" si="283"/>
        <v>4.3563899999999999E-3</v>
      </c>
      <c r="AC2758" s="122" t="s">
        <v>1838</v>
      </c>
      <c r="AD2758" s="123">
        <f t="shared" si="285"/>
        <v>1983.9723217250009</v>
      </c>
    </row>
    <row r="2759" spans="1:30" ht="12.75" hidden="1" customHeight="1">
      <c r="A2759" s="125" t="str">
        <f t="shared" si="280"/>
        <v>LIC28Sub. Rec. Control Account</v>
      </c>
      <c r="B2759" s="125">
        <f>+IFERROR(VLOOKUP(L2759,'TB mapping'!A:D,4,0),0)</f>
        <v>0</v>
      </c>
      <c r="C2759" s="125">
        <f>+IFERROR(VLOOKUP(L2759,'TB mapping'!A:C,3,0),0)</f>
        <v>0</v>
      </c>
      <c r="D2759" s="125" t="str">
        <f t="shared" si="281"/>
        <v>LIC280</v>
      </c>
      <c r="E2759" s="125" t="str">
        <f t="shared" si="282"/>
        <v>LIC280</v>
      </c>
      <c r="F2759" s="158" t="str">
        <f>+VLOOKUP(H2759,'code mapping'!A:C,3,0)</f>
        <v>LIC28</v>
      </c>
      <c r="G2759" s="127" t="s">
        <v>453</v>
      </c>
      <c r="H2759" s="127" t="s">
        <v>783</v>
      </c>
      <c r="I2759" s="127" t="s">
        <v>55</v>
      </c>
      <c r="J2759" s="128">
        <v>132000</v>
      </c>
      <c r="K2759" s="127" t="s">
        <v>466</v>
      </c>
      <c r="L2759" s="151">
        <v>132121</v>
      </c>
      <c r="M2759" s="128">
        <v>0</v>
      </c>
      <c r="N2759" s="127" t="s">
        <v>467</v>
      </c>
      <c r="O2759" s="127" t="s">
        <v>457</v>
      </c>
      <c r="P2759" s="128">
        <v>-21725511.469999999</v>
      </c>
      <c r="Q2759" s="128">
        <v>0</v>
      </c>
      <c r="R2759" s="128">
        <v>0</v>
      </c>
      <c r="S2759" s="128">
        <v>0</v>
      </c>
      <c r="T2759" s="128">
        <v>-21725511.469999999</v>
      </c>
      <c r="U2759" s="128">
        <v>0</v>
      </c>
      <c r="V2759" s="128">
        <v>-21725511.469999999</v>
      </c>
      <c r="W2759" s="128">
        <v>0</v>
      </c>
      <c r="X2759" s="128">
        <v>0</v>
      </c>
      <c r="Y2759" s="128">
        <v>0</v>
      </c>
      <c r="Z2759" s="128">
        <v>-21725511.469999999</v>
      </c>
      <c r="AA2759" s="128">
        <v>0</v>
      </c>
      <c r="AB2759" s="126">
        <f t="shared" si="283"/>
        <v>2.1725511470000001</v>
      </c>
      <c r="AC2759" s="122" t="s">
        <v>1838</v>
      </c>
      <c r="AD2759" s="123">
        <f t="shared" si="285"/>
        <v>1983.9723217250009</v>
      </c>
    </row>
    <row r="2760" spans="1:30" ht="12.75" hidden="1" customHeight="1">
      <c r="A2760" s="125" t="str">
        <f t="shared" si="280"/>
        <v>LIC28Switch in Receivable Ct</v>
      </c>
      <c r="B2760" s="125">
        <f>+IFERROR(VLOOKUP(L2760,'TB mapping'!A:D,4,0),0)</f>
        <v>0</v>
      </c>
      <c r="C2760" s="125">
        <f>+IFERROR(VLOOKUP(L2760,'TB mapping'!A:C,3,0),0)</f>
        <v>0</v>
      </c>
      <c r="D2760" s="125" t="str">
        <f t="shared" si="281"/>
        <v>LIC280</v>
      </c>
      <c r="E2760" s="125" t="str">
        <f t="shared" si="282"/>
        <v>LIC280</v>
      </c>
      <c r="F2760" s="158" t="str">
        <f>+VLOOKUP(H2760,'code mapping'!A:C,3,0)</f>
        <v>LIC28</v>
      </c>
      <c r="G2760" s="127" t="s">
        <v>453</v>
      </c>
      <c r="H2760" s="127" t="s">
        <v>783</v>
      </c>
      <c r="I2760" s="127" t="s">
        <v>55</v>
      </c>
      <c r="J2760" s="128">
        <v>132000</v>
      </c>
      <c r="K2760" s="127" t="s">
        <v>466</v>
      </c>
      <c r="L2760" s="151">
        <v>132124</v>
      </c>
      <c r="M2760" s="128">
        <v>0</v>
      </c>
      <c r="N2760" s="127" t="s">
        <v>468</v>
      </c>
      <c r="O2760" s="127" t="s">
        <v>457</v>
      </c>
      <c r="P2760" s="128">
        <v>-1762736.85</v>
      </c>
      <c r="Q2760" s="128">
        <v>0</v>
      </c>
      <c r="R2760" s="128">
        <v>0</v>
      </c>
      <c r="S2760" s="128">
        <v>0</v>
      </c>
      <c r="T2760" s="128">
        <v>-1762736.85</v>
      </c>
      <c r="U2760" s="128">
        <v>0</v>
      </c>
      <c r="V2760" s="128">
        <v>-1762736.85</v>
      </c>
      <c r="W2760" s="128">
        <v>0</v>
      </c>
      <c r="X2760" s="128">
        <v>0</v>
      </c>
      <c r="Y2760" s="128">
        <v>0</v>
      </c>
      <c r="Z2760" s="128">
        <v>-1762736.85</v>
      </c>
      <c r="AA2760" s="128">
        <v>0</v>
      </c>
      <c r="AB2760" s="126">
        <f t="shared" si="283"/>
        <v>0.17627368500000001</v>
      </c>
      <c r="AC2760" s="122" t="s">
        <v>1838</v>
      </c>
      <c r="AD2760" s="123">
        <f t="shared" si="285"/>
        <v>1983.9723217250009</v>
      </c>
    </row>
    <row r="2761" spans="1:30" ht="12.75" hidden="1" customHeight="1">
      <c r="A2761" s="125" t="str">
        <f t="shared" si="280"/>
        <v>LIC28CCIL Settlement A/C</v>
      </c>
      <c r="B2761" s="125">
        <f>+IFERROR(VLOOKUP(L2761,'TB mapping'!A:D,4,0),0)</f>
        <v>0</v>
      </c>
      <c r="C2761" s="125">
        <f>+IFERROR(VLOOKUP(L2761,'TB mapping'!A:C,3,0),0)</f>
        <v>0</v>
      </c>
      <c r="D2761" s="125" t="str">
        <f t="shared" si="281"/>
        <v>LIC280</v>
      </c>
      <c r="E2761" s="125" t="str">
        <f t="shared" si="282"/>
        <v>LIC280</v>
      </c>
      <c r="F2761" s="158" t="str">
        <f>+VLOOKUP(H2761,'code mapping'!A:C,3,0)</f>
        <v>LIC28</v>
      </c>
      <c r="G2761" s="127" t="s">
        <v>453</v>
      </c>
      <c r="H2761" s="127" t="s">
        <v>783</v>
      </c>
      <c r="I2761" s="127" t="s">
        <v>55</v>
      </c>
      <c r="J2761" s="128">
        <v>140000</v>
      </c>
      <c r="K2761" s="127" t="s">
        <v>472</v>
      </c>
      <c r="L2761" s="151">
        <v>132237</v>
      </c>
      <c r="M2761" s="128">
        <v>0</v>
      </c>
      <c r="N2761" s="127" t="s">
        <v>473</v>
      </c>
      <c r="O2761" s="127" t="s">
        <v>457</v>
      </c>
      <c r="P2761" s="128">
        <v>0</v>
      </c>
      <c r="Q2761" s="128">
        <v>0.16</v>
      </c>
      <c r="R2761" s="128">
        <v>0</v>
      </c>
      <c r="S2761" s="128">
        <v>0</v>
      </c>
      <c r="T2761" s="128">
        <v>0</v>
      </c>
      <c r="U2761" s="128">
        <v>0.16</v>
      </c>
      <c r="V2761" s="128">
        <v>0</v>
      </c>
      <c r="W2761" s="128">
        <v>0.16</v>
      </c>
      <c r="X2761" s="128">
        <v>0</v>
      </c>
      <c r="Y2761" s="128">
        <v>0</v>
      </c>
      <c r="Z2761" s="128">
        <v>0</v>
      </c>
      <c r="AA2761" s="128">
        <v>0.16</v>
      </c>
      <c r="AB2761" s="126">
        <f t="shared" si="283"/>
        <v>-1.6000000000000001E-8</v>
      </c>
      <c r="AC2761" s="122" t="s">
        <v>1838</v>
      </c>
      <c r="AD2761" s="123">
        <f t="shared" si="285"/>
        <v>1983.9723217250009</v>
      </c>
    </row>
    <row r="2762" spans="1:30" ht="12.75" hidden="1" customHeight="1">
      <c r="A2762" s="125" t="str">
        <f t="shared" si="280"/>
        <v>LIC28HDFC Current Account</v>
      </c>
      <c r="B2762" s="125">
        <f>+IFERROR(VLOOKUP(L2762,'TB mapping'!A:D,4,0),0)</f>
        <v>0</v>
      </c>
      <c r="C2762" s="125">
        <f>+IFERROR(VLOOKUP(L2762,'TB mapping'!A:C,3,0),0)</f>
        <v>0</v>
      </c>
      <c r="D2762" s="125" t="str">
        <f t="shared" si="281"/>
        <v>LIC280</v>
      </c>
      <c r="E2762" s="125" t="str">
        <f t="shared" si="282"/>
        <v>LIC280</v>
      </c>
      <c r="F2762" s="158" t="str">
        <f>+VLOOKUP(H2762,'code mapping'!A:C,3,0)</f>
        <v>LIC28</v>
      </c>
      <c r="G2762" s="127" t="s">
        <v>453</v>
      </c>
      <c r="H2762" s="127" t="s">
        <v>783</v>
      </c>
      <c r="I2762" s="127" t="s">
        <v>55</v>
      </c>
      <c r="J2762" s="128">
        <v>140000</v>
      </c>
      <c r="K2762" s="127" t="s">
        <v>472</v>
      </c>
      <c r="L2762" s="151">
        <v>140330</v>
      </c>
      <c r="M2762" s="128">
        <v>0</v>
      </c>
      <c r="N2762" s="127" t="s">
        <v>475</v>
      </c>
      <c r="O2762" s="127" t="s">
        <v>457</v>
      </c>
      <c r="P2762" s="128">
        <v>-0.42</v>
      </c>
      <c r="Q2762" s="128">
        <v>0</v>
      </c>
      <c r="R2762" s="128">
        <v>0</v>
      </c>
      <c r="S2762" s="128">
        <v>0</v>
      </c>
      <c r="T2762" s="128">
        <v>-0.42</v>
      </c>
      <c r="U2762" s="128">
        <v>0</v>
      </c>
      <c r="V2762" s="128">
        <v>-0.42</v>
      </c>
      <c r="W2762" s="128">
        <v>0</v>
      </c>
      <c r="X2762" s="128">
        <v>0</v>
      </c>
      <c r="Y2762" s="128">
        <v>0</v>
      </c>
      <c r="Z2762" s="128">
        <v>-0.42</v>
      </c>
      <c r="AA2762" s="128">
        <v>0</v>
      </c>
      <c r="AB2762" s="126">
        <f t="shared" si="283"/>
        <v>4.1999999999999999E-8</v>
      </c>
      <c r="AC2762" s="122" t="s">
        <v>1838</v>
      </c>
      <c r="AD2762" s="123">
        <f t="shared" si="285"/>
        <v>1983.9723217250009</v>
      </c>
    </row>
    <row r="2763" spans="1:30" ht="12.75" hidden="1" customHeight="1">
      <c r="A2763" s="125" t="str">
        <f t="shared" si="280"/>
        <v>LIC28HDFC Bank Ltd</v>
      </c>
      <c r="B2763" s="125">
        <f>+IFERROR(VLOOKUP(L2763,'TB mapping'!A:D,4,0),0)</f>
        <v>0</v>
      </c>
      <c r="C2763" s="125">
        <f>+IFERROR(VLOOKUP(L2763,'TB mapping'!A:C,3,0),0)</f>
        <v>0</v>
      </c>
      <c r="D2763" s="125" t="str">
        <f t="shared" si="281"/>
        <v>LIC280</v>
      </c>
      <c r="E2763" s="125" t="str">
        <f t="shared" si="282"/>
        <v>LIC280</v>
      </c>
      <c r="F2763" s="158" t="str">
        <f>+VLOOKUP(H2763,'code mapping'!A:C,3,0)</f>
        <v>LIC28</v>
      </c>
      <c r="G2763" s="127" t="s">
        <v>453</v>
      </c>
      <c r="H2763" s="127" t="s">
        <v>783</v>
      </c>
      <c r="I2763" s="127" t="s">
        <v>55</v>
      </c>
      <c r="J2763" s="128">
        <v>140000</v>
      </c>
      <c r="K2763" s="127" t="s">
        <v>472</v>
      </c>
      <c r="L2763" s="151">
        <v>140372</v>
      </c>
      <c r="M2763" s="128">
        <v>0</v>
      </c>
      <c r="N2763" s="127" t="s">
        <v>476</v>
      </c>
      <c r="O2763" s="127" t="s">
        <v>457</v>
      </c>
      <c r="P2763" s="128">
        <v>0</v>
      </c>
      <c r="Q2763" s="128">
        <v>4.1900000000000004</v>
      </c>
      <c r="R2763" s="128">
        <v>0</v>
      </c>
      <c r="S2763" s="128">
        <v>0</v>
      </c>
      <c r="T2763" s="128">
        <v>0</v>
      </c>
      <c r="U2763" s="128">
        <v>4.1900000000000004</v>
      </c>
      <c r="V2763" s="128">
        <v>0</v>
      </c>
      <c r="W2763" s="128">
        <v>4.1900000000000004</v>
      </c>
      <c r="X2763" s="128">
        <v>0</v>
      </c>
      <c r="Y2763" s="128">
        <v>0</v>
      </c>
      <c r="Z2763" s="128">
        <v>0</v>
      </c>
      <c r="AA2763" s="128">
        <v>4.1900000000000004</v>
      </c>
      <c r="AB2763" s="126">
        <f t="shared" si="283"/>
        <v>-4.1900000000000003E-7</v>
      </c>
      <c r="AC2763" s="122" t="s">
        <v>1838</v>
      </c>
      <c r="AD2763" s="123">
        <f t="shared" si="285"/>
        <v>1983.9723217250009</v>
      </c>
    </row>
    <row r="2764" spans="1:30" ht="12.75" hidden="1" customHeight="1">
      <c r="A2764" s="125" t="str">
        <f t="shared" si="280"/>
        <v>LIC28Standard Chartered Bank- India</v>
      </c>
      <c r="B2764" s="125">
        <f>+IFERROR(VLOOKUP(L2764,'TB mapping'!A:D,4,0),0)</f>
        <v>0</v>
      </c>
      <c r="C2764" s="125">
        <f>+IFERROR(VLOOKUP(L2764,'TB mapping'!A:C,3,0),0)</f>
        <v>0</v>
      </c>
      <c r="D2764" s="125" t="str">
        <f t="shared" si="281"/>
        <v>LIC280</v>
      </c>
      <c r="E2764" s="125" t="str">
        <f t="shared" si="282"/>
        <v>LIC280</v>
      </c>
      <c r="F2764" s="158" t="str">
        <f>+VLOOKUP(H2764,'code mapping'!A:C,3,0)</f>
        <v>LIC28</v>
      </c>
      <c r="G2764" s="127" t="s">
        <v>453</v>
      </c>
      <c r="H2764" s="127" t="s">
        <v>783</v>
      </c>
      <c r="I2764" s="127" t="s">
        <v>55</v>
      </c>
      <c r="J2764" s="128">
        <v>140000</v>
      </c>
      <c r="K2764" s="127" t="s">
        <v>472</v>
      </c>
      <c r="L2764" s="151">
        <v>140500</v>
      </c>
      <c r="M2764" s="128">
        <v>0</v>
      </c>
      <c r="N2764" s="127" t="s">
        <v>477</v>
      </c>
      <c r="O2764" s="127" t="s">
        <v>457</v>
      </c>
      <c r="P2764" s="128">
        <v>-39654.590000000004</v>
      </c>
      <c r="Q2764" s="128">
        <v>0</v>
      </c>
      <c r="R2764" s="128">
        <v>0</v>
      </c>
      <c r="S2764" s="128">
        <v>0</v>
      </c>
      <c r="T2764" s="128">
        <v>-39654.590000000004</v>
      </c>
      <c r="U2764" s="128">
        <v>0</v>
      </c>
      <c r="V2764" s="128">
        <v>-39654.590000000004</v>
      </c>
      <c r="W2764" s="128">
        <v>0</v>
      </c>
      <c r="X2764" s="128">
        <v>0</v>
      </c>
      <c r="Y2764" s="128">
        <v>0</v>
      </c>
      <c r="Z2764" s="128">
        <v>-39654.590000000004</v>
      </c>
      <c r="AA2764" s="128">
        <v>0</v>
      </c>
      <c r="AB2764" s="126">
        <f t="shared" si="283"/>
        <v>3.9654590000000002E-3</v>
      </c>
      <c r="AC2764" s="122" t="s">
        <v>1838</v>
      </c>
      <c r="AD2764" s="123">
        <f t="shared" si="285"/>
        <v>1983.9723217250009</v>
      </c>
    </row>
    <row r="2765" spans="1:30" ht="12.75" hidden="1" customHeight="1">
      <c r="A2765" s="125" t="str">
        <f t="shared" si="280"/>
        <v>LIC28Amort Receivable - CBLO</v>
      </c>
      <c r="B2765" s="125">
        <f>+IFERROR(VLOOKUP(L2765,'TB mapping'!A:D,4,0),0)</f>
        <v>0</v>
      </c>
      <c r="C2765" s="125">
        <f>+IFERROR(VLOOKUP(L2765,'TB mapping'!A:C,3,0),0)</f>
        <v>0</v>
      </c>
      <c r="D2765" s="125" t="str">
        <f t="shared" si="281"/>
        <v>LIC280</v>
      </c>
      <c r="E2765" s="125" t="str">
        <f t="shared" si="282"/>
        <v>LIC280</v>
      </c>
      <c r="F2765" s="158" t="str">
        <f>+VLOOKUP(H2765,'code mapping'!A:C,3,0)</f>
        <v>LIC28</v>
      </c>
      <c r="G2765" s="127" t="s">
        <v>453</v>
      </c>
      <c r="H2765" s="127" t="s">
        <v>783</v>
      </c>
      <c r="I2765" s="127" t="s">
        <v>55</v>
      </c>
      <c r="J2765" s="128">
        <v>152000</v>
      </c>
      <c r="K2765" s="127" t="s">
        <v>478</v>
      </c>
      <c r="L2765" s="151">
        <v>152232</v>
      </c>
      <c r="M2765" s="128">
        <v>0</v>
      </c>
      <c r="N2765" s="127" t="s">
        <v>482</v>
      </c>
      <c r="O2765" s="127" t="s">
        <v>457</v>
      </c>
      <c r="P2765" s="128">
        <v>-26435.38</v>
      </c>
      <c r="Q2765" s="128">
        <v>0</v>
      </c>
      <c r="R2765" s="128">
        <v>0</v>
      </c>
      <c r="S2765" s="128">
        <v>0</v>
      </c>
      <c r="T2765" s="128">
        <v>-26435.38</v>
      </c>
      <c r="U2765" s="128">
        <v>0</v>
      </c>
      <c r="V2765" s="128">
        <v>-26435.38</v>
      </c>
      <c r="W2765" s="128">
        <v>0</v>
      </c>
      <c r="X2765" s="128">
        <v>0</v>
      </c>
      <c r="Y2765" s="128">
        <v>0</v>
      </c>
      <c r="Z2765" s="128">
        <v>-26435.38</v>
      </c>
      <c r="AA2765" s="128">
        <v>0</v>
      </c>
      <c r="AB2765" s="126">
        <f t="shared" si="283"/>
        <v>2.643538E-3</v>
      </c>
      <c r="AC2765" s="122" t="s">
        <v>1838</v>
      </c>
      <c r="AD2765" s="123">
        <f t="shared" si="285"/>
        <v>1983.9723217250009</v>
      </c>
    </row>
    <row r="2766" spans="1:30" ht="12.75" hidden="1" customHeight="1">
      <c r="A2766" s="125" t="str">
        <f t="shared" si="280"/>
        <v>LIC28Prov Unr P/L - Equities</v>
      </c>
      <c r="B2766" s="125">
        <f>+IFERROR(VLOOKUP(L2766,'TB mapping'!A:D,4,0),0)</f>
        <v>0</v>
      </c>
      <c r="C2766" s="125">
        <f>+IFERROR(VLOOKUP(L2766,'TB mapping'!A:C,3,0),0)</f>
        <v>0</v>
      </c>
      <c r="D2766" s="125" t="str">
        <f t="shared" si="281"/>
        <v>LIC280</v>
      </c>
      <c r="E2766" s="125" t="str">
        <f t="shared" si="282"/>
        <v>LIC280</v>
      </c>
      <c r="F2766" s="158" t="str">
        <f>+VLOOKUP(H2766,'code mapping'!A:C,3,0)</f>
        <v>LIC28</v>
      </c>
      <c r="G2766" s="127" t="s">
        <v>453</v>
      </c>
      <c r="H2766" s="127" t="s">
        <v>783</v>
      </c>
      <c r="I2766" s="127" t="s">
        <v>55</v>
      </c>
      <c r="J2766" s="128">
        <v>160000</v>
      </c>
      <c r="K2766" s="127" t="s">
        <v>483</v>
      </c>
      <c r="L2766" s="151">
        <v>161100</v>
      </c>
      <c r="M2766" s="128">
        <v>0</v>
      </c>
      <c r="N2766" s="127" t="s">
        <v>595</v>
      </c>
      <c r="O2766" s="127" t="s">
        <v>457</v>
      </c>
      <c r="P2766" s="128">
        <v>-238984680.12</v>
      </c>
      <c r="Q2766" s="128">
        <v>0</v>
      </c>
      <c r="R2766" s="128">
        <v>0</v>
      </c>
      <c r="S2766" s="128">
        <v>0</v>
      </c>
      <c r="T2766" s="128">
        <v>-238984680.12</v>
      </c>
      <c r="U2766" s="128">
        <v>0</v>
      </c>
      <c r="V2766" s="128">
        <v>-238984680.12</v>
      </c>
      <c r="W2766" s="128">
        <v>0</v>
      </c>
      <c r="X2766" s="128">
        <v>0</v>
      </c>
      <c r="Y2766" s="128">
        <v>0</v>
      </c>
      <c r="Z2766" s="128">
        <v>-238984680.12</v>
      </c>
      <c r="AA2766" s="128">
        <v>0</v>
      </c>
      <c r="AB2766" s="126">
        <f t="shared" si="283"/>
        <v>23.898468012000002</v>
      </c>
      <c r="AC2766" s="122" t="s">
        <v>1838</v>
      </c>
      <c r="AD2766" s="123">
        <f t="shared" si="285"/>
        <v>1983.9723217250009</v>
      </c>
    </row>
    <row r="2767" spans="1:30" ht="12.75" hidden="1" customHeight="1">
      <c r="A2767" s="125" t="str">
        <f t="shared" si="280"/>
        <v>LIC28Payable - Withhold Brokerage</v>
      </c>
      <c r="B2767" s="125">
        <f>+IFERROR(VLOOKUP(L2767,'TB mapping'!A:D,4,0),0)</f>
        <v>0</v>
      </c>
      <c r="C2767" s="125">
        <f>+IFERROR(VLOOKUP(L2767,'TB mapping'!A:C,3,0),0)</f>
        <v>0</v>
      </c>
      <c r="D2767" s="125" t="str">
        <f t="shared" si="281"/>
        <v>LIC280</v>
      </c>
      <c r="E2767" s="125" t="str">
        <f t="shared" si="282"/>
        <v>LIC280</v>
      </c>
      <c r="F2767" s="158" t="str">
        <f>+VLOOKUP(H2767,'code mapping'!A:C,3,0)</f>
        <v>LIC28</v>
      </c>
      <c r="G2767" s="127" t="s">
        <v>453</v>
      </c>
      <c r="H2767" s="127" t="s">
        <v>783</v>
      </c>
      <c r="I2767" s="127" t="s">
        <v>55</v>
      </c>
      <c r="J2767" s="128">
        <v>212000</v>
      </c>
      <c r="K2767" s="127" t="s">
        <v>487</v>
      </c>
      <c r="L2767" s="151">
        <v>210164</v>
      </c>
      <c r="M2767" s="128">
        <v>0</v>
      </c>
      <c r="N2767" s="127" t="s">
        <v>488</v>
      </c>
      <c r="O2767" s="127" t="s">
        <v>457</v>
      </c>
      <c r="P2767" s="128">
        <v>0</v>
      </c>
      <c r="Q2767" s="128">
        <v>207624.44</v>
      </c>
      <c r="R2767" s="128">
        <v>0</v>
      </c>
      <c r="S2767" s="128">
        <v>0</v>
      </c>
      <c r="T2767" s="128">
        <v>0</v>
      </c>
      <c r="U2767" s="128">
        <v>207624.44</v>
      </c>
      <c r="V2767" s="128">
        <v>0</v>
      </c>
      <c r="W2767" s="128">
        <v>207624.44</v>
      </c>
      <c r="X2767" s="128">
        <v>0</v>
      </c>
      <c r="Y2767" s="128">
        <v>0</v>
      </c>
      <c r="Z2767" s="128">
        <v>0</v>
      </c>
      <c r="AA2767" s="128">
        <v>207624.44</v>
      </c>
      <c r="AB2767" s="126">
        <f t="shared" si="283"/>
        <v>-2.0762444000000001E-2</v>
      </c>
      <c r="AC2767" s="122" t="s">
        <v>1838</v>
      </c>
      <c r="AD2767" s="123">
        <f t="shared" si="285"/>
        <v>1983.9723217250009</v>
      </c>
    </row>
    <row r="2768" spans="1:30" ht="12.75" hidden="1" customHeight="1">
      <c r="A2768" s="125" t="str">
        <f t="shared" si="280"/>
        <v>LIC28Dividend Payable</v>
      </c>
      <c r="B2768" s="125">
        <f>+IFERROR(VLOOKUP(L2768,'TB mapping'!A:D,4,0),0)</f>
        <v>0</v>
      </c>
      <c r="C2768" s="125">
        <f>+IFERROR(VLOOKUP(L2768,'TB mapping'!A:C,3,0),0)</f>
        <v>0</v>
      </c>
      <c r="D2768" s="125" t="str">
        <f t="shared" si="281"/>
        <v>LIC280</v>
      </c>
      <c r="E2768" s="125" t="str">
        <f t="shared" si="282"/>
        <v>LIC280</v>
      </c>
      <c r="F2768" s="158" t="str">
        <f>+VLOOKUP(H2768,'code mapping'!A:C,3,0)</f>
        <v>LIC28</v>
      </c>
      <c r="G2768" s="127" t="s">
        <v>453</v>
      </c>
      <c r="H2768" s="127" t="s">
        <v>783</v>
      </c>
      <c r="I2768" s="127" t="s">
        <v>55</v>
      </c>
      <c r="J2768" s="128">
        <v>212000</v>
      </c>
      <c r="K2768" s="127" t="s">
        <v>487</v>
      </c>
      <c r="L2768" s="151">
        <v>212100</v>
      </c>
      <c r="M2768" s="128">
        <v>0</v>
      </c>
      <c r="N2768" s="127" t="s">
        <v>489</v>
      </c>
      <c r="O2768" s="127" t="s">
        <v>457</v>
      </c>
      <c r="P2768" s="128">
        <v>0</v>
      </c>
      <c r="Q2768" s="128">
        <v>3352574.91</v>
      </c>
      <c r="R2768" s="128">
        <v>0</v>
      </c>
      <c r="S2768" s="128">
        <v>0</v>
      </c>
      <c r="T2768" s="128">
        <v>0</v>
      </c>
      <c r="U2768" s="128">
        <v>3352574.91</v>
      </c>
      <c r="V2768" s="128">
        <v>0</v>
      </c>
      <c r="W2768" s="128">
        <v>3352574.91</v>
      </c>
      <c r="X2768" s="128">
        <v>0</v>
      </c>
      <c r="Y2768" s="128">
        <v>0</v>
      </c>
      <c r="Z2768" s="128">
        <v>0</v>
      </c>
      <c r="AA2768" s="128">
        <v>3352574.91</v>
      </c>
      <c r="AB2768" s="126">
        <f t="shared" si="283"/>
        <v>-0.33525749100000002</v>
      </c>
      <c r="AC2768" s="122" t="s">
        <v>1838</v>
      </c>
      <c r="AD2768" s="123">
        <f t="shared" si="285"/>
        <v>1983.9723217250009</v>
      </c>
    </row>
    <row r="2769" spans="1:30" ht="12.75" hidden="1" customHeight="1">
      <c r="A2769" s="125" t="str">
        <f t="shared" si="280"/>
        <v>LIC28CGST Payable</v>
      </c>
      <c r="B2769" s="125">
        <f>+IFERROR(VLOOKUP(L2769,'TB mapping'!A:D,4,0),0)</f>
        <v>0</v>
      </c>
      <c r="C2769" s="125">
        <f>+IFERROR(VLOOKUP(L2769,'TB mapping'!A:C,3,0),0)</f>
        <v>0</v>
      </c>
      <c r="D2769" s="125" t="str">
        <f t="shared" si="281"/>
        <v>LIC280</v>
      </c>
      <c r="E2769" s="125" t="str">
        <f t="shared" si="282"/>
        <v>LIC280</v>
      </c>
      <c r="F2769" s="158" t="str">
        <f>+VLOOKUP(H2769,'code mapping'!A:C,3,0)</f>
        <v>LIC28</v>
      </c>
      <c r="G2769" s="127" t="s">
        <v>453</v>
      </c>
      <c r="H2769" s="127" t="s">
        <v>783</v>
      </c>
      <c r="I2769" s="127" t="s">
        <v>55</v>
      </c>
      <c r="J2769" s="128">
        <v>212000</v>
      </c>
      <c r="K2769" s="127" t="s">
        <v>487</v>
      </c>
      <c r="L2769" s="151">
        <v>212112</v>
      </c>
      <c r="M2769" s="128">
        <v>0</v>
      </c>
      <c r="N2769" s="127" t="s">
        <v>490</v>
      </c>
      <c r="O2769" s="127" t="s">
        <v>457</v>
      </c>
      <c r="P2769" s="128">
        <v>0</v>
      </c>
      <c r="Q2769" s="128">
        <v>3.36</v>
      </c>
      <c r="R2769" s="128">
        <v>0</v>
      </c>
      <c r="S2769" s="128">
        <v>0</v>
      </c>
      <c r="T2769" s="128">
        <v>0</v>
      </c>
      <c r="U2769" s="128">
        <v>3.36</v>
      </c>
      <c r="V2769" s="128">
        <v>0</v>
      </c>
      <c r="W2769" s="128">
        <v>3.36</v>
      </c>
      <c r="X2769" s="128">
        <v>0</v>
      </c>
      <c r="Y2769" s="128">
        <v>0</v>
      </c>
      <c r="Z2769" s="128">
        <v>0</v>
      </c>
      <c r="AA2769" s="128">
        <v>3.36</v>
      </c>
      <c r="AB2769" s="126">
        <f t="shared" si="283"/>
        <v>-3.3599999999999999E-7</v>
      </c>
      <c r="AC2769" s="122" t="s">
        <v>1838</v>
      </c>
      <c r="AD2769" s="123">
        <f t="shared" si="285"/>
        <v>1983.9723217250009</v>
      </c>
    </row>
    <row r="2770" spans="1:30" ht="12.75" hidden="1" customHeight="1">
      <c r="A2770" s="125" t="str">
        <f t="shared" si="280"/>
        <v>LIC28SGST Payable</v>
      </c>
      <c r="B2770" s="125">
        <f>+IFERROR(VLOOKUP(L2770,'TB mapping'!A:D,4,0),0)</f>
        <v>0</v>
      </c>
      <c r="C2770" s="125">
        <f>+IFERROR(VLOOKUP(L2770,'TB mapping'!A:C,3,0),0)</f>
        <v>0</v>
      </c>
      <c r="D2770" s="125" t="str">
        <f t="shared" si="281"/>
        <v>LIC280</v>
      </c>
      <c r="E2770" s="125" t="str">
        <f t="shared" si="282"/>
        <v>LIC280</v>
      </c>
      <c r="F2770" s="158" t="str">
        <f>+VLOOKUP(H2770,'code mapping'!A:C,3,0)</f>
        <v>LIC28</v>
      </c>
      <c r="G2770" s="127" t="s">
        <v>453</v>
      </c>
      <c r="H2770" s="127" t="s">
        <v>783</v>
      </c>
      <c r="I2770" s="127" t="s">
        <v>55</v>
      </c>
      <c r="J2770" s="128">
        <v>212000</v>
      </c>
      <c r="K2770" s="127" t="s">
        <v>487</v>
      </c>
      <c r="L2770" s="151">
        <v>212113</v>
      </c>
      <c r="M2770" s="128">
        <v>0</v>
      </c>
      <c r="N2770" s="127" t="s">
        <v>491</v>
      </c>
      <c r="O2770" s="127" t="s">
        <v>457</v>
      </c>
      <c r="P2770" s="128">
        <v>0</v>
      </c>
      <c r="Q2770" s="128">
        <v>3.36</v>
      </c>
      <c r="R2770" s="128">
        <v>0</v>
      </c>
      <c r="S2770" s="128">
        <v>0</v>
      </c>
      <c r="T2770" s="128">
        <v>0</v>
      </c>
      <c r="U2770" s="128">
        <v>3.36</v>
      </c>
      <c r="V2770" s="128">
        <v>0</v>
      </c>
      <c r="W2770" s="128">
        <v>3.36</v>
      </c>
      <c r="X2770" s="128">
        <v>0</v>
      </c>
      <c r="Y2770" s="128">
        <v>0</v>
      </c>
      <c r="Z2770" s="128">
        <v>0</v>
      </c>
      <c r="AA2770" s="128">
        <v>3.36</v>
      </c>
      <c r="AB2770" s="126">
        <f t="shared" si="283"/>
        <v>-3.3599999999999999E-7</v>
      </c>
      <c r="AC2770" s="122" t="s">
        <v>1838</v>
      </c>
      <c r="AD2770" s="123">
        <f t="shared" si="285"/>
        <v>1983.9723217250009</v>
      </c>
    </row>
    <row r="2771" spans="1:30" ht="12.75" hidden="1" customHeight="1">
      <c r="A2771" s="125" t="str">
        <f t="shared" si="280"/>
        <v>LIC28IGST Payable</v>
      </c>
      <c r="B2771" s="125">
        <f>+IFERROR(VLOOKUP(L2771,'TB mapping'!A:D,4,0),0)</f>
        <v>0</v>
      </c>
      <c r="C2771" s="125">
        <f>+IFERROR(VLOOKUP(L2771,'TB mapping'!A:C,3,0),0)</f>
        <v>0</v>
      </c>
      <c r="D2771" s="125" t="str">
        <f t="shared" si="281"/>
        <v>LIC280</v>
      </c>
      <c r="E2771" s="125" t="str">
        <f t="shared" si="282"/>
        <v>LIC280</v>
      </c>
      <c r="F2771" s="158" t="str">
        <f>+VLOOKUP(H2771,'code mapping'!A:C,3,0)</f>
        <v>LIC28</v>
      </c>
      <c r="G2771" s="127" t="s">
        <v>453</v>
      </c>
      <c r="H2771" s="127" t="s">
        <v>783</v>
      </c>
      <c r="I2771" s="127" t="s">
        <v>55</v>
      </c>
      <c r="J2771" s="128">
        <v>212000</v>
      </c>
      <c r="K2771" s="127" t="s">
        <v>487</v>
      </c>
      <c r="L2771" s="151">
        <v>212114</v>
      </c>
      <c r="M2771" s="128">
        <v>0</v>
      </c>
      <c r="N2771" s="127" t="s">
        <v>492</v>
      </c>
      <c r="O2771" s="127" t="s">
        <v>457</v>
      </c>
      <c r="P2771" s="128">
        <v>0</v>
      </c>
      <c r="Q2771" s="128">
        <v>66.760000000000005</v>
      </c>
      <c r="R2771" s="128">
        <v>0</v>
      </c>
      <c r="S2771" s="128">
        <v>0</v>
      </c>
      <c r="T2771" s="128">
        <v>0</v>
      </c>
      <c r="U2771" s="128">
        <v>66.760000000000005</v>
      </c>
      <c r="V2771" s="128">
        <v>0</v>
      </c>
      <c r="W2771" s="128">
        <v>66.760000000000005</v>
      </c>
      <c r="X2771" s="128">
        <v>0</v>
      </c>
      <c r="Y2771" s="128">
        <v>0</v>
      </c>
      <c r="Z2771" s="128">
        <v>0</v>
      </c>
      <c r="AA2771" s="128">
        <v>66.760000000000005</v>
      </c>
      <c r="AB2771" s="126">
        <f t="shared" si="283"/>
        <v>-6.6760000000000001E-6</v>
      </c>
      <c r="AC2771" s="122" t="s">
        <v>1838</v>
      </c>
      <c r="AD2771" s="123">
        <f t="shared" si="285"/>
        <v>1983.9723217250009</v>
      </c>
    </row>
    <row r="2772" spans="1:30" ht="12.75" hidden="1" customHeight="1">
      <c r="A2772" s="125" t="str">
        <f t="shared" si="280"/>
        <v>LIC28Redemption Payable Ct</v>
      </c>
      <c r="B2772" s="125">
        <f>+IFERROR(VLOOKUP(L2772,'TB mapping'!A:D,4,0),0)</f>
        <v>0</v>
      </c>
      <c r="C2772" s="125">
        <f>+IFERROR(VLOOKUP(L2772,'TB mapping'!A:C,3,0),0)</f>
        <v>0</v>
      </c>
      <c r="D2772" s="125" t="str">
        <f t="shared" si="281"/>
        <v>LIC280</v>
      </c>
      <c r="E2772" s="125" t="str">
        <f t="shared" si="282"/>
        <v>LIC280</v>
      </c>
      <c r="F2772" s="158" t="str">
        <f>+VLOOKUP(H2772,'code mapping'!A:C,3,0)</f>
        <v>LIC28</v>
      </c>
      <c r="G2772" s="127" t="s">
        <v>453</v>
      </c>
      <c r="H2772" s="127" t="s">
        <v>783</v>
      </c>
      <c r="I2772" s="127" t="s">
        <v>55</v>
      </c>
      <c r="J2772" s="128">
        <v>212000</v>
      </c>
      <c r="K2772" s="127" t="s">
        <v>487</v>
      </c>
      <c r="L2772" s="151">
        <v>212121</v>
      </c>
      <c r="M2772" s="128">
        <v>0</v>
      </c>
      <c r="N2772" s="127" t="s">
        <v>493</v>
      </c>
      <c r="O2772" s="127" t="s">
        <v>457</v>
      </c>
      <c r="P2772" s="128">
        <v>0</v>
      </c>
      <c r="Q2772" s="128">
        <v>1794024.53</v>
      </c>
      <c r="R2772" s="128">
        <v>0</v>
      </c>
      <c r="S2772" s="128">
        <v>0</v>
      </c>
      <c r="T2772" s="128">
        <v>0</v>
      </c>
      <c r="U2772" s="128">
        <v>1794024.53</v>
      </c>
      <c r="V2772" s="128">
        <v>0</v>
      </c>
      <c r="W2772" s="128">
        <v>1794024.53</v>
      </c>
      <c r="X2772" s="128">
        <v>0</v>
      </c>
      <c r="Y2772" s="128">
        <v>0</v>
      </c>
      <c r="Z2772" s="128">
        <v>0</v>
      </c>
      <c r="AA2772" s="128">
        <v>1794024.53</v>
      </c>
      <c r="AB2772" s="126">
        <f t="shared" si="283"/>
        <v>-0.17940245299999999</v>
      </c>
      <c r="AC2772" s="122" t="s">
        <v>1838</v>
      </c>
      <c r="AD2772" s="123">
        <f t="shared" si="285"/>
        <v>1983.9723217250009</v>
      </c>
    </row>
    <row r="2773" spans="1:30" ht="12.75" hidden="1" customHeight="1">
      <c r="A2773" s="125" t="str">
        <f t="shared" si="280"/>
        <v>LIC28Switch Out Payable Ct</v>
      </c>
      <c r="B2773" s="125">
        <f>+IFERROR(VLOOKUP(L2773,'TB mapping'!A:D,4,0),0)</f>
        <v>0</v>
      </c>
      <c r="C2773" s="125">
        <f>+IFERROR(VLOOKUP(L2773,'TB mapping'!A:C,3,0),0)</f>
        <v>0</v>
      </c>
      <c r="D2773" s="125" t="str">
        <f t="shared" si="281"/>
        <v>LIC280</v>
      </c>
      <c r="E2773" s="125" t="str">
        <f t="shared" si="282"/>
        <v>LIC280</v>
      </c>
      <c r="F2773" s="158" t="str">
        <f>+VLOOKUP(H2773,'code mapping'!A:C,3,0)</f>
        <v>LIC28</v>
      </c>
      <c r="G2773" s="127" t="s">
        <v>453</v>
      </c>
      <c r="H2773" s="127" t="s">
        <v>783</v>
      </c>
      <c r="I2773" s="127" t="s">
        <v>55</v>
      </c>
      <c r="J2773" s="128">
        <v>212000</v>
      </c>
      <c r="K2773" s="127" t="s">
        <v>487</v>
      </c>
      <c r="L2773" s="151">
        <v>212124</v>
      </c>
      <c r="M2773" s="128">
        <v>0</v>
      </c>
      <c r="N2773" s="127" t="s">
        <v>494</v>
      </c>
      <c r="O2773" s="127" t="s">
        <v>457</v>
      </c>
      <c r="P2773" s="128">
        <v>0</v>
      </c>
      <c r="Q2773" s="128">
        <v>296327.22000000003</v>
      </c>
      <c r="R2773" s="128">
        <v>0</v>
      </c>
      <c r="S2773" s="128">
        <v>0</v>
      </c>
      <c r="T2773" s="128">
        <v>0</v>
      </c>
      <c r="U2773" s="128">
        <v>296327.22000000003</v>
      </c>
      <c r="V2773" s="128">
        <v>0</v>
      </c>
      <c r="W2773" s="128">
        <v>296327.22000000003</v>
      </c>
      <c r="X2773" s="128">
        <v>0</v>
      </c>
      <c r="Y2773" s="128">
        <v>0</v>
      </c>
      <c r="Z2773" s="128">
        <v>0</v>
      </c>
      <c r="AA2773" s="128">
        <v>296327.22000000003</v>
      </c>
      <c r="AB2773" s="126">
        <f t="shared" si="283"/>
        <v>-2.9632722000000004E-2</v>
      </c>
      <c r="AC2773" s="122" t="s">
        <v>1838</v>
      </c>
      <c r="AD2773" s="123">
        <f t="shared" si="285"/>
        <v>1983.9723217250009</v>
      </c>
    </row>
    <row r="2774" spans="1:30" ht="12.75" hidden="1" customHeight="1">
      <c r="A2774" s="125" t="str">
        <f t="shared" si="280"/>
        <v>LIC28Due to Broker - Equity</v>
      </c>
      <c r="B2774" s="125">
        <f>+IFERROR(VLOOKUP(L2774,'TB mapping'!A:D,4,0),0)</f>
        <v>0</v>
      </c>
      <c r="C2774" s="125">
        <f>+IFERROR(VLOOKUP(L2774,'TB mapping'!A:C,3,0),0)</f>
        <v>0</v>
      </c>
      <c r="D2774" s="125" t="str">
        <f t="shared" si="281"/>
        <v>LIC280</v>
      </c>
      <c r="E2774" s="125" t="str">
        <f t="shared" si="282"/>
        <v>LIC280</v>
      </c>
      <c r="F2774" s="158" t="str">
        <f>+VLOOKUP(H2774,'code mapping'!A:C,3,0)</f>
        <v>LIC28</v>
      </c>
      <c r="G2774" s="127" t="s">
        <v>453</v>
      </c>
      <c r="H2774" s="127" t="s">
        <v>783</v>
      </c>
      <c r="I2774" s="127" t="s">
        <v>55</v>
      </c>
      <c r="J2774" s="128">
        <v>212000</v>
      </c>
      <c r="K2774" s="127" t="s">
        <v>487</v>
      </c>
      <c r="L2774" s="151">
        <v>212150</v>
      </c>
      <c r="M2774" s="128">
        <v>0</v>
      </c>
      <c r="N2774" s="127" t="s">
        <v>747</v>
      </c>
      <c r="O2774" s="127" t="s">
        <v>457</v>
      </c>
      <c r="P2774" s="128">
        <v>-7080451</v>
      </c>
      <c r="Q2774" s="128">
        <v>0</v>
      </c>
      <c r="R2774" s="128">
        <v>0</v>
      </c>
      <c r="S2774" s="128">
        <v>0</v>
      </c>
      <c r="T2774" s="128">
        <v>-7080451</v>
      </c>
      <c r="U2774" s="128">
        <v>0</v>
      </c>
      <c r="V2774" s="128">
        <v>-7080451</v>
      </c>
      <c r="W2774" s="128">
        <v>0</v>
      </c>
      <c r="X2774" s="128">
        <v>0</v>
      </c>
      <c r="Y2774" s="128">
        <v>0</v>
      </c>
      <c r="Z2774" s="128">
        <v>-7080451</v>
      </c>
      <c r="AA2774" s="128">
        <v>0</v>
      </c>
      <c r="AB2774" s="126">
        <f t="shared" si="283"/>
        <v>0.70804509999999998</v>
      </c>
      <c r="AC2774" s="122" t="s">
        <v>1838</v>
      </c>
      <c r="AD2774" s="123">
        <f t="shared" si="285"/>
        <v>1983.9723217250009</v>
      </c>
    </row>
    <row r="2775" spans="1:30" ht="12.75" hidden="1" customHeight="1">
      <c r="A2775" s="125" t="str">
        <f t="shared" si="280"/>
        <v>LIC28Due to Broker</v>
      </c>
      <c r="B2775" s="125">
        <f>+IFERROR(VLOOKUP(L2775,'TB mapping'!A:D,4,0),0)</f>
        <v>0</v>
      </c>
      <c r="C2775" s="125">
        <f>+IFERROR(VLOOKUP(L2775,'TB mapping'!A:C,3,0),0)</f>
        <v>0</v>
      </c>
      <c r="D2775" s="125" t="str">
        <f t="shared" si="281"/>
        <v>LIC280</v>
      </c>
      <c r="E2775" s="125" t="str">
        <f t="shared" si="282"/>
        <v>LIC280</v>
      </c>
      <c r="F2775" s="158" t="str">
        <f>+VLOOKUP(H2775,'code mapping'!A:C,3,0)</f>
        <v>LIC28</v>
      </c>
      <c r="G2775" s="127" t="s">
        <v>453</v>
      </c>
      <c r="H2775" s="127" t="s">
        <v>783</v>
      </c>
      <c r="I2775" s="127" t="s">
        <v>55</v>
      </c>
      <c r="J2775" s="128">
        <v>212000</v>
      </c>
      <c r="K2775" s="127" t="s">
        <v>487</v>
      </c>
      <c r="L2775" s="151">
        <v>212153</v>
      </c>
      <c r="M2775" s="128">
        <v>0</v>
      </c>
      <c r="N2775" s="127" t="s">
        <v>626</v>
      </c>
      <c r="O2775" s="127" t="s">
        <v>457</v>
      </c>
      <c r="P2775" s="128">
        <v>0</v>
      </c>
      <c r="Q2775" s="128">
        <v>7080451</v>
      </c>
      <c r="R2775" s="128">
        <v>0</v>
      </c>
      <c r="S2775" s="128">
        <v>0</v>
      </c>
      <c r="T2775" s="128">
        <v>0</v>
      </c>
      <c r="U2775" s="128">
        <v>7080451</v>
      </c>
      <c r="V2775" s="128">
        <v>0</v>
      </c>
      <c r="W2775" s="128">
        <v>7080451</v>
      </c>
      <c r="X2775" s="128">
        <v>0</v>
      </c>
      <c r="Y2775" s="128">
        <v>0</v>
      </c>
      <c r="Z2775" s="128">
        <v>0</v>
      </c>
      <c r="AA2775" s="128">
        <v>7080451</v>
      </c>
      <c r="AB2775" s="126">
        <f t="shared" si="283"/>
        <v>-0.70804509999999998</v>
      </c>
      <c r="AC2775" s="122" t="s">
        <v>1838</v>
      </c>
      <c r="AD2775" s="123">
        <f t="shared" si="285"/>
        <v>1983.9723217250009</v>
      </c>
    </row>
    <row r="2776" spans="1:30" ht="12.75" hidden="1" customHeight="1">
      <c r="A2776" s="125" t="str">
        <f t="shared" si="280"/>
        <v>LIC28Audit Fee-Payable</v>
      </c>
      <c r="B2776" s="125">
        <f>+IFERROR(VLOOKUP(L2776,'TB mapping'!A:D,4,0),0)</f>
        <v>0</v>
      </c>
      <c r="C2776" s="125">
        <f>+IFERROR(VLOOKUP(L2776,'TB mapping'!A:C,3,0),0)</f>
        <v>0</v>
      </c>
      <c r="D2776" s="125" t="str">
        <f t="shared" si="281"/>
        <v>LIC280</v>
      </c>
      <c r="E2776" s="125" t="str">
        <f t="shared" si="282"/>
        <v>LIC280</v>
      </c>
      <c r="F2776" s="158" t="str">
        <f>+VLOOKUP(H2776,'code mapping'!A:C,3,0)</f>
        <v>LIC28</v>
      </c>
      <c r="G2776" s="127" t="s">
        <v>453</v>
      </c>
      <c r="H2776" s="127" t="s">
        <v>783</v>
      </c>
      <c r="I2776" s="127" t="s">
        <v>55</v>
      </c>
      <c r="J2776" s="128">
        <v>212000</v>
      </c>
      <c r="K2776" s="127" t="s">
        <v>487</v>
      </c>
      <c r="L2776" s="151">
        <v>212194</v>
      </c>
      <c r="M2776" s="128">
        <v>0</v>
      </c>
      <c r="N2776" s="127" t="s">
        <v>496</v>
      </c>
      <c r="O2776" s="127" t="s">
        <v>457</v>
      </c>
      <c r="P2776" s="128">
        <v>-573.06000000000006</v>
      </c>
      <c r="Q2776" s="128">
        <v>0</v>
      </c>
      <c r="R2776" s="128">
        <v>0</v>
      </c>
      <c r="S2776" s="128">
        <v>0</v>
      </c>
      <c r="T2776" s="128">
        <v>-573.06000000000006</v>
      </c>
      <c r="U2776" s="128">
        <v>0</v>
      </c>
      <c r="V2776" s="128">
        <v>-573.06000000000006</v>
      </c>
      <c r="W2776" s="128">
        <v>0</v>
      </c>
      <c r="X2776" s="128">
        <v>0</v>
      </c>
      <c r="Y2776" s="128">
        <v>0</v>
      </c>
      <c r="Z2776" s="128">
        <v>-573.06000000000006</v>
      </c>
      <c r="AA2776" s="128">
        <v>0</v>
      </c>
      <c r="AB2776" s="126">
        <f t="shared" si="283"/>
        <v>5.7306000000000003E-5</v>
      </c>
      <c r="AC2776" s="122" t="s">
        <v>1838</v>
      </c>
      <c r="AD2776" s="123">
        <f t="shared" si="285"/>
        <v>1983.9723217250009</v>
      </c>
    </row>
    <row r="2777" spans="1:30" ht="12.75" hidden="1" customHeight="1">
      <c r="A2777" s="125" t="str">
        <f t="shared" si="280"/>
        <v>LIC28Other Exp- Payable</v>
      </c>
      <c r="B2777" s="125">
        <f>+IFERROR(VLOOKUP(L2777,'TB mapping'!A:D,4,0),0)</f>
        <v>0</v>
      </c>
      <c r="C2777" s="125">
        <f>+IFERROR(VLOOKUP(L2777,'TB mapping'!A:C,3,0),0)</f>
        <v>0</v>
      </c>
      <c r="D2777" s="125" t="str">
        <f t="shared" si="281"/>
        <v>LIC280</v>
      </c>
      <c r="E2777" s="125" t="str">
        <f t="shared" si="282"/>
        <v>LIC280</v>
      </c>
      <c r="F2777" s="158" t="str">
        <f>+VLOOKUP(H2777,'code mapping'!A:C,3,0)</f>
        <v>LIC28</v>
      </c>
      <c r="G2777" s="127" t="s">
        <v>453</v>
      </c>
      <c r="H2777" s="127" t="s">
        <v>783</v>
      </c>
      <c r="I2777" s="127" t="s">
        <v>55</v>
      </c>
      <c r="J2777" s="128">
        <v>212000</v>
      </c>
      <c r="K2777" s="127" t="s">
        <v>487</v>
      </c>
      <c r="L2777" s="151">
        <v>212220</v>
      </c>
      <c r="M2777" s="128">
        <v>0</v>
      </c>
      <c r="N2777" s="127" t="s">
        <v>497</v>
      </c>
      <c r="O2777" s="127" t="s">
        <v>457</v>
      </c>
      <c r="P2777" s="128">
        <v>0</v>
      </c>
      <c r="Q2777" s="128">
        <v>1663493.15</v>
      </c>
      <c r="R2777" s="128">
        <v>0</v>
      </c>
      <c r="S2777" s="128">
        <v>0</v>
      </c>
      <c r="T2777" s="128">
        <v>0</v>
      </c>
      <c r="U2777" s="128">
        <v>1663493.15</v>
      </c>
      <c r="V2777" s="128">
        <v>0</v>
      </c>
      <c r="W2777" s="128">
        <v>1663493.15</v>
      </c>
      <c r="X2777" s="128">
        <v>0</v>
      </c>
      <c r="Y2777" s="128">
        <v>0</v>
      </c>
      <c r="Z2777" s="128">
        <v>0</v>
      </c>
      <c r="AA2777" s="128">
        <v>1663493.15</v>
      </c>
      <c r="AB2777" s="126">
        <f t="shared" si="283"/>
        <v>-0.166349315</v>
      </c>
      <c r="AC2777" s="122" t="s">
        <v>1838</v>
      </c>
      <c r="AD2777" s="123">
        <f t="shared" si="285"/>
        <v>1983.9723217250009</v>
      </c>
    </row>
    <row r="2778" spans="1:30" ht="12.75" hidden="1" customHeight="1">
      <c r="A2778" s="125" t="str">
        <f t="shared" si="280"/>
        <v>LIC28Expense Allocation-Liab'ity Ac</v>
      </c>
      <c r="B2778" s="125">
        <f>+IFERROR(VLOOKUP(L2778,'TB mapping'!A:D,4,0),0)</f>
        <v>0</v>
      </c>
      <c r="C2778" s="125">
        <f>+IFERROR(VLOOKUP(L2778,'TB mapping'!A:C,3,0),0)</f>
        <v>0</v>
      </c>
      <c r="D2778" s="125" t="str">
        <f t="shared" si="281"/>
        <v>LIC280</v>
      </c>
      <c r="E2778" s="125" t="str">
        <f t="shared" si="282"/>
        <v>LIC280</v>
      </c>
      <c r="F2778" s="158" t="str">
        <f>+VLOOKUP(H2778,'code mapping'!A:C,3,0)</f>
        <v>LIC28</v>
      </c>
      <c r="G2778" s="127" t="s">
        <v>453</v>
      </c>
      <c r="H2778" s="127" t="s">
        <v>783</v>
      </c>
      <c r="I2778" s="127" t="s">
        <v>55</v>
      </c>
      <c r="J2778" s="128">
        <v>212000</v>
      </c>
      <c r="K2778" s="127" t="s">
        <v>487</v>
      </c>
      <c r="L2778" s="151">
        <v>212223</v>
      </c>
      <c r="M2778" s="128">
        <v>0</v>
      </c>
      <c r="N2778" s="127" t="s">
        <v>498</v>
      </c>
      <c r="O2778" s="127" t="s">
        <v>457</v>
      </c>
      <c r="P2778" s="128">
        <v>-1182981.3999999999</v>
      </c>
      <c r="Q2778" s="128">
        <v>0</v>
      </c>
      <c r="R2778" s="128">
        <v>0</v>
      </c>
      <c r="S2778" s="128">
        <v>0</v>
      </c>
      <c r="T2778" s="128">
        <v>-1182981.3999999999</v>
      </c>
      <c r="U2778" s="128">
        <v>0</v>
      </c>
      <c r="V2778" s="128">
        <v>-1182981.3999999999</v>
      </c>
      <c r="W2778" s="128">
        <v>0</v>
      </c>
      <c r="X2778" s="128">
        <v>0</v>
      </c>
      <c r="Y2778" s="128">
        <v>0</v>
      </c>
      <c r="Z2778" s="128">
        <v>-1182981.3999999999</v>
      </c>
      <c r="AA2778" s="128">
        <v>0</v>
      </c>
      <c r="AB2778" s="126">
        <f t="shared" si="283"/>
        <v>0.11829814</v>
      </c>
      <c r="AC2778" s="122" t="s">
        <v>1838</v>
      </c>
      <c r="AD2778" s="123">
        <f t="shared" si="285"/>
        <v>1983.9723217250009</v>
      </c>
    </row>
    <row r="2779" spans="1:30" ht="12.75" hidden="1" customHeight="1">
      <c r="A2779" s="125" t="str">
        <f t="shared" si="280"/>
        <v>LIC28Exp- Additional TER Payable</v>
      </c>
      <c r="B2779" s="125">
        <f>+IFERROR(VLOOKUP(L2779,'TB mapping'!A:D,4,0),0)</f>
        <v>0</v>
      </c>
      <c r="C2779" s="125">
        <f>+IFERROR(VLOOKUP(L2779,'TB mapping'!A:C,3,0),0)</f>
        <v>0</v>
      </c>
      <c r="D2779" s="125" t="str">
        <f t="shared" si="281"/>
        <v>LIC280</v>
      </c>
      <c r="E2779" s="125" t="str">
        <f t="shared" si="282"/>
        <v>LIC280</v>
      </c>
      <c r="F2779" s="158" t="str">
        <f>+VLOOKUP(H2779,'code mapping'!A:C,3,0)</f>
        <v>LIC28</v>
      </c>
      <c r="G2779" s="127" t="s">
        <v>453</v>
      </c>
      <c r="H2779" s="127" t="s">
        <v>783</v>
      </c>
      <c r="I2779" s="127" t="s">
        <v>55</v>
      </c>
      <c r="J2779" s="128">
        <v>212000</v>
      </c>
      <c r="K2779" s="127" t="s">
        <v>487</v>
      </c>
      <c r="L2779" s="151">
        <v>212227</v>
      </c>
      <c r="M2779" s="128">
        <v>0</v>
      </c>
      <c r="N2779" s="127" t="s">
        <v>627</v>
      </c>
      <c r="O2779" s="127" t="s">
        <v>457</v>
      </c>
      <c r="P2779" s="128">
        <v>0</v>
      </c>
      <c r="Q2779" s="128">
        <v>743399.53</v>
      </c>
      <c r="R2779" s="128">
        <v>0</v>
      </c>
      <c r="S2779" s="128">
        <v>0</v>
      </c>
      <c r="T2779" s="128">
        <v>0</v>
      </c>
      <c r="U2779" s="128">
        <v>743399.53</v>
      </c>
      <c r="V2779" s="128">
        <v>0</v>
      </c>
      <c r="W2779" s="128">
        <v>743399.53</v>
      </c>
      <c r="X2779" s="128">
        <v>0</v>
      </c>
      <c r="Y2779" s="128">
        <v>0</v>
      </c>
      <c r="Z2779" s="128">
        <v>0</v>
      </c>
      <c r="AA2779" s="128">
        <v>743399.53</v>
      </c>
      <c r="AB2779" s="126">
        <f t="shared" si="283"/>
        <v>-7.4339953E-2</v>
      </c>
      <c r="AC2779" s="122" t="s">
        <v>1838</v>
      </c>
      <c r="AD2779" s="123">
        <f t="shared" si="285"/>
        <v>1983.9723217250009</v>
      </c>
    </row>
    <row r="2780" spans="1:30" ht="12.75" hidden="1" customHeight="1">
      <c r="A2780" s="125" t="str">
        <f t="shared" si="280"/>
        <v>LIC28STT Payable</v>
      </c>
      <c r="B2780" s="125">
        <f>+IFERROR(VLOOKUP(L2780,'TB mapping'!A:D,4,0),0)</f>
        <v>0</v>
      </c>
      <c r="C2780" s="125">
        <f>+IFERROR(VLOOKUP(L2780,'TB mapping'!A:C,3,0),0)</f>
        <v>0</v>
      </c>
      <c r="D2780" s="125" t="str">
        <f t="shared" si="281"/>
        <v>LIC280</v>
      </c>
      <c r="E2780" s="125" t="str">
        <f t="shared" si="282"/>
        <v>LIC280</v>
      </c>
      <c r="F2780" s="158" t="str">
        <f>+VLOOKUP(H2780,'code mapping'!A:C,3,0)</f>
        <v>LIC28</v>
      </c>
      <c r="G2780" s="127" t="s">
        <v>453</v>
      </c>
      <c r="H2780" s="127" t="s">
        <v>783</v>
      </c>
      <c r="I2780" s="127" t="s">
        <v>55</v>
      </c>
      <c r="J2780" s="128">
        <v>212000</v>
      </c>
      <c r="K2780" s="127" t="s">
        <v>487</v>
      </c>
      <c r="L2780" s="151">
        <v>212231</v>
      </c>
      <c r="M2780" s="128">
        <v>0</v>
      </c>
      <c r="N2780" s="127" t="s">
        <v>748</v>
      </c>
      <c r="O2780" s="127" t="s">
        <v>457</v>
      </c>
      <c r="P2780" s="128">
        <v>0</v>
      </c>
      <c r="Q2780" s="128">
        <v>87.21</v>
      </c>
      <c r="R2780" s="128">
        <v>0</v>
      </c>
      <c r="S2780" s="128">
        <v>0</v>
      </c>
      <c r="T2780" s="128">
        <v>0</v>
      </c>
      <c r="U2780" s="128">
        <v>87.21</v>
      </c>
      <c r="V2780" s="128">
        <v>0</v>
      </c>
      <c r="W2780" s="128">
        <v>87.21</v>
      </c>
      <c r="X2780" s="128">
        <v>0</v>
      </c>
      <c r="Y2780" s="128">
        <v>0</v>
      </c>
      <c r="Z2780" s="128">
        <v>0</v>
      </c>
      <c r="AA2780" s="128">
        <v>87.21</v>
      </c>
      <c r="AB2780" s="126">
        <f t="shared" si="283"/>
        <v>-8.721E-6</v>
      </c>
      <c r="AC2780" s="122" t="s">
        <v>1838</v>
      </c>
      <c r="AD2780" s="123">
        <f t="shared" si="285"/>
        <v>1983.9723217250009</v>
      </c>
    </row>
    <row r="2781" spans="1:30" ht="12.75" hidden="1" customHeight="1">
      <c r="A2781" s="125" t="str">
        <f t="shared" si="280"/>
        <v>LIC28Load Payable</v>
      </c>
      <c r="B2781" s="125">
        <f>+IFERROR(VLOOKUP(L2781,'TB mapping'!A:D,4,0),0)</f>
        <v>0</v>
      </c>
      <c r="C2781" s="125">
        <f>+IFERROR(VLOOKUP(L2781,'TB mapping'!A:C,3,0),0)</f>
        <v>0</v>
      </c>
      <c r="D2781" s="125" t="str">
        <f t="shared" si="281"/>
        <v>LIC280</v>
      </c>
      <c r="E2781" s="125" t="str">
        <f t="shared" si="282"/>
        <v>LIC280</v>
      </c>
      <c r="F2781" s="158" t="str">
        <f>+VLOOKUP(H2781,'code mapping'!A:C,3,0)</f>
        <v>LIC28</v>
      </c>
      <c r="G2781" s="127" t="s">
        <v>453</v>
      </c>
      <c r="H2781" s="127" t="s">
        <v>783</v>
      </c>
      <c r="I2781" s="127" t="s">
        <v>55</v>
      </c>
      <c r="J2781" s="128">
        <v>212000</v>
      </c>
      <c r="K2781" s="127" t="s">
        <v>487</v>
      </c>
      <c r="L2781" s="151">
        <v>212232</v>
      </c>
      <c r="M2781" s="128">
        <v>0</v>
      </c>
      <c r="N2781" s="127" t="s">
        <v>749</v>
      </c>
      <c r="O2781" s="127" t="s">
        <v>457</v>
      </c>
      <c r="P2781" s="128">
        <v>0</v>
      </c>
      <c r="Q2781" s="128">
        <v>4836.04</v>
      </c>
      <c r="R2781" s="128">
        <v>0</v>
      </c>
      <c r="S2781" s="128">
        <v>0</v>
      </c>
      <c r="T2781" s="128">
        <v>0</v>
      </c>
      <c r="U2781" s="128">
        <v>4836.04</v>
      </c>
      <c r="V2781" s="128">
        <v>0</v>
      </c>
      <c r="W2781" s="128">
        <v>4836.04</v>
      </c>
      <c r="X2781" s="128">
        <v>0</v>
      </c>
      <c r="Y2781" s="128">
        <v>0</v>
      </c>
      <c r="Z2781" s="128">
        <v>0</v>
      </c>
      <c r="AA2781" s="128">
        <v>4836.04</v>
      </c>
      <c r="AB2781" s="126">
        <f t="shared" si="283"/>
        <v>-4.83604E-4</v>
      </c>
      <c r="AC2781" s="122" t="s">
        <v>1838</v>
      </c>
      <c r="AD2781" s="123">
        <f t="shared" si="285"/>
        <v>1983.9723217250009</v>
      </c>
    </row>
    <row r="2782" spans="1:30" ht="12.75" hidden="1" customHeight="1">
      <c r="A2782" s="125" t="str">
        <f t="shared" si="280"/>
        <v>LIC28Investor Education Payable</v>
      </c>
      <c r="B2782" s="125">
        <f>+IFERROR(VLOOKUP(L2782,'TB mapping'!A:D,4,0),0)</f>
        <v>0</v>
      </c>
      <c r="C2782" s="125">
        <f>+IFERROR(VLOOKUP(L2782,'TB mapping'!A:C,3,0),0)</f>
        <v>0</v>
      </c>
      <c r="D2782" s="125" t="str">
        <f t="shared" si="281"/>
        <v>LIC280</v>
      </c>
      <c r="E2782" s="125" t="str">
        <f t="shared" si="282"/>
        <v>LIC280</v>
      </c>
      <c r="F2782" s="158" t="str">
        <f>+VLOOKUP(H2782,'code mapping'!A:C,3,0)</f>
        <v>LIC28</v>
      </c>
      <c r="G2782" s="127" t="s">
        <v>453</v>
      </c>
      <c r="H2782" s="127" t="s">
        <v>783</v>
      </c>
      <c r="I2782" s="127" t="s">
        <v>55</v>
      </c>
      <c r="J2782" s="128">
        <v>212000</v>
      </c>
      <c r="K2782" s="127" t="s">
        <v>487</v>
      </c>
      <c r="L2782" s="151">
        <v>212240</v>
      </c>
      <c r="M2782" s="128">
        <v>0</v>
      </c>
      <c r="N2782" s="127" t="s">
        <v>500</v>
      </c>
      <c r="O2782" s="127" t="s">
        <v>457</v>
      </c>
      <c r="P2782" s="128">
        <v>0</v>
      </c>
      <c r="Q2782" s="128">
        <v>13298.16</v>
      </c>
      <c r="R2782" s="128">
        <v>0</v>
      </c>
      <c r="S2782" s="128">
        <v>0</v>
      </c>
      <c r="T2782" s="128">
        <v>0</v>
      </c>
      <c r="U2782" s="128">
        <v>13298.16</v>
      </c>
      <c r="V2782" s="128">
        <v>0</v>
      </c>
      <c r="W2782" s="128">
        <v>13298.16</v>
      </c>
      <c r="X2782" s="128">
        <v>0</v>
      </c>
      <c r="Y2782" s="128">
        <v>0</v>
      </c>
      <c r="Z2782" s="128">
        <v>0</v>
      </c>
      <c r="AA2782" s="128">
        <v>13298.16</v>
      </c>
      <c r="AB2782" s="126">
        <f t="shared" si="283"/>
        <v>-1.3298159999999999E-3</v>
      </c>
      <c r="AC2782" s="122" t="s">
        <v>1838</v>
      </c>
      <c r="AD2782" s="123">
        <f t="shared" si="285"/>
        <v>1983.9723217250009</v>
      </c>
    </row>
    <row r="2783" spans="1:30" ht="12.75" hidden="1" customHeight="1">
      <c r="A2783" s="125" t="str">
        <f t="shared" si="280"/>
        <v>LIC28Transaction Charges Payable</v>
      </c>
      <c r="B2783" s="125">
        <f>+IFERROR(VLOOKUP(L2783,'TB mapping'!A:D,4,0),0)</f>
        <v>0</v>
      </c>
      <c r="C2783" s="125">
        <f>+IFERROR(VLOOKUP(L2783,'TB mapping'!A:C,3,0),0)</f>
        <v>0</v>
      </c>
      <c r="D2783" s="125" t="str">
        <f t="shared" si="281"/>
        <v>LIC280</v>
      </c>
      <c r="E2783" s="125" t="str">
        <f t="shared" si="282"/>
        <v>LIC280</v>
      </c>
      <c r="F2783" s="158" t="str">
        <f>+VLOOKUP(H2783,'code mapping'!A:C,3,0)</f>
        <v>LIC28</v>
      </c>
      <c r="G2783" s="127" t="s">
        <v>453</v>
      </c>
      <c r="H2783" s="127" t="s">
        <v>783</v>
      </c>
      <c r="I2783" s="127" t="s">
        <v>55</v>
      </c>
      <c r="J2783" s="128">
        <v>212000</v>
      </c>
      <c r="K2783" s="127" t="s">
        <v>487</v>
      </c>
      <c r="L2783" s="151">
        <v>212247</v>
      </c>
      <c r="M2783" s="128">
        <v>0</v>
      </c>
      <c r="N2783" s="127" t="s">
        <v>501</v>
      </c>
      <c r="O2783" s="127" t="s">
        <v>457</v>
      </c>
      <c r="P2783" s="128">
        <v>0</v>
      </c>
      <c r="Q2783" s="128">
        <v>15789</v>
      </c>
      <c r="R2783" s="128">
        <v>0</v>
      </c>
      <c r="S2783" s="128">
        <v>0</v>
      </c>
      <c r="T2783" s="128">
        <v>0</v>
      </c>
      <c r="U2783" s="128">
        <v>15789</v>
      </c>
      <c r="V2783" s="128">
        <v>0</v>
      </c>
      <c r="W2783" s="128">
        <v>15789</v>
      </c>
      <c r="X2783" s="128">
        <v>0</v>
      </c>
      <c r="Y2783" s="128">
        <v>0</v>
      </c>
      <c r="Z2783" s="128">
        <v>0</v>
      </c>
      <c r="AA2783" s="128">
        <v>15789</v>
      </c>
      <c r="AB2783" s="126">
        <f t="shared" si="283"/>
        <v>-1.5789000000000001E-3</v>
      </c>
      <c r="AC2783" s="122" t="s">
        <v>1838</v>
      </c>
      <c r="AD2783" s="123">
        <f t="shared" si="285"/>
        <v>1983.9723217250009</v>
      </c>
    </row>
    <row r="2784" spans="1:30" ht="12.75" hidden="1" customHeight="1">
      <c r="A2784" s="125" t="str">
        <f t="shared" si="280"/>
        <v>LIC28Brokerage &amp; Dist Exp Payable</v>
      </c>
      <c r="B2784" s="125">
        <f>+IFERROR(VLOOKUP(L2784,'TB mapping'!A:D,4,0),0)</f>
        <v>0</v>
      </c>
      <c r="C2784" s="125">
        <f>+IFERROR(VLOOKUP(L2784,'TB mapping'!A:C,3,0),0)</f>
        <v>0</v>
      </c>
      <c r="D2784" s="125" t="str">
        <f t="shared" si="281"/>
        <v>LIC280</v>
      </c>
      <c r="E2784" s="125" t="str">
        <f t="shared" si="282"/>
        <v>LIC280</v>
      </c>
      <c r="F2784" s="158" t="str">
        <f>+VLOOKUP(H2784,'code mapping'!A:C,3,0)</f>
        <v>LIC28</v>
      </c>
      <c r="G2784" s="127" t="s">
        <v>453</v>
      </c>
      <c r="H2784" s="127" t="s">
        <v>783</v>
      </c>
      <c r="I2784" s="127" t="s">
        <v>55</v>
      </c>
      <c r="J2784" s="128">
        <v>212000</v>
      </c>
      <c r="K2784" s="127" t="s">
        <v>487</v>
      </c>
      <c r="L2784" s="151">
        <v>212255</v>
      </c>
      <c r="M2784" s="128">
        <v>0</v>
      </c>
      <c r="N2784" s="127" t="s">
        <v>503</v>
      </c>
      <c r="O2784" s="127" t="s">
        <v>457</v>
      </c>
      <c r="P2784" s="128">
        <v>0</v>
      </c>
      <c r="Q2784" s="128">
        <v>4106193.03</v>
      </c>
      <c r="R2784" s="128">
        <v>0</v>
      </c>
      <c r="S2784" s="128">
        <v>0</v>
      </c>
      <c r="T2784" s="128">
        <v>0</v>
      </c>
      <c r="U2784" s="128">
        <v>4106193.03</v>
      </c>
      <c r="V2784" s="128">
        <v>0</v>
      </c>
      <c r="W2784" s="128">
        <v>4106193.03</v>
      </c>
      <c r="X2784" s="128">
        <v>0</v>
      </c>
      <c r="Y2784" s="128">
        <v>0</v>
      </c>
      <c r="Z2784" s="128">
        <v>0</v>
      </c>
      <c r="AA2784" s="128">
        <v>4106193.03</v>
      </c>
      <c r="AB2784" s="126">
        <f t="shared" si="283"/>
        <v>-0.41061930299999999</v>
      </c>
      <c r="AC2784" s="122" t="s">
        <v>1838</v>
      </c>
      <c r="AD2784" s="123">
        <f t="shared" si="285"/>
        <v>1983.9723217250009</v>
      </c>
    </row>
    <row r="2785" spans="1:30" ht="12.75" hidden="1" customHeight="1">
      <c r="A2785" s="125" t="str">
        <f t="shared" si="280"/>
        <v>LIC28Upfront Brk &amp; Trail Paid-Liab</v>
      </c>
      <c r="B2785" s="125">
        <f>+IFERROR(VLOOKUP(L2785,'TB mapping'!A:D,4,0),0)</f>
        <v>0</v>
      </c>
      <c r="C2785" s="125">
        <f>+IFERROR(VLOOKUP(L2785,'TB mapping'!A:C,3,0),0)</f>
        <v>0</v>
      </c>
      <c r="D2785" s="125" t="str">
        <f t="shared" si="281"/>
        <v>LIC280</v>
      </c>
      <c r="E2785" s="125" t="str">
        <f t="shared" si="282"/>
        <v>LIC280</v>
      </c>
      <c r="F2785" s="158" t="str">
        <f>+VLOOKUP(H2785,'code mapping'!A:C,3,0)</f>
        <v>LIC28</v>
      </c>
      <c r="G2785" s="127" t="s">
        <v>453</v>
      </c>
      <c r="H2785" s="127" t="s">
        <v>783</v>
      </c>
      <c r="I2785" s="127" t="s">
        <v>55</v>
      </c>
      <c r="J2785" s="128">
        <v>212000</v>
      </c>
      <c r="K2785" s="127" t="s">
        <v>487</v>
      </c>
      <c r="L2785" s="151">
        <v>212257</v>
      </c>
      <c r="M2785" s="128">
        <v>0</v>
      </c>
      <c r="N2785" s="127" t="s">
        <v>504</v>
      </c>
      <c r="O2785" s="127" t="s">
        <v>457</v>
      </c>
      <c r="P2785" s="128">
        <v>0</v>
      </c>
      <c r="Q2785" s="128">
        <v>2379.37</v>
      </c>
      <c r="R2785" s="128">
        <v>0</v>
      </c>
      <c r="S2785" s="128">
        <v>0</v>
      </c>
      <c r="T2785" s="128">
        <v>0</v>
      </c>
      <c r="U2785" s="128">
        <v>2379.37</v>
      </c>
      <c r="V2785" s="128">
        <v>0</v>
      </c>
      <c r="W2785" s="128">
        <v>2379.37</v>
      </c>
      <c r="X2785" s="128">
        <v>0</v>
      </c>
      <c r="Y2785" s="128">
        <v>0</v>
      </c>
      <c r="Z2785" s="128">
        <v>0</v>
      </c>
      <c r="AA2785" s="128">
        <v>2379.37</v>
      </c>
      <c r="AB2785" s="126">
        <f t="shared" si="283"/>
        <v>-2.37937E-4</v>
      </c>
      <c r="AC2785" s="122" t="s">
        <v>1838</v>
      </c>
      <c r="AD2785" s="123">
        <f t="shared" si="285"/>
        <v>1983.9723217250009</v>
      </c>
    </row>
    <row r="2786" spans="1:30" ht="12.75" hidden="1" customHeight="1">
      <c r="A2786" s="125" t="str">
        <f t="shared" si="280"/>
        <v>LIC28Payable CGST on Mfees</v>
      </c>
      <c r="B2786" s="125">
        <f>+IFERROR(VLOOKUP(L2786,'TB mapping'!A:D,4,0),0)</f>
        <v>0</v>
      </c>
      <c r="C2786" s="125">
        <f>+IFERROR(VLOOKUP(L2786,'TB mapping'!A:C,3,0),0)</f>
        <v>0</v>
      </c>
      <c r="D2786" s="125" t="str">
        <f t="shared" si="281"/>
        <v>LIC280</v>
      </c>
      <c r="E2786" s="125" t="str">
        <f t="shared" si="282"/>
        <v>LIC280</v>
      </c>
      <c r="F2786" s="158" t="str">
        <f>+VLOOKUP(H2786,'code mapping'!A:C,3,0)</f>
        <v>LIC28</v>
      </c>
      <c r="G2786" s="127" t="s">
        <v>453</v>
      </c>
      <c r="H2786" s="127" t="s">
        <v>783</v>
      </c>
      <c r="I2786" s="127" t="s">
        <v>55</v>
      </c>
      <c r="J2786" s="128">
        <v>212000</v>
      </c>
      <c r="K2786" s="127" t="s">
        <v>487</v>
      </c>
      <c r="L2786" s="151">
        <v>212271</v>
      </c>
      <c r="M2786" s="128">
        <v>0</v>
      </c>
      <c r="N2786" s="127" t="s">
        <v>505</v>
      </c>
      <c r="O2786" s="127" t="s">
        <v>457</v>
      </c>
      <c r="P2786" s="128">
        <v>0</v>
      </c>
      <c r="Q2786" s="128">
        <v>28015.34</v>
      </c>
      <c r="R2786" s="128">
        <v>0</v>
      </c>
      <c r="S2786" s="128">
        <v>0</v>
      </c>
      <c r="T2786" s="128">
        <v>0</v>
      </c>
      <c r="U2786" s="128">
        <v>28015.34</v>
      </c>
      <c r="V2786" s="128">
        <v>0</v>
      </c>
      <c r="W2786" s="128">
        <v>28015.34</v>
      </c>
      <c r="X2786" s="128">
        <v>0</v>
      </c>
      <c r="Y2786" s="128">
        <v>0</v>
      </c>
      <c r="Z2786" s="128">
        <v>0</v>
      </c>
      <c r="AA2786" s="128">
        <v>28015.34</v>
      </c>
      <c r="AB2786" s="126">
        <f t="shared" si="283"/>
        <v>-2.8015340000000001E-3</v>
      </c>
      <c r="AC2786" s="122" t="s">
        <v>1838</v>
      </c>
      <c r="AD2786" s="123">
        <f t="shared" si="285"/>
        <v>1983.9723217250009</v>
      </c>
    </row>
    <row r="2787" spans="1:30" ht="12.75" hidden="1" customHeight="1">
      <c r="A2787" s="125" t="str">
        <f t="shared" si="280"/>
        <v>LIC28Payable SGST on Mfees</v>
      </c>
      <c r="B2787" s="125">
        <f>+IFERROR(VLOOKUP(L2787,'TB mapping'!A:D,4,0),0)</f>
        <v>0</v>
      </c>
      <c r="C2787" s="125">
        <f>+IFERROR(VLOOKUP(L2787,'TB mapping'!A:C,3,0),0)</f>
        <v>0</v>
      </c>
      <c r="D2787" s="125" t="str">
        <f t="shared" si="281"/>
        <v>LIC280</v>
      </c>
      <c r="E2787" s="125" t="str">
        <f t="shared" si="282"/>
        <v>LIC280</v>
      </c>
      <c r="F2787" s="158" t="str">
        <f>+VLOOKUP(H2787,'code mapping'!A:C,3,0)</f>
        <v>LIC28</v>
      </c>
      <c r="G2787" s="127" t="s">
        <v>453</v>
      </c>
      <c r="H2787" s="127" t="s">
        <v>783</v>
      </c>
      <c r="I2787" s="127" t="s">
        <v>55</v>
      </c>
      <c r="J2787" s="128">
        <v>212000</v>
      </c>
      <c r="K2787" s="127" t="s">
        <v>487</v>
      </c>
      <c r="L2787" s="151">
        <v>212272</v>
      </c>
      <c r="M2787" s="128">
        <v>0</v>
      </c>
      <c r="N2787" s="127" t="s">
        <v>506</v>
      </c>
      <c r="O2787" s="127" t="s">
        <v>457</v>
      </c>
      <c r="P2787" s="128">
        <v>0</v>
      </c>
      <c r="Q2787" s="128">
        <v>28015.34</v>
      </c>
      <c r="R2787" s="128">
        <v>0</v>
      </c>
      <c r="S2787" s="128">
        <v>0</v>
      </c>
      <c r="T2787" s="128">
        <v>0</v>
      </c>
      <c r="U2787" s="128">
        <v>28015.34</v>
      </c>
      <c r="V2787" s="128">
        <v>0</v>
      </c>
      <c r="W2787" s="128">
        <v>28015.34</v>
      </c>
      <c r="X2787" s="128">
        <v>0</v>
      </c>
      <c r="Y2787" s="128">
        <v>0</v>
      </c>
      <c r="Z2787" s="128">
        <v>0</v>
      </c>
      <c r="AA2787" s="128">
        <v>28015.34</v>
      </c>
      <c r="AB2787" s="126">
        <f t="shared" si="283"/>
        <v>-2.8015340000000001E-3</v>
      </c>
      <c r="AC2787" s="122" t="s">
        <v>1838</v>
      </c>
      <c r="AD2787" s="123">
        <f t="shared" si="285"/>
        <v>1983.9723217250009</v>
      </c>
    </row>
    <row r="2788" spans="1:30" ht="12.75" hidden="1" customHeight="1">
      <c r="A2788" s="125" t="str">
        <f t="shared" si="280"/>
        <v>LIC28Payable -Inv Educ Fund-AMFI</v>
      </c>
      <c r="B2788" s="125">
        <f>+IFERROR(VLOOKUP(L2788,'TB mapping'!A:D,4,0),0)</f>
        <v>0</v>
      </c>
      <c r="C2788" s="125">
        <f>+IFERROR(VLOOKUP(L2788,'TB mapping'!A:C,3,0),0)</f>
        <v>0</v>
      </c>
      <c r="D2788" s="125" t="str">
        <f t="shared" si="281"/>
        <v>LIC280</v>
      </c>
      <c r="E2788" s="125" t="str">
        <f t="shared" si="282"/>
        <v>LIC280</v>
      </c>
      <c r="F2788" s="158" t="str">
        <f>+VLOOKUP(H2788,'code mapping'!A:C,3,0)</f>
        <v>LIC28</v>
      </c>
      <c r="G2788" s="127" t="s">
        <v>453</v>
      </c>
      <c r="H2788" s="127" t="s">
        <v>783</v>
      </c>
      <c r="I2788" s="127" t="s">
        <v>55</v>
      </c>
      <c r="J2788" s="128">
        <v>212000</v>
      </c>
      <c r="K2788" s="127" t="s">
        <v>487</v>
      </c>
      <c r="L2788" s="151">
        <v>213166</v>
      </c>
      <c r="M2788" s="128">
        <v>0</v>
      </c>
      <c r="N2788" s="127" t="s">
        <v>507</v>
      </c>
      <c r="O2788" s="127" t="s">
        <v>457</v>
      </c>
      <c r="P2788" s="128">
        <v>0</v>
      </c>
      <c r="Q2788" s="128">
        <v>13298.16</v>
      </c>
      <c r="R2788" s="128">
        <v>0</v>
      </c>
      <c r="S2788" s="128">
        <v>0</v>
      </c>
      <c r="T2788" s="128">
        <v>0</v>
      </c>
      <c r="U2788" s="128">
        <v>13298.16</v>
      </c>
      <c r="V2788" s="128">
        <v>0</v>
      </c>
      <c r="W2788" s="128">
        <v>13298.16</v>
      </c>
      <c r="X2788" s="128">
        <v>0</v>
      </c>
      <c r="Y2788" s="128">
        <v>0</v>
      </c>
      <c r="Z2788" s="128">
        <v>0</v>
      </c>
      <c r="AA2788" s="128">
        <v>13298.16</v>
      </c>
      <c r="AB2788" s="126">
        <f t="shared" si="283"/>
        <v>-1.3298159999999999E-3</v>
      </c>
      <c r="AC2788" s="122" t="s">
        <v>1838</v>
      </c>
      <c r="AD2788" s="123">
        <f t="shared" si="285"/>
        <v>1983.9723217250009</v>
      </c>
    </row>
    <row r="2789" spans="1:30" ht="12.75" hidden="1" customHeight="1">
      <c r="A2789" s="125" t="str">
        <f t="shared" si="280"/>
        <v>LIC28Management Fee Payable</v>
      </c>
      <c r="B2789" s="125">
        <f>+IFERROR(VLOOKUP(L2789,'TB mapping'!A:D,4,0),0)</f>
        <v>0</v>
      </c>
      <c r="C2789" s="125">
        <f>+IFERROR(VLOOKUP(L2789,'TB mapping'!A:C,3,0),0)</f>
        <v>0</v>
      </c>
      <c r="D2789" s="125" t="str">
        <f t="shared" si="281"/>
        <v>LIC280</v>
      </c>
      <c r="E2789" s="125" t="str">
        <f t="shared" si="282"/>
        <v>LIC280</v>
      </c>
      <c r="F2789" s="158" t="str">
        <f>+VLOOKUP(H2789,'code mapping'!A:C,3,0)</f>
        <v>LIC28</v>
      </c>
      <c r="G2789" s="127" t="s">
        <v>453</v>
      </c>
      <c r="H2789" s="127" t="s">
        <v>783</v>
      </c>
      <c r="I2789" s="127" t="s">
        <v>55</v>
      </c>
      <c r="J2789" s="128">
        <v>213000</v>
      </c>
      <c r="K2789" s="127" t="s">
        <v>508</v>
      </c>
      <c r="L2789" s="151">
        <v>213500</v>
      </c>
      <c r="M2789" s="128">
        <v>0</v>
      </c>
      <c r="N2789" s="127" t="s">
        <v>509</v>
      </c>
      <c r="O2789" s="127" t="s">
        <v>457</v>
      </c>
      <c r="P2789" s="128">
        <v>0</v>
      </c>
      <c r="Q2789" s="128">
        <v>311247.68</v>
      </c>
      <c r="R2789" s="128">
        <v>0</v>
      </c>
      <c r="S2789" s="128">
        <v>0</v>
      </c>
      <c r="T2789" s="128">
        <v>0</v>
      </c>
      <c r="U2789" s="128">
        <v>311247.68</v>
      </c>
      <c r="V2789" s="128">
        <v>0</v>
      </c>
      <c r="W2789" s="128">
        <v>311247.68</v>
      </c>
      <c r="X2789" s="128">
        <v>0</v>
      </c>
      <c r="Y2789" s="128">
        <v>0</v>
      </c>
      <c r="Z2789" s="128">
        <v>0</v>
      </c>
      <c r="AA2789" s="128">
        <v>311247.68</v>
      </c>
      <c r="AB2789" s="126">
        <f t="shared" si="283"/>
        <v>-3.1124768000000001E-2</v>
      </c>
      <c r="AC2789" s="122" t="s">
        <v>1838</v>
      </c>
      <c r="AD2789" s="123">
        <f t="shared" si="285"/>
        <v>1983.9723217250009</v>
      </c>
    </row>
    <row r="2790" spans="1:30" ht="12.75" hidden="1" customHeight="1">
      <c r="A2790" s="125" t="str">
        <f t="shared" si="280"/>
        <v>LIC28Other Adjustment A/c.</v>
      </c>
      <c r="B2790" s="125">
        <f>+IFERROR(VLOOKUP(L2790,'TB mapping'!A:D,4,0),0)</f>
        <v>0</v>
      </c>
      <c r="C2790" s="125">
        <f>+IFERROR(VLOOKUP(L2790,'TB mapping'!A:C,3,0),0)</f>
        <v>0</v>
      </c>
      <c r="D2790" s="125" t="str">
        <f t="shared" si="281"/>
        <v>LIC280</v>
      </c>
      <c r="E2790" s="125" t="str">
        <f t="shared" si="282"/>
        <v>LIC280</v>
      </c>
      <c r="F2790" s="158" t="str">
        <f>+VLOOKUP(H2790,'code mapping'!A:C,3,0)</f>
        <v>LIC28</v>
      </c>
      <c r="G2790" s="127" t="s">
        <v>453</v>
      </c>
      <c r="H2790" s="127" t="s">
        <v>783</v>
      </c>
      <c r="I2790" s="127" t="s">
        <v>55</v>
      </c>
      <c r="J2790" s="128">
        <v>220000</v>
      </c>
      <c r="K2790" s="127" t="s">
        <v>510</v>
      </c>
      <c r="L2790" s="151">
        <v>190000</v>
      </c>
      <c r="M2790" s="128">
        <v>0</v>
      </c>
      <c r="N2790" s="127" t="s">
        <v>511</v>
      </c>
      <c r="O2790" s="127" t="s">
        <v>457</v>
      </c>
      <c r="P2790" s="128">
        <v>-1.88</v>
      </c>
      <c r="Q2790" s="128">
        <v>0</v>
      </c>
      <c r="R2790" s="128">
        <v>0</v>
      </c>
      <c r="S2790" s="128">
        <v>0</v>
      </c>
      <c r="T2790" s="128">
        <v>-1.88</v>
      </c>
      <c r="U2790" s="128">
        <v>0</v>
      </c>
      <c r="V2790" s="128">
        <v>-1.88</v>
      </c>
      <c r="W2790" s="128">
        <v>0</v>
      </c>
      <c r="X2790" s="128">
        <v>0</v>
      </c>
      <c r="Y2790" s="128">
        <v>0</v>
      </c>
      <c r="Z2790" s="128">
        <v>-1.88</v>
      </c>
      <c r="AA2790" s="128">
        <v>0</v>
      </c>
      <c r="AB2790" s="126">
        <f t="shared" si="283"/>
        <v>1.8799999999999999E-7</v>
      </c>
      <c r="AC2790" s="122" t="s">
        <v>1838</v>
      </c>
      <c r="AD2790" s="123">
        <f t="shared" si="285"/>
        <v>1983.9723217250009</v>
      </c>
    </row>
    <row r="2791" spans="1:30" ht="12.75" hidden="1" customHeight="1">
      <c r="A2791" s="125" t="str">
        <f t="shared" si="280"/>
        <v>LIC28Prov For Withholding Brokerage</v>
      </c>
      <c r="B2791" s="125">
        <f>+IFERROR(VLOOKUP(L2791,'TB mapping'!A:D,4,0),0)</f>
        <v>0</v>
      </c>
      <c r="C2791" s="125">
        <f>+IFERROR(VLOOKUP(L2791,'TB mapping'!A:C,3,0),0)</f>
        <v>0</v>
      </c>
      <c r="D2791" s="125" t="str">
        <f t="shared" si="281"/>
        <v>LIC280</v>
      </c>
      <c r="E2791" s="125" t="str">
        <f t="shared" si="282"/>
        <v>LIC280</v>
      </c>
      <c r="F2791" s="158" t="str">
        <f>+VLOOKUP(H2791,'code mapping'!A:C,3,0)</f>
        <v>LIC28</v>
      </c>
      <c r="G2791" s="127" t="s">
        <v>453</v>
      </c>
      <c r="H2791" s="127" t="s">
        <v>783</v>
      </c>
      <c r="I2791" s="127" t="s">
        <v>55</v>
      </c>
      <c r="J2791" s="128">
        <v>220000</v>
      </c>
      <c r="K2791" s="127" t="s">
        <v>510</v>
      </c>
      <c r="L2791" s="151">
        <v>210162</v>
      </c>
      <c r="M2791" s="128">
        <v>0</v>
      </c>
      <c r="N2791" s="127" t="s">
        <v>512</v>
      </c>
      <c r="O2791" s="127" t="s">
        <v>457</v>
      </c>
      <c r="P2791" s="128">
        <v>0</v>
      </c>
      <c r="Q2791" s="128">
        <v>197053.3</v>
      </c>
      <c r="R2791" s="128">
        <v>0</v>
      </c>
      <c r="S2791" s="128">
        <v>0</v>
      </c>
      <c r="T2791" s="128">
        <v>0</v>
      </c>
      <c r="U2791" s="128">
        <v>197053.3</v>
      </c>
      <c r="V2791" s="128">
        <v>0</v>
      </c>
      <c r="W2791" s="128">
        <v>197053.3</v>
      </c>
      <c r="X2791" s="128">
        <v>0</v>
      </c>
      <c r="Y2791" s="128">
        <v>0</v>
      </c>
      <c r="Z2791" s="128">
        <v>0</v>
      </c>
      <c r="AA2791" s="128">
        <v>197053.3</v>
      </c>
      <c r="AB2791" s="126">
        <f t="shared" si="283"/>
        <v>-1.970533E-2</v>
      </c>
      <c r="AC2791" s="122" t="s">
        <v>1838</v>
      </c>
      <c r="AD2791" s="123">
        <f t="shared" si="285"/>
        <v>1983.9723217250009</v>
      </c>
    </row>
    <row r="2792" spans="1:30" ht="12.75" hidden="1" customHeight="1">
      <c r="A2792" s="125" t="str">
        <f t="shared" si="280"/>
        <v>LIC28Prov  Withholding Brok 2016-17</v>
      </c>
      <c r="B2792" s="125">
        <f>+IFERROR(VLOOKUP(L2792,'TB mapping'!A:D,4,0),0)</f>
        <v>0</v>
      </c>
      <c r="C2792" s="125">
        <f>+IFERROR(VLOOKUP(L2792,'TB mapping'!A:C,3,0),0)</f>
        <v>0</v>
      </c>
      <c r="D2792" s="125" t="str">
        <f t="shared" si="281"/>
        <v>LIC280</v>
      </c>
      <c r="E2792" s="125" t="str">
        <f t="shared" si="282"/>
        <v>LIC280</v>
      </c>
      <c r="F2792" s="158" t="str">
        <f>+VLOOKUP(H2792,'code mapping'!A:C,3,0)</f>
        <v>LIC28</v>
      </c>
      <c r="G2792" s="127" t="s">
        <v>453</v>
      </c>
      <c r="H2792" s="127" t="s">
        <v>783</v>
      </c>
      <c r="I2792" s="127" t="s">
        <v>55</v>
      </c>
      <c r="J2792" s="128">
        <v>220000</v>
      </c>
      <c r="K2792" s="127" t="s">
        <v>510</v>
      </c>
      <c r="L2792" s="151">
        <v>210163</v>
      </c>
      <c r="M2792" s="128">
        <v>0</v>
      </c>
      <c r="N2792" s="127" t="s">
        <v>513</v>
      </c>
      <c r="O2792" s="127" t="s">
        <v>457</v>
      </c>
      <c r="P2792" s="128">
        <v>0</v>
      </c>
      <c r="Q2792" s="128">
        <v>268092.41000000003</v>
      </c>
      <c r="R2792" s="128">
        <v>0</v>
      </c>
      <c r="S2792" s="128">
        <v>0</v>
      </c>
      <c r="T2792" s="128">
        <v>0</v>
      </c>
      <c r="U2792" s="128">
        <v>268092.41000000003</v>
      </c>
      <c r="V2792" s="128">
        <v>0</v>
      </c>
      <c r="W2792" s="128">
        <v>268092.41000000003</v>
      </c>
      <c r="X2792" s="128">
        <v>0</v>
      </c>
      <c r="Y2792" s="128">
        <v>0</v>
      </c>
      <c r="Z2792" s="128">
        <v>0</v>
      </c>
      <c r="AA2792" s="128">
        <v>268092.41000000003</v>
      </c>
      <c r="AB2792" s="126">
        <f t="shared" si="283"/>
        <v>-2.6809241000000004E-2</v>
      </c>
      <c r="AC2792" s="122" t="s">
        <v>1838</v>
      </c>
      <c r="AD2792" s="123">
        <f t="shared" si="285"/>
        <v>1983.9723217250009</v>
      </c>
    </row>
    <row r="2793" spans="1:30" ht="12.75" hidden="1" customHeight="1">
      <c r="A2793" s="125" t="str">
        <f t="shared" si="280"/>
        <v>LIC28Unit Capital</v>
      </c>
      <c r="B2793" s="125">
        <f>+IFERROR(VLOOKUP(L2793,'TB mapping'!A:D,4,0),0)</f>
        <v>0</v>
      </c>
      <c r="C2793" s="125">
        <f>+IFERROR(VLOOKUP(L2793,'TB mapping'!A:C,3,0),0)</f>
        <v>0</v>
      </c>
      <c r="D2793" s="125" t="str">
        <f t="shared" si="281"/>
        <v>LIC280</v>
      </c>
      <c r="E2793" s="125" t="str">
        <f t="shared" si="282"/>
        <v>LIC280</v>
      </c>
      <c r="F2793" s="158" t="str">
        <f>+VLOOKUP(H2793,'code mapping'!A:C,3,0)</f>
        <v>LIC28</v>
      </c>
      <c r="G2793" s="127" t="s">
        <v>453</v>
      </c>
      <c r="H2793" s="127" t="s">
        <v>783</v>
      </c>
      <c r="I2793" s="127" t="s">
        <v>55</v>
      </c>
      <c r="J2793" s="128">
        <v>301000</v>
      </c>
      <c r="K2793" s="127" t="s">
        <v>514</v>
      </c>
      <c r="L2793" s="151">
        <v>310000</v>
      </c>
      <c r="M2793" s="128">
        <v>0</v>
      </c>
      <c r="N2793" s="127" t="s">
        <v>515</v>
      </c>
      <c r="O2793" s="127" t="s">
        <v>457</v>
      </c>
      <c r="P2793" s="128">
        <v>0</v>
      </c>
      <c r="Q2793" s="128">
        <v>354741673.32999998</v>
      </c>
      <c r="R2793" s="128">
        <v>0</v>
      </c>
      <c r="S2793" s="128">
        <v>0</v>
      </c>
      <c r="T2793" s="128">
        <v>0</v>
      </c>
      <c r="U2793" s="128">
        <v>354741673.32999998</v>
      </c>
      <c r="V2793" s="128">
        <v>0</v>
      </c>
      <c r="W2793" s="128">
        <v>354741673.32999998</v>
      </c>
      <c r="X2793" s="128">
        <v>0</v>
      </c>
      <c r="Y2793" s="128">
        <v>0</v>
      </c>
      <c r="Z2793" s="128">
        <v>0</v>
      </c>
      <c r="AA2793" s="128">
        <v>354741673.32999998</v>
      </c>
      <c r="AB2793" s="126">
        <f t="shared" si="283"/>
        <v>-35.474167332999997</v>
      </c>
      <c r="AC2793" s="122" t="s">
        <v>1838</v>
      </c>
      <c r="AD2793" s="123">
        <f t="shared" si="285"/>
        <v>1983.9723217250009</v>
      </c>
    </row>
    <row r="2794" spans="1:30" ht="12.75" hidden="1" customHeight="1">
      <c r="A2794" s="125" t="str">
        <f t="shared" si="280"/>
        <v>LIC28Unit Premium Reserve- RG</v>
      </c>
      <c r="B2794" s="125">
        <f>+IFERROR(VLOOKUP(L2794,'TB mapping'!A:D,4,0),0)</f>
        <v>0</v>
      </c>
      <c r="C2794" s="125">
        <f>+IFERROR(VLOOKUP(L2794,'TB mapping'!A:C,3,0),0)</f>
        <v>0</v>
      </c>
      <c r="D2794" s="125" t="str">
        <f t="shared" si="281"/>
        <v>LIC280</v>
      </c>
      <c r="E2794" s="125" t="str">
        <f t="shared" si="282"/>
        <v>LIC280</v>
      </c>
      <c r="F2794" s="158" t="str">
        <f>+VLOOKUP(H2794,'code mapping'!A:C,3,0)</f>
        <v>LIC28</v>
      </c>
      <c r="G2794" s="127" t="s">
        <v>453</v>
      </c>
      <c r="H2794" s="127" t="s">
        <v>783</v>
      </c>
      <c r="I2794" s="127" t="s">
        <v>55</v>
      </c>
      <c r="J2794" s="128">
        <v>303000</v>
      </c>
      <c r="K2794" s="127" t="s">
        <v>516</v>
      </c>
      <c r="L2794" s="151">
        <v>303201</v>
      </c>
      <c r="M2794" s="128">
        <v>0</v>
      </c>
      <c r="N2794" s="127" t="s">
        <v>517</v>
      </c>
      <c r="O2794" s="127" t="s">
        <v>457</v>
      </c>
      <c r="P2794" s="128">
        <v>0</v>
      </c>
      <c r="Q2794" s="128">
        <v>428696927.02999997</v>
      </c>
      <c r="R2794" s="128">
        <v>0</v>
      </c>
      <c r="S2794" s="128">
        <v>0</v>
      </c>
      <c r="T2794" s="128">
        <v>0</v>
      </c>
      <c r="U2794" s="128">
        <v>428696927.02999997</v>
      </c>
      <c r="V2794" s="128">
        <v>0</v>
      </c>
      <c r="W2794" s="128">
        <v>428696927.02999997</v>
      </c>
      <c r="X2794" s="128">
        <v>0</v>
      </c>
      <c r="Y2794" s="128">
        <v>0</v>
      </c>
      <c r="Z2794" s="128">
        <v>0</v>
      </c>
      <c r="AA2794" s="128">
        <v>428696927.02999997</v>
      </c>
      <c r="AB2794" s="126">
        <f t="shared" si="283"/>
        <v>-42.869692702999998</v>
      </c>
      <c r="AC2794" s="122" t="s">
        <v>1838</v>
      </c>
      <c r="AD2794" s="123">
        <f t="shared" si="285"/>
        <v>1983.9723217250009</v>
      </c>
    </row>
    <row r="2795" spans="1:30" ht="12.75" hidden="1" customHeight="1">
      <c r="A2795" s="125" t="str">
        <f t="shared" si="280"/>
        <v>LIC28Unit Premium Reserve- RD</v>
      </c>
      <c r="B2795" s="125">
        <f>+IFERROR(VLOOKUP(L2795,'TB mapping'!A:D,4,0),0)</f>
        <v>0</v>
      </c>
      <c r="C2795" s="125">
        <f>+IFERROR(VLOOKUP(L2795,'TB mapping'!A:C,3,0),0)</f>
        <v>0</v>
      </c>
      <c r="D2795" s="125" t="str">
        <f t="shared" si="281"/>
        <v>LIC280</v>
      </c>
      <c r="E2795" s="125" t="str">
        <f t="shared" si="282"/>
        <v>LIC280</v>
      </c>
      <c r="F2795" s="158" t="str">
        <f>+VLOOKUP(H2795,'code mapping'!A:C,3,0)</f>
        <v>LIC28</v>
      </c>
      <c r="G2795" s="127" t="s">
        <v>453</v>
      </c>
      <c r="H2795" s="127" t="s">
        <v>783</v>
      </c>
      <c r="I2795" s="127" t="s">
        <v>55</v>
      </c>
      <c r="J2795" s="128">
        <v>303000</v>
      </c>
      <c r="K2795" s="127" t="s">
        <v>516</v>
      </c>
      <c r="L2795" s="151">
        <v>303202</v>
      </c>
      <c r="M2795" s="128">
        <v>0</v>
      </c>
      <c r="N2795" s="127" t="s">
        <v>518</v>
      </c>
      <c r="O2795" s="127" t="s">
        <v>457</v>
      </c>
      <c r="P2795" s="128">
        <v>0</v>
      </c>
      <c r="Q2795" s="128">
        <v>14338086.5</v>
      </c>
      <c r="R2795" s="128">
        <v>0</v>
      </c>
      <c r="S2795" s="128">
        <v>0</v>
      </c>
      <c r="T2795" s="128">
        <v>0</v>
      </c>
      <c r="U2795" s="128">
        <v>14338086.5</v>
      </c>
      <c r="V2795" s="128">
        <v>0</v>
      </c>
      <c r="W2795" s="128">
        <v>14338086.5</v>
      </c>
      <c r="X2795" s="128">
        <v>0</v>
      </c>
      <c r="Y2795" s="128">
        <v>0</v>
      </c>
      <c r="Z2795" s="128">
        <v>0</v>
      </c>
      <c r="AA2795" s="128">
        <v>14338086.5</v>
      </c>
      <c r="AB2795" s="126">
        <f t="shared" si="283"/>
        <v>-1.43380865</v>
      </c>
      <c r="AC2795" s="122" t="s">
        <v>1838</v>
      </c>
      <c r="AD2795" s="123">
        <f t="shared" si="285"/>
        <v>1983.9723217250009</v>
      </c>
    </row>
    <row r="2796" spans="1:30" ht="12.75" hidden="1" customHeight="1">
      <c r="A2796" s="125" t="str">
        <f t="shared" si="280"/>
        <v>LIC28Unit Premium Reserve-GDP</v>
      </c>
      <c r="B2796" s="125">
        <f>+IFERROR(VLOOKUP(L2796,'TB mapping'!A:D,4,0),0)</f>
        <v>0</v>
      </c>
      <c r="C2796" s="125">
        <f>+IFERROR(VLOOKUP(L2796,'TB mapping'!A:C,3,0),0)</f>
        <v>0</v>
      </c>
      <c r="D2796" s="125" t="str">
        <f t="shared" si="281"/>
        <v>LIC280</v>
      </c>
      <c r="E2796" s="125" t="str">
        <f t="shared" si="282"/>
        <v>LIC280</v>
      </c>
      <c r="F2796" s="158" t="str">
        <f>+VLOOKUP(H2796,'code mapping'!A:C,3,0)</f>
        <v>LIC28</v>
      </c>
      <c r="G2796" s="127" t="s">
        <v>453</v>
      </c>
      <c r="H2796" s="127" t="s">
        <v>783</v>
      </c>
      <c r="I2796" s="127" t="s">
        <v>55</v>
      </c>
      <c r="J2796" s="128">
        <v>303000</v>
      </c>
      <c r="K2796" s="127" t="s">
        <v>516</v>
      </c>
      <c r="L2796" s="151">
        <v>303245</v>
      </c>
      <c r="M2796" s="128">
        <v>0</v>
      </c>
      <c r="N2796" s="127" t="s">
        <v>519</v>
      </c>
      <c r="O2796" s="127" t="s">
        <v>457</v>
      </c>
      <c r="P2796" s="128">
        <v>0</v>
      </c>
      <c r="Q2796" s="128">
        <v>26409450.57</v>
      </c>
      <c r="R2796" s="128">
        <v>0</v>
      </c>
      <c r="S2796" s="128">
        <v>0</v>
      </c>
      <c r="T2796" s="128">
        <v>0</v>
      </c>
      <c r="U2796" s="128">
        <v>26409450.57</v>
      </c>
      <c r="V2796" s="128">
        <v>0</v>
      </c>
      <c r="W2796" s="128">
        <v>26409450.57</v>
      </c>
      <c r="X2796" s="128">
        <v>0</v>
      </c>
      <c r="Y2796" s="128">
        <v>0</v>
      </c>
      <c r="Z2796" s="128">
        <v>0</v>
      </c>
      <c r="AA2796" s="128">
        <v>26409450.57</v>
      </c>
      <c r="AB2796" s="126">
        <f t="shared" si="283"/>
        <v>-2.6409450570000002</v>
      </c>
      <c r="AC2796" s="122" t="s">
        <v>1838</v>
      </c>
      <c r="AD2796" s="123">
        <f t="shared" si="285"/>
        <v>1983.9723217250009</v>
      </c>
    </row>
    <row r="2797" spans="1:30" ht="12.75" hidden="1" customHeight="1">
      <c r="A2797" s="125" t="str">
        <f t="shared" si="280"/>
        <v>LIC28Unit Premium Reserve-DDP</v>
      </c>
      <c r="B2797" s="125">
        <f>+IFERROR(VLOOKUP(L2797,'TB mapping'!A:D,4,0),0)</f>
        <v>0</v>
      </c>
      <c r="C2797" s="125">
        <f>+IFERROR(VLOOKUP(L2797,'TB mapping'!A:C,3,0),0)</f>
        <v>0</v>
      </c>
      <c r="D2797" s="125" t="str">
        <f t="shared" si="281"/>
        <v>LIC280</v>
      </c>
      <c r="E2797" s="125" t="str">
        <f t="shared" si="282"/>
        <v>LIC280</v>
      </c>
      <c r="F2797" s="158" t="str">
        <f>+VLOOKUP(H2797,'code mapping'!A:C,3,0)</f>
        <v>LIC28</v>
      </c>
      <c r="G2797" s="127" t="s">
        <v>453</v>
      </c>
      <c r="H2797" s="127" t="s">
        <v>783</v>
      </c>
      <c r="I2797" s="127" t="s">
        <v>55</v>
      </c>
      <c r="J2797" s="128">
        <v>303000</v>
      </c>
      <c r="K2797" s="127" t="s">
        <v>516</v>
      </c>
      <c r="L2797" s="151">
        <v>303246</v>
      </c>
      <c r="M2797" s="128">
        <v>0</v>
      </c>
      <c r="N2797" s="127" t="s">
        <v>520</v>
      </c>
      <c r="O2797" s="127" t="s">
        <v>457</v>
      </c>
      <c r="P2797" s="128">
        <v>0</v>
      </c>
      <c r="Q2797" s="128">
        <v>1639179.53</v>
      </c>
      <c r="R2797" s="128">
        <v>0</v>
      </c>
      <c r="S2797" s="128">
        <v>0</v>
      </c>
      <c r="T2797" s="128">
        <v>0</v>
      </c>
      <c r="U2797" s="128">
        <v>1639179.53</v>
      </c>
      <c r="V2797" s="128">
        <v>0</v>
      </c>
      <c r="W2797" s="128">
        <v>1639179.53</v>
      </c>
      <c r="X2797" s="128">
        <v>0</v>
      </c>
      <c r="Y2797" s="128">
        <v>0</v>
      </c>
      <c r="Z2797" s="128">
        <v>0</v>
      </c>
      <c r="AA2797" s="128">
        <v>1639179.53</v>
      </c>
      <c r="AB2797" s="126">
        <f t="shared" si="283"/>
        <v>-0.16391795300000001</v>
      </c>
      <c r="AC2797" s="122" t="s">
        <v>1838</v>
      </c>
      <c r="AD2797" s="123">
        <f t="shared" si="285"/>
        <v>1983.9723217250009</v>
      </c>
    </row>
    <row r="2798" spans="1:30" ht="12.75" hidden="1" customHeight="1">
      <c r="A2798" s="125" t="str">
        <f t="shared" si="280"/>
        <v>LIC28Net Earnings</v>
      </c>
      <c r="B2798" s="125">
        <f>+IFERROR(VLOOKUP(L2798,'TB mapping'!A:D,4,0),0)</f>
        <v>0</v>
      </c>
      <c r="C2798" s="125">
        <f>+IFERROR(VLOOKUP(L2798,'TB mapping'!A:C,3,0),0)</f>
        <v>0</v>
      </c>
      <c r="D2798" s="125" t="str">
        <f t="shared" si="281"/>
        <v>LIC280</v>
      </c>
      <c r="E2798" s="125" t="str">
        <f t="shared" si="282"/>
        <v>LIC280</v>
      </c>
      <c r="F2798" s="158" t="str">
        <f>+VLOOKUP(H2798,'code mapping'!A:C,3,0)</f>
        <v>LIC28</v>
      </c>
      <c r="G2798" s="127" t="s">
        <v>453</v>
      </c>
      <c r="H2798" s="127" t="s">
        <v>783</v>
      </c>
      <c r="I2798" s="127" t="s">
        <v>55</v>
      </c>
      <c r="J2798" s="128">
        <v>303000</v>
      </c>
      <c r="K2798" s="127" t="s">
        <v>516</v>
      </c>
      <c r="L2798" s="151">
        <v>390000</v>
      </c>
      <c r="M2798" s="128">
        <v>0</v>
      </c>
      <c r="N2798" s="127" t="s">
        <v>521</v>
      </c>
      <c r="O2798" s="127" t="s">
        <v>457</v>
      </c>
      <c r="P2798" s="128">
        <v>0</v>
      </c>
      <c r="Q2798" s="128">
        <v>469165675.44</v>
      </c>
      <c r="R2798" s="128">
        <v>0</v>
      </c>
      <c r="S2798" s="128">
        <v>0</v>
      </c>
      <c r="T2798" s="128">
        <v>0</v>
      </c>
      <c r="U2798" s="128">
        <v>469165675.44</v>
      </c>
      <c r="V2798" s="128">
        <v>0</v>
      </c>
      <c r="W2798" s="128">
        <v>469165675.44</v>
      </c>
      <c r="X2798" s="128">
        <v>0</v>
      </c>
      <c r="Y2798" s="128">
        <v>0</v>
      </c>
      <c r="Z2798" s="128">
        <v>0</v>
      </c>
      <c r="AA2798" s="128">
        <v>469165675.44</v>
      </c>
      <c r="AB2798" s="126">
        <f t="shared" si="283"/>
        <v>-46.916567544000003</v>
      </c>
      <c r="AC2798" s="122" t="s">
        <v>1838</v>
      </c>
      <c r="AD2798" s="123">
        <f t="shared" si="285"/>
        <v>1983.9723217250009</v>
      </c>
    </row>
    <row r="2799" spans="1:30" ht="12.75" hidden="1" customHeight="1">
      <c r="A2799" s="125" t="str">
        <f t="shared" si="280"/>
        <v>LIC28R/L G/P - Equities</v>
      </c>
      <c r="B2799" s="125">
        <f>+IFERROR(VLOOKUP(L2799,'TB mapping'!A:D,4,0),0)</f>
        <v>0</v>
      </c>
      <c r="C2799" s="125">
        <f>+IFERROR(VLOOKUP(L2799,'TB mapping'!A:C,3,0),0)</f>
        <v>5.3</v>
      </c>
      <c r="D2799" s="125" t="str">
        <f t="shared" si="281"/>
        <v>LIC280</v>
      </c>
      <c r="E2799" s="125" t="str">
        <f t="shared" si="282"/>
        <v>LIC285.3</v>
      </c>
      <c r="F2799" s="158" t="str">
        <f>+VLOOKUP(H2799,'code mapping'!A:C,3,0)</f>
        <v>LIC28</v>
      </c>
      <c r="G2799" s="127" t="s">
        <v>453</v>
      </c>
      <c r="H2799" s="127" t="s">
        <v>783</v>
      </c>
      <c r="I2799" s="127" t="s">
        <v>55</v>
      </c>
      <c r="J2799" s="128">
        <v>410000</v>
      </c>
      <c r="K2799" s="127" t="s">
        <v>522</v>
      </c>
      <c r="L2799" s="151">
        <v>411100</v>
      </c>
      <c r="M2799" s="128">
        <v>0</v>
      </c>
      <c r="N2799" s="127" t="s">
        <v>596</v>
      </c>
      <c r="O2799" s="127" t="s">
        <v>457</v>
      </c>
      <c r="P2799" s="128">
        <v>0</v>
      </c>
      <c r="Q2799" s="128">
        <v>130920891.68000001</v>
      </c>
      <c r="R2799" s="128">
        <v>0</v>
      </c>
      <c r="S2799" s="128">
        <v>0</v>
      </c>
      <c r="T2799" s="128">
        <v>0</v>
      </c>
      <c r="U2799" s="128">
        <v>130920891.68000001</v>
      </c>
      <c r="V2799" s="128">
        <v>0</v>
      </c>
      <c r="W2799" s="128">
        <v>130920891.68000001</v>
      </c>
      <c r="X2799" s="128">
        <v>0</v>
      </c>
      <c r="Y2799" s="128">
        <v>0</v>
      </c>
      <c r="Z2799" s="128">
        <v>0</v>
      </c>
      <c r="AA2799" s="128">
        <v>130920891.68000001</v>
      </c>
      <c r="AB2799" s="126">
        <f t="shared" si="283"/>
        <v>-13.092089168000001</v>
      </c>
      <c r="AC2799" s="122" t="s">
        <v>1838</v>
      </c>
      <c r="AD2799" s="123">
        <f>SUMIF(E:E,E2799,AB:AB)</f>
        <v>-11.183965006000001</v>
      </c>
    </row>
    <row r="2800" spans="1:30" ht="12.75" hidden="1" customHeight="1">
      <c r="A2800" s="125" t="str">
        <f t="shared" si="280"/>
        <v>LIC28Profit on Sale-Mutual Fd Units</v>
      </c>
      <c r="B2800" s="125">
        <f>+IFERROR(VLOOKUP(L2800,'TB mapping'!A:D,4,0),0)</f>
        <v>0</v>
      </c>
      <c r="C2800" s="125">
        <f>+IFERROR(VLOOKUP(L2800,'TB mapping'!A:C,3,0),0)</f>
        <v>5.3</v>
      </c>
      <c r="D2800" s="125" t="str">
        <f t="shared" si="281"/>
        <v>LIC280</v>
      </c>
      <c r="E2800" s="125" t="str">
        <f t="shared" si="282"/>
        <v>LIC285.3</v>
      </c>
      <c r="F2800" s="158" t="str">
        <f>+VLOOKUP(H2800,'code mapping'!A:C,3,0)</f>
        <v>LIC28</v>
      </c>
      <c r="G2800" s="127" t="s">
        <v>453</v>
      </c>
      <c r="H2800" s="127" t="s">
        <v>783</v>
      </c>
      <c r="I2800" s="127" t="s">
        <v>55</v>
      </c>
      <c r="J2800" s="128">
        <v>410000</v>
      </c>
      <c r="K2800" s="127" t="s">
        <v>522</v>
      </c>
      <c r="L2800" s="151">
        <v>415102</v>
      </c>
      <c r="M2800" s="128">
        <v>0</v>
      </c>
      <c r="N2800" s="127" t="s">
        <v>526</v>
      </c>
      <c r="O2800" s="127" t="s">
        <v>457</v>
      </c>
      <c r="P2800" s="128">
        <v>0</v>
      </c>
      <c r="Q2800" s="128">
        <v>102619.37</v>
      </c>
      <c r="R2800" s="128">
        <v>0</v>
      </c>
      <c r="S2800" s="128">
        <v>0</v>
      </c>
      <c r="T2800" s="128">
        <v>0</v>
      </c>
      <c r="U2800" s="128">
        <v>102619.37</v>
      </c>
      <c r="V2800" s="128">
        <v>0</v>
      </c>
      <c r="W2800" s="128">
        <v>102619.37</v>
      </c>
      <c r="X2800" s="128">
        <v>0</v>
      </c>
      <c r="Y2800" s="128">
        <v>0</v>
      </c>
      <c r="Z2800" s="128">
        <v>0</v>
      </c>
      <c r="AA2800" s="128">
        <v>102619.37</v>
      </c>
      <c r="AB2800" s="126">
        <f t="shared" si="283"/>
        <v>-1.0261936999999999E-2</v>
      </c>
      <c r="AC2800" s="122" t="s">
        <v>1838</v>
      </c>
      <c r="AD2800" s="123">
        <f>SUMIF(E:E,E2800,AB:AB)</f>
        <v>-11.183965006000001</v>
      </c>
    </row>
    <row r="2801" spans="1:30" ht="12.75" hidden="1" customHeight="1">
      <c r="A2801" s="125" t="str">
        <f t="shared" si="280"/>
        <v>LIC28UR/L G/P - Equities</v>
      </c>
      <c r="B2801" s="125">
        <f>+IFERROR(VLOOKUP(L2801,'TB mapping'!A:D,4,0),0)</f>
        <v>0</v>
      </c>
      <c r="C2801" s="125" t="str">
        <f>+IFERROR(VLOOKUP(L2801,'TB mapping'!A:C,3,0),0)</f>
        <v>Ignore</v>
      </c>
      <c r="D2801" s="125" t="str">
        <f t="shared" si="281"/>
        <v>LIC280</v>
      </c>
      <c r="E2801" s="125" t="str">
        <f t="shared" si="282"/>
        <v>LIC28Ignore</v>
      </c>
      <c r="F2801" s="158" t="str">
        <f>+VLOOKUP(H2801,'code mapping'!A:C,3,0)</f>
        <v>LIC28</v>
      </c>
      <c r="G2801" s="127" t="s">
        <v>453</v>
      </c>
      <c r="H2801" s="127" t="s">
        <v>783</v>
      </c>
      <c r="I2801" s="127" t="s">
        <v>55</v>
      </c>
      <c r="J2801" s="128">
        <v>430000</v>
      </c>
      <c r="K2801" s="127" t="s">
        <v>528</v>
      </c>
      <c r="L2801" s="151">
        <v>431100</v>
      </c>
      <c r="M2801" s="128">
        <v>0</v>
      </c>
      <c r="N2801" s="127" t="s">
        <v>597</v>
      </c>
      <c r="O2801" s="127" t="s">
        <v>457</v>
      </c>
      <c r="P2801" s="128">
        <v>0</v>
      </c>
      <c r="Q2801" s="128">
        <v>238984680.12</v>
      </c>
      <c r="R2801" s="128">
        <v>0</v>
      </c>
      <c r="S2801" s="128">
        <v>0</v>
      </c>
      <c r="T2801" s="128">
        <v>0</v>
      </c>
      <c r="U2801" s="128">
        <v>238984680.12</v>
      </c>
      <c r="V2801" s="128">
        <v>0</v>
      </c>
      <c r="W2801" s="128">
        <v>238984680.12</v>
      </c>
      <c r="X2801" s="128">
        <v>0</v>
      </c>
      <c r="Y2801" s="128">
        <v>0</v>
      </c>
      <c r="Z2801" s="128">
        <v>0</v>
      </c>
      <c r="AA2801" s="128">
        <v>238984680.12</v>
      </c>
      <c r="AB2801" s="126">
        <f t="shared" si="283"/>
        <v>-23.898468012000002</v>
      </c>
      <c r="AC2801" s="122" t="s">
        <v>1838</v>
      </c>
      <c r="AD2801" s="123">
        <f>SUMIF(C:C,C2801,AB:AB)</f>
        <v>-291.7660984179999</v>
      </c>
    </row>
    <row r="2802" spans="1:30" ht="12.75" hidden="1" customHeight="1">
      <c r="A2802" s="125" t="str">
        <f t="shared" si="280"/>
        <v>LIC28Dividend Income - Equities</v>
      </c>
      <c r="B2802" s="125">
        <f>+IFERROR(VLOOKUP(L2802,'TB mapping'!A:D,4,0),0)</f>
        <v>0</v>
      </c>
      <c r="C2802" s="125">
        <f>+IFERROR(VLOOKUP(L2802,'TB mapping'!A:C,3,0),0)</f>
        <v>5.0999999999999996</v>
      </c>
      <c r="D2802" s="125" t="str">
        <f t="shared" si="281"/>
        <v>LIC280</v>
      </c>
      <c r="E2802" s="125" t="str">
        <f t="shared" si="282"/>
        <v>LIC285.1</v>
      </c>
      <c r="F2802" s="158" t="str">
        <f>+VLOOKUP(H2802,'code mapping'!A:C,3,0)</f>
        <v>LIC28</v>
      </c>
      <c r="G2802" s="127" t="s">
        <v>453</v>
      </c>
      <c r="H2802" s="127" t="s">
        <v>783</v>
      </c>
      <c r="I2802" s="127" t="s">
        <v>55</v>
      </c>
      <c r="J2802" s="128">
        <v>450000</v>
      </c>
      <c r="K2802" s="127" t="s">
        <v>532</v>
      </c>
      <c r="L2802" s="151">
        <v>451100</v>
      </c>
      <c r="M2802" s="128">
        <v>0</v>
      </c>
      <c r="N2802" s="127" t="s">
        <v>598</v>
      </c>
      <c r="O2802" s="127" t="s">
        <v>457</v>
      </c>
      <c r="P2802" s="128">
        <v>0</v>
      </c>
      <c r="Q2802" s="128">
        <v>8597199</v>
      </c>
      <c r="R2802" s="128">
        <v>0</v>
      </c>
      <c r="S2802" s="128">
        <v>0</v>
      </c>
      <c r="T2802" s="128">
        <v>0</v>
      </c>
      <c r="U2802" s="128">
        <v>8597199</v>
      </c>
      <c r="V2802" s="128">
        <v>0</v>
      </c>
      <c r="W2802" s="128">
        <v>8597199</v>
      </c>
      <c r="X2802" s="128">
        <v>0</v>
      </c>
      <c r="Y2802" s="128">
        <v>0</v>
      </c>
      <c r="Z2802" s="128">
        <v>0</v>
      </c>
      <c r="AA2802" s="128">
        <v>8597199</v>
      </c>
      <c r="AB2802" s="126">
        <f t="shared" si="283"/>
        <v>-0.85971989999999998</v>
      </c>
      <c r="AC2802" s="122" t="s">
        <v>1838</v>
      </c>
      <c r="AD2802" s="123">
        <f t="shared" ref="AD2802:AD2838" si="286">SUMIF(E:E,E2802,AB:AB)</f>
        <v>-0.85971989999999998</v>
      </c>
    </row>
    <row r="2803" spans="1:30" ht="12.75" hidden="1" customHeight="1">
      <c r="A2803" s="125" t="str">
        <f t="shared" si="280"/>
        <v>LIC28Interest Income - CCIL Margin</v>
      </c>
      <c r="B2803" s="125">
        <f>+IFERROR(VLOOKUP(L2803,'TB mapping'!A:D,4,0),0)</f>
        <v>0</v>
      </c>
      <c r="C2803" s="125">
        <f>+IFERROR(VLOOKUP(L2803,'TB mapping'!A:C,3,0),0)</f>
        <v>5.2</v>
      </c>
      <c r="D2803" s="125" t="str">
        <f t="shared" si="281"/>
        <v>LIC280</v>
      </c>
      <c r="E2803" s="125" t="str">
        <f t="shared" si="282"/>
        <v>LIC285.2</v>
      </c>
      <c r="F2803" s="158" t="str">
        <f>+VLOOKUP(H2803,'code mapping'!A:C,3,0)</f>
        <v>LIC28</v>
      </c>
      <c r="G2803" s="127" t="s">
        <v>453</v>
      </c>
      <c r="H2803" s="127" t="s">
        <v>783</v>
      </c>
      <c r="I2803" s="127" t="s">
        <v>55</v>
      </c>
      <c r="J2803" s="128">
        <v>450000</v>
      </c>
      <c r="K2803" s="127" t="s">
        <v>532</v>
      </c>
      <c r="L2803" s="151">
        <v>452111</v>
      </c>
      <c r="M2803" s="128">
        <v>0</v>
      </c>
      <c r="N2803" s="127" t="s">
        <v>533</v>
      </c>
      <c r="O2803" s="127" t="s">
        <v>457</v>
      </c>
      <c r="P2803" s="128">
        <v>0</v>
      </c>
      <c r="Q2803" s="128">
        <v>999.02</v>
      </c>
      <c r="R2803" s="128">
        <v>0</v>
      </c>
      <c r="S2803" s="128">
        <v>0</v>
      </c>
      <c r="T2803" s="128">
        <v>0</v>
      </c>
      <c r="U2803" s="128">
        <v>999.02</v>
      </c>
      <c r="V2803" s="128">
        <v>0</v>
      </c>
      <c r="W2803" s="128">
        <v>999.02</v>
      </c>
      <c r="X2803" s="128">
        <v>0</v>
      </c>
      <c r="Y2803" s="128">
        <v>0</v>
      </c>
      <c r="Z2803" s="128">
        <v>0</v>
      </c>
      <c r="AA2803" s="128">
        <v>999.02</v>
      </c>
      <c r="AB2803" s="126">
        <f t="shared" si="283"/>
        <v>-9.9901999999999993E-5</v>
      </c>
      <c r="AC2803" s="122" t="s">
        <v>1838</v>
      </c>
      <c r="AD2803" s="123">
        <f t="shared" si="286"/>
        <v>-0.49383022200000004</v>
      </c>
    </row>
    <row r="2804" spans="1:30" ht="12.75" hidden="1" customHeight="1">
      <c r="A2804" s="125" t="str">
        <f t="shared" si="280"/>
        <v>LIC28Int Income - Fixed Deposit</v>
      </c>
      <c r="B2804" s="125">
        <f>+IFERROR(VLOOKUP(L2804,'TB mapping'!A:D,4,0),0)</f>
        <v>0</v>
      </c>
      <c r="C2804" s="125">
        <f>+IFERROR(VLOOKUP(L2804,'TB mapping'!A:C,3,0),0)</f>
        <v>5.2</v>
      </c>
      <c r="D2804" s="125" t="str">
        <f t="shared" si="281"/>
        <v>LIC280</v>
      </c>
      <c r="E2804" s="125" t="str">
        <f t="shared" si="282"/>
        <v>LIC285.2</v>
      </c>
      <c r="F2804" s="158" t="str">
        <f>+VLOOKUP(H2804,'code mapping'!A:C,3,0)</f>
        <v>LIC28</v>
      </c>
      <c r="G2804" s="127" t="s">
        <v>453</v>
      </c>
      <c r="H2804" s="127" t="s">
        <v>783</v>
      </c>
      <c r="I2804" s="127" t="s">
        <v>55</v>
      </c>
      <c r="J2804" s="128">
        <v>450000</v>
      </c>
      <c r="K2804" s="127" t="s">
        <v>532</v>
      </c>
      <c r="L2804" s="151">
        <v>452223</v>
      </c>
      <c r="M2804" s="128">
        <v>0</v>
      </c>
      <c r="N2804" s="127" t="s">
        <v>775</v>
      </c>
      <c r="O2804" s="127" t="s">
        <v>457</v>
      </c>
      <c r="P2804" s="128">
        <v>0</v>
      </c>
      <c r="Q2804" s="128">
        <v>18411</v>
      </c>
      <c r="R2804" s="128">
        <v>0</v>
      </c>
      <c r="S2804" s="128">
        <v>0</v>
      </c>
      <c r="T2804" s="128">
        <v>0</v>
      </c>
      <c r="U2804" s="128">
        <v>18411</v>
      </c>
      <c r="V2804" s="128">
        <v>0</v>
      </c>
      <c r="W2804" s="128">
        <v>18411</v>
      </c>
      <c r="X2804" s="128">
        <v>0</v>
      </c>
      <c r="Y2804" s="128">
        <v>0</v>
      </c>
      <c r="Z2804" s="128">
        <v>0</v>
      </c>
      <c r="AA2804" s="128">
        <v>18411</v>
      </c>
      <c r="AB2804" s="126">
        <f t="shared" si="283"/>
        <v>-1.8411E-3</v>
      </c>
      <c r="AC2804" s="122" t="s">
        <v>1838</v>
      </c>
      <c r="AD2804" s="123">
        <f t="shared" si="286"/>
        <v>-0.49383022200000004</v>
      </c>
    </row>
    <row r="2805" spans="1:30" ht="12.75" hidden="1" customHeight="1">
      <c r="A2805" s="125" t="str">
        <f t="shared" si="280"/>
        <v>LIC28Amort. Income - CBLO</v>
      </c>
      <c r="B2805" s="125">
        <f>+IFERROR(VLOOKUP(L2805,'TB mapping'!A:D,4,0),0)</f>
        <v>0</v>
      </c>
      <c r="C2805" s="125">
        <f>+IFERROR(VLOOKUP(L2805,'TB mapping'!A:C,3,0),0)</f>
        <v>5.2</v>
      </c>
      <c r="D2805" s="125" t="str">
        <f t="shared" si="281"/>
        <v>LIC280</v>
      </c>
      <c r="E2805" s="125" t="str">
        <f t="shared" si="282"/>
        <v>LIC285.2</v>
      </c>
      <c r="F2805" s="158" t="str">
        <f>+VLOOKUP(H2805,'code mapping'!A:C,3,0)</f>
        <v>LIC28</v>
      </c>
      <c r="G2805" s="127" t="s">
        <v>453</v>
      </c>
      <c r="H2805" s="127" t="s">
        <v>783</v>
      </c>
      <c r="I2805" s="127" t="s">
        <v>55</v>
      </c>
      <c r="J2805" s="128">
        <v>450000</v>
      </c>
      <c r="K2805" s="127" t="s">
        <v>532</v>
      </c>
      <c r="L2805" s="151">
        <v>452228</v>
      </c>
      <c r="M2805" s="128">
        <v>0</v>
      </c>
      <c r="N2805" s="127" t="s">
        <v>537</v>
      </c>
      <c r="O2805" s="127" t="s">
        <v>457</v>
      </c>
      <c r="P2805" s="128">
        <v>0</v>
      </c>
      <c r="Q2805" s="128">
        <v>4918892.2</v>
      </c>
      <c r="R2805" s="128">
        <v>0</v>
      </c>
      <c r="S2805" s="128">
        <v>0</v>
      </c>
      <c r="T2805" s="128">
        <v>0</v>
      </c>
      <c r="U2805" s="128">
        <v>4918892.2</v>
      </c>
      <c r="V2805" s="128">
        <v>0</v>
      </c>
      <c r="W2805" s="128">
        <v>4918892.2</v>
      </c>
      <c r="X2805" s="128">
        <v>0</v>
      </c>
      <c r="Y2805" s="128">
        <v>0</v>
      </c>
      <c r="Z2805" s="128">
        <v>0</v>
      </c>
      <c r="AA2805" s="128">
        <v>4918892.2</v>
      </c>
      <c r="AB2805" s="126">
        <f t="shared" si="283"/>
        <v>-0.49188922000000002</v>
      </c>
      <c r="AC2805" s="122" t="s">
        <v>1838</v>
      </c>
      <c r="AD2805" s="123">
        <f t="shared" si="286"/>
        <v>-0.49383022200000004</v>
      </c>
    </row>
    <row r="2806" spans="1:30" ht="12.75" hidden="1" customHeight="1">
      <c r="A2806" s="125" t="str">
        <f t="shared" si="280"/>
        <v>LIC28Load Income</v>
      </c>
      <c r="B2806" s="125">
        <f>+IFERROR(VLOOKUP(L2806,'TB mapping'!A:D,4,0),0)</f>
        <v>0</v>
      </c>
      <c r="C2806" s="125">
        <f>+IFERROR(VLOOKUP(L2806,'TB mapping'!A:C,3,0),0)</f>
        <v>5.5</v>
      </c>
      <c r="D2806" s="125" t="str">
        <f t="shared" si="281"/>
        <v>LIC280</v>
      </c>
      <c r="E2806" s="125" t="str">
        <f t="shared" si="282"/>
        <v>LIC285.5</v>
      </c>
      <c r="F2806" s="158" t="str">
        <f>+VLOOKUP(H2806,'code mapping'!A:C,3,0)</f>
        <v>LIC28</v>
      </c>
      <c r="G2806" s="127" t="s">
        <v>453</v>
      </c>
      <c r="H2806" s="127" t="s">
        <v>783</v>
      </c>
      <c r="I2806" s="127" t="s">
        <v>55</v>
      </c>
      <c r="J2806" s="128">
        <v>460000</v>
      </c>
      <c r="K2806" s="127" t="s">
        <v>539</v>
      </c>
      <c r="L2806" s="151">
        <v>455103</v>
      </c>
      <c r="M2806" s="128">
        <v>0</v>
      </c>
      <c r="N2806" s="127" t="s">
        <v>540</v>
      </c>
      <c r="O2806" s="127" t="s">
        <v>457</v>
      </c>
      <c r="P2806" s="128">
        <v>0</v>
      </c>
      <c r="Q2806" s="128">
        <v>0.01</v>
      </c>
      <c r="R2806" s="128">
        <v>0</v>
      </c>
      <c r="S2806" s="128">
        <v>0</v>
      </c>
      <c r="T2806" s="128">
        <v>0</v>
      </c>
      <c r="U2806" s="128">
        <v>0.01</v>
      </c>
      <c r="V2806" s="128">
        <v>0</v>
      </c>
      <c r="W2806" s="128">
        <v>0.01</v>
      </c>
      <c r="X2806" s="128">
        <v>0</v>
      </c>
      <c r="Y2806" s="128">
        <v>0</v>
      </c>
      <c r="Z2806" s="128">
        <v>0</v>
      </c>
      <c r="AA2806" s="128">
        <v>0.01</v>
      </c>
      <c r="AB2806" s="126">
        <f t="shared" si="283"/>
        <v>-1.0000000000000001E-9</v>
      </c>
      <c r="AC2806" s="122" t="s">
        <v>1838</v>
      </c>
      <c r="AD2806" s="123">
        <f t="shared" si="286"/>
        <v>-2.4506000000000006E-5</v>
      </c>
    </row>
    <row r="2807" spans="1:30" ht="12.75" hidden="1" customHeight="1">
      <c r="A2807" s="125" t="str">
        <f t="shared" si="280"/>
        <v>LIC28Other Income</v>
      </c>
      <c r="B2807" s="125">
        <f>+IFERROR(VLOOKUP(L2807,'TB mapping'!A:D,4,0),0)</f>
        <v>0</v>
      </c>
      <c r="C2807" s="125">
        <f>+IFERROR(VLOOKUP(L2807,'TB mapping'!A:C,3,0),0)</f>
        <v>5.5</v>
      </c>
      <c r="D2807" s="125" t="str">
        <f t="shared" si="281"/>
        <v>LIC280</v>
      </c>
      <c r="E2807" s="125" t="str">
        <f t="shared" si="282"/>
        <v>LIC285.5</v>
      </c>
      <c r="F2807" s="158" t="str">
        <f>+VLOOKUP(H2807,'code mapping'!A:C,3,0)</f>
        <v>LIC28</v>
      </c>
      <c r="G2807" s="127" t="s">
        <v>453</v>
      </c>
      <c r="H2807" s="127" t="s">
        <v>783</v>
      </c>
      <c r="I2807" s="127" t="s">
        <v>55</v>
      </c>
      <c r="J2807" s="128">
        <v>460000</v>
      </c>
      <c r="K2807" s="127" t="s">
        <v>539</v>
      </c>
      <c r="L2807" s="151">
        <v>460000</v>
      </c>
      <c r="M2807" s="128">
        <v>0</v>
      </c>
      <c r="N2807" s="127" t="s">
        <v>541</v>
      </c>
      <c r="O2807" s="127" t="s">
        <v>457</v>
      </c>
      <c r="P2807" s="128">
        <v>0</v>
      </c>
      <c r="Q2807" s="128">
        <v>245.05</v>
      </c>
      <c r="R2807" s="128">
        <v>0</v>
      </c>
      <c r="S2807" s="128">
        <v>0</v>
      </c>
      <c r="T2807" s="128">
        <v>0</v>
      </c>
      <c r="U2807" s="128">
        <v>245.05</v>
      </c>
      <c r="V2807" s="128">
        <v>0</v>
      </c>
      <c r="W2807" s="128">
        <v>245.05</v>
      </c>
      <c r="X2807" s="128">
        <v>0</v>
      </c>
      <c r="Y2807" s="128">
        <v>0</v>
      </c>
      <c r="Z2807" s="128">
        <v>0</v>
      </c>
      <c r="AA2807" s="128">
        <v>245.05</v>
      </c>
      <c r="AB2807" s="126">
        <f t="shared" si="283"/>
        <v>-2.4505E-5</v>
      </c>
      <c r="AC2807" s="122" t="s">
        <v>1838</v>
      </c>
      <c r="AD2807" s="123">
        <f t="shared" si="286"/>
        <v>-2.4506000000000006E-5</v>
      </c>
    </row>
    <row r="2808" spans="1:30" ht="12.75" hidden="1" customHeight="1">
      <c r="A2808" s="125" t="str">
        <f t="shared" si="280"/>
        <v>LIC28Interplan Adjustment- RG</v>
      </c>
      <c r="B2808" s="125">
        <f>+IFERROR(VLOOKUP(L2808,'TB mapping'!A:D,4,0),0)</f>
        <v>0</v>
      </c>
      <c r="C2808" s="125">
        <f>+IFERROR(VLOOKUP(L2808,'TB mapping'!A:C,3,0),0)</f>
        <v>5.5</v>
      </c>
      <c r="D2808" s="125" t="str">
        <f t="shared" si="281"/>
        <v>LIC280</v>
      </c>
      <c r="E2808" s="125" t="str">
        <f t="shared" si="282"/>
        <v>LIC285.5</v>
      </c>
      <c r="F2808" s="158" t="str">
        <f>+VLOOKUP(H2808,'code mapping'!A:C,3,0)</f>
        <v>LIC28</v>
      </c>
      <c r="G2808" s="127" t="s">
        <v>453</v>
      </c>
      <c r="H2808" s="127" t="s">
        <v>783</v>
      </c>
      <c r="I2808" s="127" t="s">
        <v>55</v>
      </c>
      <c r="J2808" s="128">
        <v>460000</v>
      </c>
      <c r="K2808" s="127" t="s">
        <v>539</v>
      </c>
      <c r="L2808" s="151">
        <v>460101</v>
      </c>
      <c r="M2808" s="128">
        <v>0</v>
      </c>
      <c r="N2808" s="127" t="s">
        <v>542</v>
      </c>
      <c r="O2808" s="127" t="s">
        <v>457</v>
      </c>
      <c r="P2808" s="128">
        <v>0</v>
      </c>
      <c r="Q2808" s="128">
        <v>369.92</v>
      </c>
      <c r="R2808" s="128">
        <v>0</v>
      </c>
      <c r="S2808" s="128">
        <v>0</v>
      </c>
      <c r="T2808" s="128">
        <v>0</v>
      </c>
      <c r="U2808" s="128">
        <v>369.92</v>
      </c>
      <c r="V2808" s="128">
        <v>0</v>
      </c>
      <c r="W2808" s="128">
        <v>369.92</v>
      </c>
      <c r="X2808" s="128">
        <v>0</v>
      </c>
      <c r="Y2808" s="128">
        <v>0</v>
      </c>
      <c r="Z2808" s="128">
        <v>0</v>
      </c>
      <c r="AA2808" s="128">
        <v>369.92</v>
      </c>
      <c r="AB2808" s="126">
        <f t="shared" si="283"/>
        <v>-3.6992000000000001E-5</v>
      </c>
      <c r="AC2808" s="122" t="s">
        <v>1838</v>
      </c>
      <c r="AD2808" s="123">
        <f t="shared" si="286"/>
        <v>-2.4506000000000006E-5</v>
      </c>
    </row>
    <row r="2809" spans="1:30" ht="12.75" hidden="1" customHeight="1">
      <c r="A2809" s="125" t="str">
        <f t="shared" ref="A2809:A2872" si="287">+F2809&amp;N2809</f>
        <v>LIC28Interplan Adjustment- RD</v>
      </c>
      <c r="B2809" s="125">
        <f>+IFERROR(VLOOKUP(L2809,'TB mapping'!A:D,4,0),0)</f>
        <v>0</v>
      </c>
      <c r="C2809" s="125">
        <f>+IFERROR(VLOOKUP(L2809,'TB mapping'!A:C,3,0),0)</f>
        <v>5.5</v>
      </c>
      <c r="D2809" s="125" t="str">
        <f t="shared" ref="D2809:D2872" si="288">+F2809&amp;B2809</f>
        <v>LIC280</v>
      </c>
      <c r="E2809" s="125" t="str">
        <f t="shared" ref="E2809:E2872" si="289">+F2809&amp;C2809</f>
        <v>LIC285.5</v>
      </c>
      <c r="F2809" s="158" t="str">
        <f>+VLOOKUP(H2809,'code mapping'!A:C,3,0)</f>
        <v>LIC28</v>
      </c>
      <c r="G2809" s="127" t="s">
        <v>453</v>
      </c>
      <c r="H2809" s="127" t="s">
        <v>783</v>
      </c>
      <c r="I2809" s="127" t="s">
        <v>55</v>
      </c>
      <c r="J2809" s="128">
        <v>460000</v>
      </c>
      <c r="K2809" s="127" t="s">
        <v>539</v>
      </c>
      <c r="L2809" s="151">
        <v>460102</v>
      </c>
      <c r="M2809" s="128">
        <v>0</v>
      </c>
      <c r="N2809" s="127" t="s">
        <v>543</v>
      </c>
      <c r="O2809" s="127" t="s">
        <v>457</v>
      </c>
      <c r="P2809" s="128">
        <v>0</v>
      </c>
      <c r="Q2809" s="128">
        <v>69.31</v>
      </c>
      <c r="R2809" s="128">
        <v>0</v>
      </c>
      <c r="S2809" s="128">
        <v>0</v>
      </c>
      <c r="T2809" s="128">
        <v>0</v>
      </c>
      <c r="U2809" s="128">
        <v>69.31</v>
      </c>
      <c r="V2809" s="128">
        <v>0</v>
      </c>
      <c r="W2809" s="128">
        <v>69.31</v>
      </c>
      <c r="X2809" s="128">
        <v>0</v>
      </c>
      <c r="Y2809" s="128">
        <v>0</v>
      </c>
      <c r="Z2809" s="128">
        <v>0</v>
      </c>
      <c r="AA2809" s="128">
        <v>69.31</v>
      </c>
      <c r="AB2809" s="126">
        <f t="shared" ref="AB2809:AB2872" si="290">SUM(-Z2809-AA2809)/10^7</f>
        <v>-6.9310000000000002E-6</v>
      </c>
      <c r="AC2809" s="122" t="s">
        <v>1838</v>
      </c>
      <c r="AD2809" s="123">
        <f t="shared" si="286"/>
        <v>-2.4506000000000006E-5</v>
      </c>
    </row>
    <row r="2810" spans="1:30" ht="12.75" hidden="1" customHeight="1">
      <c r="A2810" s="125" t="str">
        <f t="shared" si="287"/>
        <v>LIC28Interplan Adjustment- GDP</v>
      </c>
      <c r="B2810" s="125">
        <f>+IFERROR(VLOOKUP(L2810,'TB mapping'!A:D,4,0),0)</f>
        <v>0</v>
      </c>
      <c r="C2810" s="125">
        <f>+IFERROR(VLOOKUP(L2810,'TB mapping'!A:C,3,0),0)</f>
        <v>5.5</v>
      </c>
      <c r="D2810" s="125" t="str">
        <f t="shared" si="288"/>
        <v>LIC280</v>
      </c>
      <c r="E2810" s="125" t="str">
        <f t="shared" si="289"/>
        <v>LIC285.5</v>
      </c>
      <c r="F2810" s="158" t="str">
        <f>+VLOOKUP(H2810,'code mapping'!A:C,3,0)</f>
        <v>LIC28</v>
      </c>
      <c r="G2810" s="127" t="s">
        <v>453</v>
      </c>
      <c r="H2810" s="127" t="s">
        <v>783</v>
      </c>
      <c r="I2810" s="127" t="s">
        <v>55</v>
      </c>
      <c r="J2810" s="128">
        <v>460000</v>
      </c>
      <c r="K2810" s="127" t="s">
        <v>539</v>
      </c>
      <c r="L2810" s="151">
        <v>460143</v>
      </c>
      <c r="M2810" s="128">
        <v>0</v>
      </c>
      <c r="N2810" s="127" t="s">
        <v>544</v>
      </c>
      <c r="O2810" s="127" t="s">
        <v>457</v>
      </c>
      <c r="P2810" s="128">
        <v>-440.72</v>
      </c>
      <c r="Q2810" s="128">
        <v>0</v>
      </c>
      <c r="R2810" s="128">
        <v>0</v>
      </c>
      <c r="S2810" s="128">
        <v>0</v>
      </c>
      <c r="T2810" s="128">
        <v>-440.72</v>
      </c>
      <c r="U2810" s="128">
        <v>0</v>
      </c>
      <c r="V2810" s="128">
        <v>-440.72</v>
      </c>
      <c r="W2810" s="128">
        <v>0</v>
      </c>
      <c r="X2810" s="128">
        <v>0</v>
      </c>
      <c r="Y2810" s="128">
        <v>0</v>
      </c>
      <c r="Z2810" s="128">
        <v>-440.72</v>
      </c>
      <c r="AA2810" s="128">
        <v>0</v>
      </c>
      <c r="AB2810" s="126">
        <f t="shared" si="290"/>
        <v>4.4072000000000001E-5</v>
      </c>
      <c r="AC2810" s="122" t="s">
        <v>1838</v>
      </c>
      <c r="AD2810" s="123">
        <f t="shared" si="286"/>
        <v>-2.4506000000000006E-5</v>
      </c>
    </row>
    <row r="2811" spans="1:30" ht="12.75" hidden="1" customHeight="1">
      <c r="A2811" s="125" t="str">
        <f t="shared" si="287"/>
        <v>LIC28Interplan Adjustment- DDP</v>
      </c>
      <c r="B2811" s="125">
        <f>+IFERROR(VLOOKUP(L2811,'TB mapping'!A:D,4,0),0)</f>
        <v>0</v>
      </c>
      <c r="C2811" s="125">
        <f>+IFERROR(VLOOKUP(L2811,'TB mapping'!A:C,3,0),0)</f>
        <v>5.5</v>
      </c>
      <c r="D2811" s="125" t="str">
        <f t="shared" si="288"/>
        <v>LIC280</v>
      </c>
      <c r="E2811" s="125" t="str">
        <f t="shared" si="289"/>
        <v>LIC285.5</v>
      </c>
      <c r="F2811" s="158" t="str">
        <f>+VLOOKUP(H2811,'code mapping'!A:C,3,0)</f>
        <v>LIC28</v>
      </c>
      <c r="G2811" s="127" t="s">
        <v>453</v>
      </c>
      <c r="H2811" s="127" t="s">
        <v>783</v>
      </c>
      <c r="I2811" s="127" t="s">
        <v>55</v>
      </c>
      <c r="J2811" s="128">
        <v>460000</v>
      </c>
      <c r="K2811" s="127" t="s">
        <v>539</v>
      </c>
      <c r="L2811" s="151">
        <v>460144</v>
      </c>
      <c r="M2811" s="128">
        <v>0</v>
      </c>
      <c r="N2811" s="127" t="s">
        <v>545</v>
      </c>
      <c r="O2811" s="127" t="s">
        <v>457</v>
      </c>
      <c r="P2811" s="128">
        <v>0</v>
      </c>
      <c r="Q2811" s="128">
        <v>1.49</v>
      </c>
      <c r="R2811" s="128">
        <v>0</v>
      </c>
      <c r="S2811" s="128">
        <v>0</v>
      </c>
      <c r="T2811" s="128">
        <v>0</v>
      </c>
      <c r="U2811" s="128">
        <v>1.49</v>
      </c>
      <c r="V2811" s="128">
        <v>0</v>
      </c>
      <c r="W2811" s="128">
        <v>1.49</v>
      </c>
      <c r="X2811" s="128">
        <v>0</v>
      </c>
      <c r="Y2811" s="128">
        <v>0</v>
      </c>
      <c r="Z2811" s="128">
        <v>0</v>
      </c>
      <c r="AA2811" s="128">
        <v>1.49</v>
      </c>
      <c r="AB2811" s="126">
        <f t="shared" si="290"/>
        <v>-1.49E-7</v>
      </c>
      <c r="AC2811" s="122" t="s">
        <v>1838</v>
      </c>
      <c r="AD2811" s="123">
        <f t="shared" si="286"/>
        <v>-2.4506000000000006E-5</v>
      </c>
    </row>
    <row r="2812" spans="1:30" ht="12.75" hidden="1" customHeight="1">
      <c r="A2812" s="125" t="str">
        <f t="shared" si="287"/>
        <v>LIC28R/L L/P - Equities</v>
      </c>
      <c r="B2812" s="125">
        <f>+IFERROR(VLOOKUP(L2812,'TB mapping'!A:D,4,0),0)</f>
        <v>0</v>
      </c>
      <c r="C2812" s="125">
        <f>+IFERROR(VLOOKUP(L2812,'TB mapping'!A:C,3,0),0)</f>
        <v>5.3</v>
      </c>
      <c r="D2812" s="125" t="str">
        <f t="shared" si="288"/>
        <v>LIC280</v>
      </c>
      <c r="E2812" s="125" t="str">
        <f t="shared" si="289"/>
        <v>LIC285.3</v>
      </c>
      <c r="F2812" s="158" t="str">
        <f>+VLOOKUP(H2812,'code mapping'!A:C,3,0)</f>
        <v>LIC28</v>
      </c>
      <c r="G2812" s="127" t="s">
        <v>453</v>
      </c>
      <c r="H2812" s="127" t="s">
        <v>783</v>
      </c>
      <c r="I2812" s="127" t="s">
        <v>55</v>
      </c>
      <c r="J2812" s="128">
        <v>510000</v>
      </c>
      <c r="K2812" s="127" t="s">
        <v>546</v>
      </c>
      <c r="L2812" s="151">
        <v>511100</v>
      </c>
      <c r="M2812" s="128">
        <v>0</v>
      </c>
      <c r="N2812" s="127" t="s">
        <v>599</v>
      </c>
      <c r="O2812" s="127" t="s">
        <v>457</v>
      </c>
      <c r="P2812" s="128">
        <v>-19183860.989999998</v>
      </c>
      <c r="Q2812" s="128">
        <v>0</v>
      </c>
      <c r="R2812" s="128">
        <v>0</v>
      </c>
      <c r="S2812" s="128">
        <v>0</v>
      </c>
      <c r="T2812" s="128">
        <v>-19183860.989999998</v>
      </c>
      <c r="U2812" s="128">
        <v>0</v>
      </c>
      <c r="V2812" s="128">
        <v>-19183860.989999998</v>
      </c>
      <c r="W2812" s="128">
        <v>0</v>
      </c>
      <c r="X2812" s="128">
        <v>0</v>
      </c>
      <c r="Y2812" s="128">
        <v>0</v>
      </c>
      <c r="Z2812" s="128">
        <v>-19183860.989999998</v>
      </c>
      <c r="AA2812" s="128">
        <v>0</v>
      </c>
      <c r="AB2812" s="126">
        <f t="shared" si="290"/>
        <v>1.9183860989999999</v>
      </c>
      <c r="AC2812" s="122" t="s">
        <v>1838</v>
      </c>
      <c r="AD2812" s="123">
        <f t="shared" si="286"/>
        <v>-11.183965006000001</v>
      </c>
    </row>
    <row r="2813" spans="1:30" ht="12.75" hidden="1" customHeight="1">
      <c r="A2813" s="125" t="str">
        <f t="shared" si="287"/>
        <v>LIC28SEBI Fees</v>
      </c>
      <c r="B2813" s="125">
        <f>+IFERROR(VLOOKUP(L2813,'TB mapping'!A:D,4,0),0)</f>
        <v>0</v>
      </c>
      <c r="C2813" s="125">
        <f>+IFERROR(VLOOKUP(L2813,'TB mapping'!A:C,3,0),0)</f>
        <v>6.3</v>
      </c>
      <c r="D2813" s="125" t="str">
        <f t="shared" si="288"/>
        <v>LIC280</v>
      </c>
      <c r="E2813" s="125" t="str">
        <f t="shared" si="289"/>
        <v>LIC286.3</v>
      </c>
      <c r="F2813" s="158" t="str">
        <f>+VLOOKUP(H2813,'code mapping'!A:C,3,0)</f>
        <v>LIC28</v>
      </c>
      <c r="G2813" s="127" t="s">
        <v>453</v>
      </c>
      <c r="H2813" s="127" t="s">
        <v>783</v>
      </c>
      <c r="I2813" s="127" t="s">
        <v>55</v>
      </c>
      <c r="J2813" s="128">
        <v>550000</v>
      </c>
      <c r="K2813" s="127" t="s">
        <v>550</v>
      </c>
      <c r="L2813" s="151">
        <v>553007</v>
      </c>
      <c r="M2813" s="128">
        <v>0</v>
      </c>
      <c r="N2813" s="127" t="s">
        <v>551</v>
      </c>
      <c r="O2813" s="127" t="s">
        <v>457</v>
      </c>
      <c r="P2813" s="128">
        <v>-9060.61</v>
      </c>
      <c r="Q2813" s="128">
        <v>0</v>
      </c>
      <c r="R2813" s="128">
        <v>0</v>
      </c>
      <c r="S2813" s="128">
        <v>0</v>
      </c>
      <c r="T2813" s="128">
        <v>-9060.61</v>
      </c>
      <c r="U2813" s="128">
        <v>0</v>
      </c>
      <c r="V2813" s="128">
        <v>-9060.61</v>
      </c>
      <c r="W2813" s="128">
        <v>0</v>
      </c>
      <c r="X2813" s="128">
        <v>0</v>
      </c>
      <c r="Y2813" s="128">
        <v>0</v>
      </c>
      <c r="Z2813" s="128">
        <v>-9060.61</v>
      </c>
      <c r="AA2813" s="128">
        <v>0</v>
      </c>
      <c r="AB2813" s="126">
        <f t="shared" si="290"/>
        <v>9.0606100000000011E-4</v>
      </c>
      <c r="AC2813" s="122" t="s">
        <v>1838</v>
      </c>
      <c r="AD2813" s="123">
        <f t="shared" si="286"/>
        <v>3.7293684539999998</v>
      </c>
    </row>
    <row r="2814" spans="1:30" ht="12.75" hidden="1" customHeight="1">
      <c r="A2814" s="125" t="str">
        <f t="shared" si="287"/>
        <v>LIC28Audit Fee</v>
      </c>
      <c r="B2814" s="125">
        <f>+IFERROR(VLOOKUP(L2814,'TB mapping'!A:D,4,0),0)</f>
        <v>0</v>
      </c>
      <c r="C2814" s="125">
        <f>+IFERROR(VLOOKUP(L2814,'TB mapping'!A:C,3,0),0)</f>
        <v>6.3</v>
      </c>
      <c r="D2814" s="125" t="str">
        <f t="shared" si="288"/>
        <v>LIC280</v>
      </c>
      <c r="E2814" s="125" t="str">
        <f t="shared" si="289"/>
        <v>LIC286.3</v>
      </c>
      <c r="F2814" s="158" t="str">
        <f>+VLOOKUP(H2814,'code mapping'!A:C,3,0)</f>
        <v>LIC28</v>
      </c>
      <c r="G2814" s="127" t="s">
        <v>453</v>
      </c>
      <c r="H2814" s="127" t="s">
        <v>783</v>
      </c>
      <c r="I2814" s="127" t="s">
        <v>55</v>
      </c>
      <c r="J2814" s="128">
        <v>550000</v>
      </c>
      <c r="K2814" s="127" t="s">
        <v>550</v>
      </c>
      <c r="L2814" s="151">
        <v>553105</v>
      </c>
      <c r="M2814" s="128">
        <v>0</v>
      </c>
      <c r="N2814" s="127" t="s">
        <v>552</v>
      </c>
      <c r="O2814" s="127" t="s">
        <v>457</v>
      </c>
      <c r="P2814" s="128">
        <v>-42620.12</v>
      </c>
      <c r="Q2814" s="128">
        <v>0</v>
      </c>
      <c r="R2814" s="128">
        <v>0</v>
      </c>
      <c r="S2814" s="128">
        <v>0</v>
      </c>
      <c r="T2814" s="128">
        <v>-42620.12</v>
      </c>
      <c r="U2814" s="128">
        <v>0</v>
      </c>
      <c r="V2814" s="128">
        <v>-42620.12</v>
      </c>
      <c r="W2814" s="128">
        <v>0</v>
      </c>
      <c r="X2814" s="128">
        <v>0</v>
      </c>
      <c r="Y2814" s="128">
        <v>0</v>
      </c>
      <c r="Z2814" s="128">
        <v>-42620.12</v>
      </c>
      <c r="AA2814" s="128">
        <v>0</v>
      </c>
      <c r="AB2814" s="126">
        <f t="shared" si="290"/>
        <v>4.2620119999999999E-3</v>
      </c>
      <c r="AC2814" s="122" t="s">
        <v>1838</v>
      </c>
      <c r="AD2814" s="123">
        <f t="shared" si="286"/>
        <v>3.7293684539999998</v>
      </c>
    </row>
    <row r="2815" spans="1:30" ht="12.75" hidden="1" customHeight="1">
      <c r="A2815" s="125" t="str">
        <f t="shared" si="287"/>
        <v>LIC28Custody Fee</v>
      </c>
      <c r="B2815" s="125">
        <f>+IFERROR(VLOOKUP(L2815,'TB mapping'!A:D,4,0),0)</f>
        <v>0</v>
      </c>
      <c r="C2815" s="125">
        <f>+IFERROR(VLOOKUP(L2815,'TB mapping'!A:C,3,0),0)</f>
        <v>6.3</v>
      </c>
      <c r="D2815" s="125" t="str">
        <f t="shared" si="288"/>
        <v>LIC280</v>
      </c>
      <c r="E2815" s="125" t="str">
        <f t="shared" si="289"/>
        <v>LIC286.3</v>
      </c>
      <c r="F2815" s="158" t="str">
        <f>+VLOOKUP(H2815,'code mapping'!A:C,3,0)</f>
        <v>LIC28</v>
      </c>
      <c r="G2815" s="127" t="s">
        <v>453</v>
      </c>
      <c r="H2815" s="127" t="s">
        <v>783</v>
      </c>
      <c r="I2815" s="127" t="s">
        <v>55</v>
      </c>
      <c r="J2815" s="128">
        <v>550000</v>
      </c>
      <c r="K2815" s="127" t="s">
        <v>550</v>
      </c>
      <c r="L2815" s="151">
        <v>553107</v>
      </c>
      <c r="M2815" s="128">
        <v>0</v>
      </c>
      <c r="N2815" s="127" t="s">
        <v>553</v>
      </c>
      <c r="O2815" s="127" t="s">
        <v>457</v>
      </c>
      <c r="P2815" s="128">
        <v>-557054.32999999996</v>
      </c>
      <c r="Q2815" s="128">
        <v>0</v>
      </c>
      <c r="R2815" s="128">
        <v>0</v>
      </c>
      <c r="S2815" s="128">
        <v>0</v>
      </c>
      <c r="T2815" s="128">
        <v>-557054.32999999996</v>
      </c>
      <c r="U2815" s="128">
        <v>0</v>
      </c>
      <c r="V2815" s="128">
        <v>-557054.32999999996</v>
      </c>
      <c r="W2815" s="128">
        <v>0</v>
      </c>
      <c r="X2815" s="128">
        <v>0</v>
      </c>
      <c r="Y2815" s="128">
        <v>0</v>
      </c>
      <c r="Z2815" s="128">
        <v>-557054.32999999996</v>
      </c>
      <c r="AA2815" s="128">
        <v>0</v>
      </c>
      <c r="AB2815" s="126">
        <f t="shared" si="290"/>
        <v>5.5705432999999999E-2</v>
      </c>
      <c r="AC2815" s="122" t="s">
        <v>1838</v>
      </c>
      <c r="AD2815" s="123">
        <f t="shared" si="286"/>
        <v>3.7293684539999998</v>
      </c>
    </row>
    <row r="2816" spans="1:30" ht="12.75" hidden="1" customHeight="1">
      <c r="A2816" s="125" t="str">
        <f t="shared" si="287"/>
        <v>LIC28Expense Allocation Account</v>
      </c>
      <c r="B2816" s="125">
        <f>+IFERROR(VLOOKUP(L2816,'TB mapping'!A:D,4,0),0)</f>
        <v>0</v>
      </c>
      <c r="C2816" s="125">
        <f>+IFERROR(VLOOKUP(L2816,'TB mapping'!A:C,3,0),0)</f>
        <v>6.3</v>
      </c>
      <c r="D2816" s="125" t="str">
        <f t="shared" si="288"/>
        <v>LIC280</v>
      </c>
      <c r="E2816" s="125" t="str">
        <f t="shared" si="289"/>
        <v>LIC286.3</v>
      </c>
      <c r="F2816" s="158" t="str">
        <f>+VLOOKUP(H2816,'code mapping'!A:C,3,0)</f>
        <v>LIC28</v>
      </c>
      <c r="G2816" s="127" t="s">
        <v>453</v>
      </c>
      <c r="H2816" s="127" t="s">
        <v>783</v>
      </c>
      <c r="I2816" s="127" t="s">
        <v>55</v>
      </c>
      <c r="J2816" s="128">
        <v>550000</v>
      </c>
      <c r="K2816" s="127" t="s">
        <v>550</v>
      </c>
      <c r="L2816" s="151">
        <v>553111</v>
      </c>
      <c r="M2816" s="128">
        <v>0</v>
      </c>
      <c r="N2816" s="127" t="s">
        <v>554</v>
      </c>
      <c r="O2816" s="127" t="s">
        <v>457</v>
      </c>
      <c r="P2816" s="128">
        <v>0</v>
      </c>
      <c r="Q2816" s="128">
        <v>1182981.1400000001</v>
      </c>
      <c r="R2816" s="128">
        <v>0</v>
      </c>
      <c r="S2816" s="128">
        <v>0</v>
      </c>
      <c r="T2816" s="128">
        <v>0</v>
      </c>
      <c r="U2816" s="128">
        <v>1182981.1400000001</v>
      </c>
      <c r="V2816" s="128">
        <v>0</v>
      </c>
      <c r="W2816" s="128">
        <v>1182981.1400000001</v>
      </c>
      <c r="X2816" s="128">
        <v>0</v>
      </c>
      <c r="Y2816" s="128">
        <v>0</v>
      </c>
      <c r="Z2816" s="128">
        <v>0</v>
      </c>
      <c r="AA2816" s="128">
        <v>1182981.1400000001</v>
      </c>
      <c r="AB2816" s="126">
        <f t="shared" si="290"/>
        <v>-0.11829811400000001</v>
      </c>
      <c r="AC2816" s="122" t="s">
        <v>1838</v>
      </c>
      <c r="AD2816" s="123">
        <f t="shared" si="286"/>
        <v>3.7293684539999998</v>
      </c>
    </row>
    <row r="2817" spans="1:30" ht="12.75" hidden="1" customHeight="1">
      <c r="A2817" s="125" t="str">
        <f t="shared" si="287"/>
        <v>LIC28Trustee Fee</v>
      </c>
      <c r="B2817" s="125">
        <f>+IFERROR(VLOOKUP(L2817,'TB mapping'!A:D,4,0),0)</f>
        <v>6.2</v>
      </c>
      <c r="C2817" s="125">
        <f>+IFERROR(VLOOKUP(L2817,'TB mapping'!A:C,3,0),0)</f>
        <v>6.3</v>
      </c>
      <c r="D2817" s="125" t="str">
        <f t="shared" si="288"/>
        <v>LIC286.2</v>
      </c>
      <c r="E2817" s="125" t="str">
        <f t="shared" si="289"/>
        <v>LIC286.3</v>
      </c>
      <c r="F2817" s="158" t="str">
        <f>+VLOOKUP(H2817,'code mapping'!A:C,3,0)</f>
        <v>LIC28</v>
      </c>
      <c r="G2817" s="127" t="s">
        <v>453</v>
      </c>
      <c r="H2817" s="127" t="s">
        <v>783</v>
      </c>
      <c r="I2817" s="127" t="s">
        <v>55</v>
      </c>
      <c r="J2817" s="128">
        <v>550000</v>
      </c>
      <c r="K2817" s="127" t="s">
        <v>550</v>
      </c>
      <c r="L2817" s="151">
        <v>553131</v>
      </c>
      <c r="M2817" s="128">
        <v>0</v>
      </c>
      <c r="N2817" s="127" t="s">
        <v>555</v>
      </c>
      <c r="O2817" s="127" t="s">
        <v>457</v>
      </c>
      <c r="P2817" s="128">
        <v>-12159.29</v>
      </c>
      <c r="Q2817" s="128">
        <v>0</v>
      </c>
      <c r="R2817" s="128">
        <v>0</v>
      </c>
      <c r="S2817" s="128">
        <v>0</v>
      </c>
      <c r="T2817" s="128">
        <v>-12159.29</v>
      </c>
      <c r="U2817" s="128">
        <v>0</v>
      </c>
      <c r="V2817" s="128">
        <v>-12159.29</v>
      </c>
      <c r="W2817" s="128">
        <v>0</v>
      </c>
      <c r="X2817" s="128">
        <v>0</v>
      </c>
      <c r="Y2817" s="128">
        <v>0</v>
      </c>
      <c r="Z2817" s="128">
        <v>-12159.29</v>
      </c>
      <c r="AA2817" s="128">
        <v>0</v>
      </c>
      <c r="AB2817" s="126">
        <f t="shared" si="290"/>
        <v>1.2159290000000001E-3</v>
      </c>
      <c r="AC2817" s="122" t="s">
        <v>1838</v>
      </c>
      <c r="AD2817" s="123">
        <f t="shared" si="286"/>
        <v>3.7293684539999998</v>
      </c>
    </row>
    <row r="2818" spans="1:30" ht="12.75" hidden="1" customHeight="1">
      <c r="A2818" s="125" t="str">
        <f t="shared" si="287"/>
        <v>LIC28Bank Charges</v>
      </c>
      <c r="B2818" s="125">
        <f>+IFERROR(VLOOKUP(L2818,'TB mapping'!A:D,4,0),0)</f>
        <v>0</v>
      </c>
      <c r="C2818" s="125">
        <f>+IFERROR(VLOOKUP(L2818,'TB mapping'!A:C,3,0),0)</f>
        <v>6.3</v>
      </c>
      <c r="D2818" s="125" t="str">
        <f t="shared" si="288"/>
        <v>LIC280</v>
      </c>
      <c r="E2818" s="125" t="str">
        <f t="shared" si="289"/>
        <v>LIC286.3</v>
      </c>
      <c r="F2818" s="158" t="str">
        <f>+VLOOKUP(H2818,'code mapping'!A:C,3,0)</f>
        <v>LIC28</v>
      </c>
      <c r="G2818" s="127" t="s">
        <v>453</v>
      </c>
      <c r="H2818" s="127" t="s">
        <v>783</v>
      </c>
      <c r="I2818" s="127" t="s">
        <v>55</v>
      </c>
      <c r="J2818" s="128">
        <v>550000</v>
      </c>
      <c r="K2818" s="127" t="s">
        <v>550</v>
      </c>
      <c r="L2818" s="151">
        <v>553141</v>
      </c>
      <c r="M2818" s="128">
        <v>0</v>
      </c>
      <c r="N2818" s="127" t="s">
        <v>556</v>
      </c>
      <c r="O2818" s="127" t="s">
        <v>457</v>
      </c>
      <c r="P2818" s="128">
        <v>-159146.18</v>
      </c>
      <c r="Q2818" s="128">
        <v>0</v>
      </c>
      <c r="R2818" s="128">
        <v>0</v>
      </c>
      <c r="S2818" s="128">
        <v>0</v>
      </c>
      <c r="T2818" s="128">
        <v>-159146.18</v>
      </c>
      <c r="U2818" s="128">
        <v>0</v>
      </c>
      <c r="V2818" s="128">
        <v>-159146.18</v>
      </c>
      <c r="W2818" s="128">
        <v>0</v>
      </c>
      <c r="X2818" s="128">
        <v>0</v>
      </c>
      <c r="Y2818" s="128">
        <v>0</v>
      </c>
      <c r="Z2818" s="128">
        <v>-159146.18</v>
      </c>
      <c r="AA2818" s="128">
        <v>0</v>
      </c>
      <c r="AB2818" s="126">
        <f t="shared" si="290"/>
        <v>1.5914617999999998E-2</v>
      </c>
      <c r="AC2818" s="122" t="s">
        <v>1838</v>
      </c>
      <c r="AD2818" s="123">
        <f t="shared" si="286"/>
        <v>3.7293684539999998</v>
      </c>
    </row>
    <row r="2819" spans="1:30" ht="12.75" hidden="1" customHeight="1">
      <c r="A2819" s="125" t="str">
        <f t="shared" si="287"/>
        <v>LIC28Marketing Fees</v>
      </c>
      <c r="B2819" s="125">
        <f>+IFERROR(VLOOKUP(L2819,'TB mapping'!A:D,4,0),0)</f>
        <v>0</v>
      </c>
      <c r="C2819" s="125">
        <f>+IFERROR(VLOOKUP(L2819,'TB mapping'!A:C,3,0),0)</f>
        <v>6.3</v>
      </c>
      <c r="D2819" s="125" t="str">
        <f t="shared" si="288"/>
        <v>LIC280</v>
      </c>
      <c r="E2819" s="125" t="str">
        <f t="shared" si="289"/>
        <v>LIC286.3</v>
      </c>
      <c r="F2819" s="158" t="str">
        <f>+VLOOKUP(H2819,'code mapping'!A:C,3,0)</f>
        <v>LIC28</v>
      </c>
      <c r="G2819" s="127" t="s">
        <v>453</v>
      </c>
      <c r="H2819" s="127" t="s">
        <v>783</v>
      </c>
      <c r="I2819" s="127" t="s">
        <v>55</v>
      </c>
      <c r="J2819" s="128">
        <v>550000</v>
      </c>
      <c r="K2819" s="127" t="s">
        <v>550</v>
      </c>
      <c r="L2819" s="151">
        <v>553147</v>
      </c>
      <c r="M2819" s="128">
        <v>0</v>
      </c>
      <c r="N2819" s="127" t="s">
        <v>712</v>
      </c>
      <c r="O2819" s="127" t="s">
        <v>457</v>
      </c>
      <c r="P2819" s="128">
        <v>-16757.900000000001</v>
      </c>
      <c r="Q2819" s="128">
        <v>0</v>
      </c>
      <c r="R2819" s="128">
        <v>0</v>
      </c>
      <c r="S2819" s="128">
        <v>0</v>
      </c>
      <c r="T2819" s="128">
        <v>-16757.900000000001</v>
      </c>
      <c r="U2819" s="128">
        <v>0</v>
      </c>
      <c r="V2819" s="128">
        <v>-16757.900000000001</v>
      </c>
      <c r="W2819" s="128">
        <v>0</v>
      </c>
      <c r="X2819" s="128">
        <v>0</v>
      </c>
      <c r="Y2819" s="128">
        <v>0</v>
      </c>
      <c r="Z2819" s="128">
        <v>-16757.900000000001</v>
      </c>
      <c r="AA2819" s="128">
        <v>0</v>
      </c>
      <c r="AB2819" s="126">
        <f t="shared" si="290"/>
        <v>1.6757900000000001E-3</v>
      </c>
      <c r="AC2819" s="122" t="s">
        <v>1838</v>
      </c>
      <c r="AD2819" s="123">
        <f t="shared" si="286"/>
        <v>3.7293684539999998</v>
      </c>
    </row>
    <row r="2820" spans="1:30" ht="12.75" hidden="1" customHeight="1">
      <c r="A2820" s="125" t="str">
        <f t="shared" si="287"/>
        <v>LIC28Investor Education Fund Exps</v>
      </c>
      <c r="B2820" s="125">
        <f>+IFERROR(VLOOKUP(L2820,'TB mapping'!A:D,4,0),0)</f>
        <v>0</v>
      </c>
      <c r="C2820" s="125">
        <f>+IFERROR(VLOOKUP(L2820,'TB mapping'!A:C,3,0),0)</f>
        <v>6.3</v>
      </c>
      <c r="D2820" s="125" t="str">
        <f t="shared" si="288"/>
        <v>LIC280</v>
      </c>
      <c r="E2820" s="125" t="str">
        <f t="shared" si="289"/>
        <v>LIC286.3</v>
      </c>
      <c r="F2820" s="158" t="str">
        <f>+VLOOKUP(H2820,'code mapping'!A:C,3,0)</f>
        <v>LIC28</v>
      </c>
      <c r="G2820" s="127" t="s">
        <v>453</v>
      </c>
      <c r="H2820" s="127" t="s">
        <v>783</v>
      </c>
      <c r="I2820" s="127" t="s">
        <v>55</v>
      </c>
      <c r="J2820" s="128">
        <v>550000</v>
      </c>
      <c r="K2820" s="127" t="s">
        <v>550</v>
      </c>
      <c r="L2820" s="151">
        <v>553171</v>
      </c>
      <c r="M2820" s="128">
        <v>0</v>
      </c>
      <c r="N2820" s="127" t="s">
        <v>557</v>
      </c>
      <c r="O2820" s="127" t="s">
        <v>457</v>
      </c>
      <c r="P2820" s="128">
        <v>-127962.43</v>
      </c>
      <c r="Q2820" s="128">
        <v>0</v>
      </c>
      <c r="R2820" s="128">
        <v>0</v>
      </c>
      <c r="S2820" s="128">
        <v>0</v>
      </c>
      <c r="T2820" s="128">
        <v>-127962.43</v>
      </c>
      <c r="U2820" s="128">
        <v>0</v>
      </c>
      <c r="V2820" s="128">
        <v>-127962.43</v>
      </c>
      <c r="W2820" s="128">
        <v>0</v>
      </c>
      <c r="X2820" s="128">
        <v>0</v>
      </c>
      <c r="Y2820" s="128">
        <v>0</v>
      </c>
      <c r="Z2820" s="128">
        <v>-127962.43</v>
      </c>
      <c r="AA2820" s="128">
        <v>0</v>
      </c>
      <c r="AB2820" s="126">
        <f t="shared" si="290"/>
        <v>1.2796242999999999E-2</v>
      </c>
      <c r="AC2820" s="122" t="s">
        <v>1838</v>
      </c>
      <c r="AD2820" s="123">
        <f t="shared" si="286"/>
        <v>3.7293684539999998</v>
      </c>
    </row>
    <row r="2821" spans="1:30" ht="12.75" hidden="1" customHeight="1">
      <c r="A2821" s="125" t="str">
        <f t="shared" si="287"/>
        <v>LIC28Service Tax on Management Fees</v>
      </c>
      <c r="B2821" s="125">
        <f>+IFERROR(VLOOKUP(L2821,'TB mapping'!A:D,4,0),0)</f>
        <v>6.1</v>
      </c>
      <c r="C2821" s="125">
        <f>+IFERROR(VLOOKUP(L2821,'TB mapping'!A:C,3,0),0)</f>
        <v>6.3</v>
      </c>
      <c r="D2821" s="125" t="str">
        <f t="shared" si="288"/>
        <v>LIC286.1</v>
      </c>
      <c r="E2821" s="125" t="str">
        <f t="shared" si="289"/>
        <v>LIC286.3</v>
      </c>
      <c r="F2821" s="158" t="str">
        <f>+VLOOKUP(H2821,'code mapping'!A:C,3,0)</f>
        <v>LIC28</v>
      </c>
      <c r="G2821" s="127" t="s">
        <v>453</v>
      </c>
      <c r="H2821" s="127" t="s">
        <v>783</v>
      </c>
      <c r="I2821" s="127" t="s">
        <v>55</v>
      </c>
      <c r="J2821" s="128">
        <v>550000</v>
      </c>
      <c r="K2821" s="127" t="s">
        <v>550</v>
      </c>
      <c r="L2821" s="151">
        <v>553172</v>
      </c>
      <c r="M2821" s="128">
        <v>0</v>
      </c>
      <c r="N2821" s="127" t="s">
        <v>558</v>
      </c>
      <c r="O2821" s="127" t="s">
        <v>457</v>
      </c>
      <c r="P2821" s="128">
        <v>-477296.98</v>
      </c>
      <c r="Q2821" s="128">
        <v>0</v>
      </c>
      <c r="R2821" s="128">
        <v>0</v>
      </c>
      <c r="S2821" s="128">
        <v>0</v>
      </c>
      <c r="T2821" s="128">
        <v>-477296.98</v>
      </c>
      <c r="U2821" s="128">
        <v>0</v>
      </c>
      <c r="V2821" s="128">
        <v>-477296.98</v>
      </c>
      <c r="W2821" s="128">
        <v>0</v>
      </c>
      <c r="X2821" s="128">
        <v>0</v>
      </c>
      <c r="Y2821" s="128">
        <v>0</v>
      </c>
      <c r="Z2821" s="128">
        <v>-477296.98</v>
      </c>
      <c r="AA2821" s="128">
        <v>0</v>
      </c>
      <c r="AB2821" s="126">
        <f t="shared" si="290"/>
        <v>4.7729698000000001E-2</v>
      </c>
      <c r="AC2821" s="122" t="s">
        <v>1838</v>
      </c>
      <c r="AD2821" s="123">
        <f t="shared" si="286"/>
        <v>3.7293684539999998</v>
      </c>
    </row>
    <row r="2822" spans="1:30" ht="12.75" hidden="1" customHeight="1">
      <c r="A2822" s="125" t="str">
        <f t="shared" si="287"/>
        <v>LIC28CCIL Expenses</v>
      </c>
      <c r="B2822" s="125">
        <f>+IFERROR(VLOOKUP(L2822,'TB mapping'!A:D,4,0),0)</f>
        <v>0</v>
      </c>
      <c r="C2822" s="125">
        <f>+IFERROR(VLOOKUP(L2822,'TB mapping'!A:C,3,0),0)</f>
        <v>6.3</v>
      </c>
      <c r="D2822" s="125" t="str">
        <f t="shared" si="288"/>
        <v>LIC280</v>
      </c>
      <c r="E2822" s="125" t="str">
        <f t="shared" si="289"/>
        <v>LIC286.3</v>
      </c>
      <c r="F2822" s="158" t="str">
        <f>+VLOOKUP(H2822,'code mapping'!A:C,3,0)</f>
        <v>LIC28</v>
      </c>
      <c r="G2822" s="127" t="s">
        <v>453</v>
      </c>
      <c r="H2822" s="127" t="s">
        <v>783</v>
      </c>
      <c r="I2822" s="127" t="s">
        <v>55</v>
      </c>
      <c r="J2822" s="128">
        <v>550000</v>
      </c>
      <c r="K2822" s="127" t="s">
        <v>550</v>
      </c>
      <c r="L2822" s="151">
        <v>553176</v>
      </c>
      <c r="M2822" s="128">
        <v>0</v>
      </c>
      <c r="N2822" s="127" t="s">
        <v>559</v>
      </c>
      <c r="O2822" s="127" t="s">
        <v>457</v>
      </c>
      <c r="P2822" s="128">
        <v>-24174.41</v>
      </c>
      <c r="Q2822" s="128">
        <v>0</v>
      </c>
      <c r="R2822" s="128">
        <v>0</v>
      </c>
      <c r="S2822" s="128">
        <v>0</v>
      </c>
      <c r="T2822" s="128">
        <v>-24174.41</v>
      </c>
      <c r="U2822" s="128">
        <v>0</v>
      </c>
      <c r="V2822" s="128">
        <v>-24174.41</v>
      </c>
      <c r="W2822" s="128">
        <v>0</v>
      </c>
      <c r="X2822" s="128">
        <v>0</v>
      </c>
      <c r="Y2822" s="128">
        <v>0</v>
      </c>
      <c r="Z2822" s="128">
        <v>-24174.41</v>
      </c>
      <c r="AA2822" s="128">
        <v>0</v>
      </c>
      <c r="AB2822" s="126">
        <f t="shared" si="290"/>
        <v>2.4174409999999998E-3</v>
      </c>
      <c r="AC2822" s="122" t="s">
        <v>1838</v>
      </c>
      <c r="AD2822" s="123">
        <f t="shared" si="286"/>
        <v>3.7293684539999998</v>
      </c>
    </row>
    <row r="2823" spans="1:30" ht="12.75" hidden="1" customHeight="1">
      <c r="A2823" s="125" t="str">
        <f t="shared" si="287"/>
        <v>LIC28Out of Pocket Expenses - R&amp;T</v>
      </c>
      <c r="B2823" s="125">
        <f>+IFERROR(VLOOKUP(L2823,'TB mapping'!A:D,4,0),0)</f>
        <v>0</v>
      </c>
      <c r="C2823" s="125">
        <f>+IFERROR(VLOOKUP(L2823,'TB mapping'!A:C,3,0),0)</f>
        <v>6.3</v>
      </c>
      <c r="D2823" s="125" t="str">
        <f t="shared" si="288"/>
        <v>LIC280</v>
      </c>
      <c r="E2823" s="125" t="str">
        <f t="shared" si="289"/>
        <v>LIC286.3</v>
      </c>
      <c r="F2823" s="158" t="str">
        <f>+VLOOKUP(H2823,'code mapping'!A:C,3,0)</f>
        <v>LIC28</v>
      </c>
      <c r="G2823" s="127" t="s">
        <v>453</v>
      </c>
      <c r="H2823" s="127" t="s">
        <v>783</v>
      </c>
      <c r="I2823" s="127" t="s">
        <v>55</v>
      </c>
      <c r="J2823" s="128">
        <v>550000</v>
      </c>
      <c r="K2823" s="127" t="s">
        <v>550</v>
      </c>
      <c r="L2823" s="151">
        <v>553180</v>
      </c>
      <c r="M2823" s="128">
        <v>0</v>
      </c>
      <c r="N2823" s="127" t="s">
        <v>560</v>
      </c>
      <c r="O2823" s="127" t="s">
        <v>457</v>
      </c>
      <c r="P2823" s="128">
        <v>-135036.16</v>
      </c>
      <c r="Q2823" s="128">
        <v>0</v>
      </c>
      <c r="R2823" s="128">
        <v>0</v>
      </c>
      <c r="S2823" s="128">
        <v>0</v>
      </c>
      <c r="T2823" s="128">
        <v>-135036.16</v>
      </c>
      <c r="U2823" s="128">
        <v>0</v>
      </c>
      <c r="V2823" s="128">
        <v>-135036.16</v>
      </c>
      <c r="W2823" s="128">
        <v>0</v>
      </c>
      <c r="X2823" s="128">
        <v>0</v>
      </c>
      <c r="Y2823" s="128">
        <v>0</v>
      </c>
      <c r="Z2823" s="128">
        <v>-135036.16</v>
      </c>
      <c r="AA2823" s="128">
        <v>0</v>
      </c>
      <c r="AB2823" s="126">
        <f t="shared" si="290"/>
        <v>1.3503616E-2</v>
      </c>
      <c r="AC2823" s="122" t="s">
        <v>1838</v>
      </c>
      <c r="AD2823" s="123">
        <f t="shared" si="286"/>
        <v>3.7293684539999998</v>
      </c>
    </row>
    <row r="2824" spans="1:30" ht="12.75" hidden="1" customHeight="1">
      <c r="A2824" s="125" t="str">
        <f t="shared" si="287"/>
        <v>LIC28Other Expenses</v>
      </c>
      <c r="B2824" s="125">
        <f>+IFERROR(VLOOKUP(L2824,'TB mapping'!A:D,4,0),0)</f>
        <v>0</v>
      </c>
      <c r="C2824" s="125">
        <f>+IFERROR(VLOOKUP(L2824,'TB mapping'!A:C,3,0),0)</f>
        <v>6.3</v>
      </c>
      <c r="D2824" s="125" t="str">
        <f t="shared" si="288"/>
        <v>LIC280</v>
      </c>
      <c r="E2824" s="125" t="str">
        <f t="shared" si="289"/>
        <v>LIC286.3</v>
      </c>
      <c r="F2824" s="158" t="str">
        <f>+VLOOKUP(H2824,'code mapping'!A:C,3,0)</f>
        <v>LIC28</v>
      </c>
      <c r="G2824" s="127" t="s">
        <v>453</v>
      </c>
      <c r="H2824" s="127" t="s">
        <v>783</v>
      </c>
      <c r="I2824" s="127" t="s">
        <v>55</v>
      </c>
      <c r="J2824" s="128">
        <v>550000</v>
      </c>
      <c r="K2824" s="127" t="s">
        <v>550</v>
      </c>
      <c r="L2824" s="151">
        <v>553190</v>
      </c>
      <c r="M2824" s="128">
        <v>0</v>
      </c>
      <c r="N2824" s="127" t="s">
        <v>561</v>
      </c>
      <c r="O2824" s="127" t="s">
        <v>457</v>
      </c>
      <c r="P2824" s="128">
        <v>-127165</v>
      </c>
      <c r="Q2824" s="128">
        <v>0</v>
      </c>
      <c r="R2824" s="128">
        <v>0</v>
      </c>
      <c r="S2824" s="128">
        <v>0</v>
      </c>
      <c r="T2824" s="128">
        <v>-127165</v>
      </c>
      <c r="U2824" s="128">
        <v>0</v>
      </c>
      <c r="V2824" s="128">
        <v>-127165</v>
      </c>
      <c r="W2824" s="128">
        <v>0</v>
      </c>
      <c r="X2824" s="128">
        <v>0</v>
      </c>
      <c r="Y2824" s="128">
        <v>0</v>
      </c>
      <c r="Z2824" s="128">
        <v>-127165</v>
      </c>
      <c r="AA2824" s="128">
        <v>0</v>
      </c>
      <c r="AB2824" s="126">
        <f t="shared" si="290"/>
        <v>1.27165E-2</v>
      </c>
      <c r="AC2824" s="122" t="s">
        <v>1838</v>
      </c>
      <c r="AD2824" s="123">
        <f t="shared" si="286"/>
        <v>3.7293684539999998</v>
      </c>
    </row>
    <row r="2825" spans="1:30" ht="12.75" hidden="1" customHeight="1">
      <c r="A2825" s="125" t="str">
        <f t="shared" si="287"/>
        <v>LIC28Other Expenses-RG</v>
      </c>
      <c r="B2825" s="125">
        <f>+IFERROR(VLOOKUP(L2825,'TB mapping'!A:D,4,0),0)</f>
        <v>0</v>
      </c>
      <c r="C2825" s="125">
        <f>+IFERROR(VLOOKUP(L2825,'TB mapping'!A:C,3,0),0)</f>
        <v>6.3</v>
      </c>
      <c r="D2825" s="125" t="str">
        <f t="shared" si="288"/>
        <v>LIC280</v>
      </c>
      <c r="E2825" s="125" t="str">
        <f t="shared" si="289"/>
        <v>LIC286.3</v>
      </c>
      <c r="F2825" s="158" t="str">
        <f>+VLOOKUP(H2825,'code mapping'!A:C,3,0)</f>
        <v>LIC28</v>
      </c>
      <c r="G2825" s="127" t="s">
        <v>453</v>
      </c>
      <c r="H2825" s="127" t="s">
        <v>783</v>
      </c>
      <c r="I2825" s="127" t="s">
        <v>55</v>
      </c>
      <c r="J2825" s="128">
        <v>550000</v>
      </c>
      <c r="K2825" s="127" t="s">
        <v>550</v>
      </c>
      <c r="L2825" s="151">
        <v>553191</v>
      </c>
      <c r="M2825" s="128">
        <v>0</v>
      </c>
      <c r="N2825" s="127" t="s">
        <v>562</v>
      </c>
      <c r="O2825" s="127" t="s">
        <v>457</v>
      </c>
      <c r="P2825" s="128">
        <v>-1349370.51</v>
      </c>
      <c r="Q2825" s="128">
        <v>0</v>
      </c>
      <c r="R2825" s="128">
        <v>0</v>
      </c>
      <c r="S2825" s="128">
        <v>0</v>
      </c>
      <c r="T2825" s="128">
        <v>-1349370.51</v>
      </c>
      <c r="U2825" s="128">
        <v>0</v>
      </c>
      <c r="V2825" s="128">
        <v>-1349370.51</v>
      </c>
      <c r="W2825" s="128">
        <v>0</v>
      </c>
      <c r="X2825" s="128">
        <v>0</v>
      </c>
      <c r="Y2825" s="128">
        <v>0</v>
      </c>
      <c r="Z2825" s="128">
        <v>-1349370.51</v>
      </c>
      <c r="AA2825" s="128">
        <v>0</v>
      </c>
      <c r="AB2825" s="126">
        <f t="shared" si="290"/>
        <v>0.134937051</v>
      </c>
      <c r="AC2825" s="122" t="s">
        <v>1838</v>
      </c>
      <c r="AD2825" s="123">
        <f t="shared" si="286"/>
        <v>3.7293684539999998</v>
      </c>
    </row>
    <row r="2826" spans="1:30" ht="12.75" hidden="1" customHeight="1">
      <c r="A2826" s="125" t="str">
        <f t="shared" si="287"/>
        <v>LIC28Other Expenses-RD</v>
      </c>
      <c r="B2826" s="125">
        <f>+IFERROR(VLOOKUP(L2826,'TB mapping'!A:D,4,0),0)</f>
        <v>0</v>
      </c>
      <c r="C2826" s="125">
        <f>+IFERROR(VLOOKUP(L2826,'TB mapping'!A:C,3,0),0)</f>
        <v>6.3</v>
      </c>
      <c r="D2826" s="125" t="str">
        <f t="shared" si="288"/>
        <v>LIC280</v>
      </c>
      <c r="E2826" s="125" t="str">
        <f t="shared" si="289"/>
        <v>LIC286.3</v>
      </c>
      <c r="F2826" s="158" t="str">
        <f>+VLOOKUP(H2826,'code mapping'!A:C,3,0)</f>
        <v>LIC28</v>
      </c>
      <c r="G2826" s="127" t="s">
        <v>453</v>
      </c>
      <c r="H2826" s="127" t="s">
        <v>783</v>
      </c>
      <c r="I2826" s="127" t="s">
        <v>55</v>
      </c>
      <c r="J2826" s="128">
        <v>550000</v>
      </c>
      <c r="K2826" s="127" t="s">
        <v>550</v>
      </c>
      <c r="L2826" s="151">
        <v>553192</v>
      </c>
      <c r="M2826" s="128">
        <v>0</v>
      </c>
      <c r="N2826" s="127" t="s">
        <v>563</v>
      </c>
      <c r="O2826" s="127" t="s">
        <v>457</v>
      </c>
      <c r="P2826" s="128">
        <v>-289154.62</v>
      </c>
      <c r="Q2826" s="128">
        <v>0</v>
      </c>
      <c r="R2826" s="128">
        <v>0</v>
      </c>
      <c r="S2826" s="128">
        <v>0</v>
      </c>
      <c r="T2826" s="128">
        <v>-289154.62</v>
      </c>
      <c r="U2826" s="128">
        <v>0</v>
      </c>
      <c r="V2826" s="128">
        <v>-289154.62</v>
      </c>
      <c r="W2826" s="128">
        <v>0</v>
      </c>
      <c r="X2826" s="128">
        <v>0</v>
      </c>
      <c r="Y2826" s="128">
        <v>0</v>
      </c>
      <c r="Z2826" s="128">
        <v>-289154.62</v>
      </c>
      <c r="AA2826" s="128">
        <v>0</v>
      </c>
      <c r="AB2826" s="126">
        <f t="shared" si="290"/>
        <v>2.8915461999999999E-2</v>
      </c>
      <c r="AC2826" s="122" t="s">
        <v>1838</v>
      </c>
      <c r="AD2826" s="123">
        <f t="shared" si="286"/>
        <v>3.7293684539999998</v>
      </c>
    </row>
    <row r="2827" spans="1:30" ht="12.75" hidden="1" customHeight="1">
      <c r="A2827" s="125" t="str">
        <f t="shared" si="287"/>
        <v>LIC28Other Exp - Brok - Indirect</v>
      </c>
      <c r="B2827" s="125">
        <f>+IFERROR(VLOOKUP(L2827,'TB mapping'!A:D,4,0),0)</f>
        <v>0</v>
      </c>
      <c r="C2827" s="125">
        <f>+IFERROR(VLOOKUP(L2827,'TB mapping'!A:C,3,0),0)</f>
        <v>6.3</v>
      </c>
      <c r="D2827" s="125" t="str">
        <f t="shared" si="288"/>
        <v>LIC280</v>
      </c>
      <c r="E2827" s="125" t="str">
        <f t="shared" si="289"/>
        <v>LIC286.3</v>
      </c>
      <c r="F2827" s="158" t="str">
        <f>+VLOOKUP(H2827,'code mapping'!A:C,3,0)</f>
        <v>LIC28</v>
      </c>
      <c r="G2827" s="127" t="s">
        <v>453</v>
      </c>
      <c r="H2827" s="127" t="s">
        <v>783</v>
      </c>
      <c r="I2827" s="127" t="s">
        <v>55</v>
      </c>
      <c r="J2827" s="128">
        <v>550000</v>
      </c>
      <c r="K2827" s="127" t="s">
        <v>550</v>
      </c>
      <c r="L2827" s="151">
        <v>553202</v>
      </c>
      <c r="M2827" s="128">
        <v>0</v>
      </c>
      <c r="N2827" s="127" t="s">
        <v>564</v>
      </c>
      <c r="O2827" s="127" t="s">
        <v>457</v>
      </c>
      <c r="P2827" s="128">
        <v>-6785800.8300000001</v>
      </c>
      <c r="Q2827" s="128">
        <v>0</v>
      </c>
      <c r="R2827" s="128">
        <v>0</v>
      </c>
      <c r="S2827" s="128">
        <v>0</v>
      </c>
      <c r="T2827" s="128">
        <v>-6785800.8300000001</v>
      </c>
      <c r="U2827" s="128">
        <v>0</v>
      </c>
      <c r="V2827" s="128">
        <v>-6785800.8300000001</v>
      </c>
      <c r="W2827" s="128">
        <v>0</v>
      </c>
      <c r="X2827" s="128">
        <v>0</v>
      </c>
      <c r="Y2827" s="128">
        <v>0</v>
      </c>
      <c r="Z2827" s="128">
        <v>-6785800.8300000001</v>
      </c>
      <c r="AA2827" s="128">
        <v>0</v>
      </c>
      <c r="AB2827" s="126">
        <f t="shared" si="290"/>
        <v>0.67858008300000006</v>
      </c>
      <c r="AC2827" s="122" t="s">
        <v>1838</v>
      </c>
      <c r="AD2827" s="123">
        <f t="shared" si="286"/>
        <v>3.7293684539999998</v>
      </c>
    </row>
    <row r="2828" spans="1:30" ht="12.75" hidden="1" customHeight="1">
      <c r="A2828" s="125" t="str">
        <f t="shared" si="287"/>
        <v>LIC28Brokerage/Dist Exps</v>
      </c>
      <c r="B2828" s="125">
        <f>+IFERROR(VLOOKUP(L2828,'TB mapping'!A:D,4,0),0)</f>
        <v>0</v>
      </c>
      <c r="C2828" s="125">
        <f>+IFERROR(VLOOKUP(L2828,'TB mapping'!A:C,3,0),0)</f>
        <v>6.3</v>
      </c>
      <c r="D2828" s="125" t="str">
        <f t="shared" si="288"/>
        <v>LIC280</v>
      </c>
      <c r="E2828" s="125" t="str">
        <f t="shared" si="289"/>
        <v>LIC286.3</v>
      </c>
      <c r="F2828" s="158" t="str">
        <f>+VLOOKUP(H2828,'code mapping'!A:C,3,0)</f>
        <v>LIC28</v>
      </c>
      <c r="G2828" s="127" t="s">
        <v>453</v>
      </c>
      <c r="H2828" s="127" t="s">
        <v>783</v>
      </c>
      <c r="I2828" s="127" t="s">
        <v>55</v>
      </c>
      <c r="J2828" s="128">
        <v>550000</v>
      </c>
      <c r="K2828" s="127" t="s">
        <v>550</v>
      </c>
      <c r="L2828" s="151">
        <v>553208</v>
      </c>
      <c r="M2828" s="128">
        <v>0</v>
      </c>
      <c r="N2828" s="127" t="s">
        <v>565</v>
      </c>
      <c r="O2828" s="127" t="s">
        <v>457</v>
      </c>
      <c r="P2828" s="128">
        <v>0</v>
      </c>
      <c r="Q2828" s="128">
        <v>2679607.7999999998</v>
      </c>
      <c r="R2828" s="128">
        <v>0</v>
      </c>
      <c r="S2828" s="128">
        <v>0</v>
      </c>
      <c r="T2828" s="128">
        <v>0</v>
      </c>
      <c r="U2828" s="128">
        <v>2679607.7999999998</v>
      </c>
      <c r="V2828" s="128">
        <v>0</v>
      </c>
      <c r="W2828" s="128">
        <v>2679607.7999999998</v>
      </c>
      <c r="X2828" s="128">
        <v>0</v>
      </c>
      <c r="Y2828" s="128">
        <v>0</v>
      </c>
      <c r="Z2828" s="128">
        <v>0</v>
      </c>
      <c r="AA2828" s="128">
        <v>2679607.7999999998</v>
      </c>
      <c r="AB2828" s="126">
        <f t="shared" si="290"/>
        <v>-0.26796077999999995</v>
      </c>
      <c r="AC2828" s="122" t="s">
        <v>1838</v>
      </c>
      <c r="AD2828" s="123">
        <f t="shared" si="286"/>
        <v>3.7293684539999998</v>
      </c>
    </row>
    <row r="2829" spans="1:30" ht="12.75" hidden="1" customHeight="1">
      <c r="A2829" s="125" t="str">
        <f t="shared" si="287"/>
        <v>LIC28Internal Audit Fee</v>
      </c>
      <c r="B2829" s="125">
        <f>+IFERROR(VLOOKUP(L2829,'TB mapping'!A:D,4,0),0)</f>
        <v>0</v>
      </c>
      <c r="C2829" s="125">
        <f>+IFERROR(VLOOKUP(L2829,'TB mapping'!A:C,3,0),0)</f>
        <v>6.3</v>
      </c>
      <c r="D2829" s="125" t="str">
        <f t="shared" si="288"/>
        <v>LIC280</v>
      </c>
      <c r="E2829" s="125" t="str">
        <f t="shared" si="289"/>
        <v>LIC286.3</v>
      </c>
      <c r="F2829" s="158" t="str">
        <f>+VLOOKUP(H2829,'code mapping'!A:C,3,0)</f>
        <v>LIC28</v>
      </c>
      <c r="G2829" s="127" t="s">
        <v>453</v>
      </c>
      <c r="H2829" s="127" t="s">
        <v>783</v>
      </c>
      <c r="I2829" s="127" t="s">
        <v>55</v>
      </c>
      <c r="J2829" s="128">
        <v>550000</v>
      </c>
      <c r="K2829" s="127" t="s">
        <v>550</v>
      </c>
      <c r="L2829" s="151">
        <v>553213</v>
      </c>
      <c r="M2829" s="128">
        <v>0</v>
      </c>
      <c r="N2829" s="127" t="s">
        <v>566</v>
      </c>
      <c r="O2829" s="127" t="s">
        <v>457</v>
      </c>
      <c r="P2829" s="128">
        <v>-28615.919999999998</v>
      </c>
      <c r="Q2829" s="128">
        <v>0</v>
      </c>
      <c r="R2829" s="128">
        <v>0</v>
      </c>
      <c r="S2829" s="128">
        <v>0</v>
      </c>
      <c r="T2829" s="128">
        <v>-28615.919999999998</v>
      </c>
      <c r="U2829" s="128">
        <v>0</v>
      </c>
      <c r="V2829" s="128">
        <v>-28615.919999999998</v>
      </c>
      <c r="W2829" s="128">
        <v>0</v>
      </c>
      <c r="X2829" s="128">
        <v>0</v>
      </c>
      <c r="Y2829" s="128">
        <v>0</v>
      </c>
      <c r="Z2829" s="128">
        <v>-28615.919999999998</v>
      </c>
      <c r="AA2829" s="128">
        <v>0</v>
      </c>
      <c r="AB2829" s="126">
        <f t="shared" si="290"/>
        <v>2.861592E-3</v>
      </c>
      <c r="AC2829" s="122" t="s">
        <v>1838</v>
      </c>
      <c r="AD2829" s="123">
        <f t="shared" si="286"/>
        <v>3.7293684539999998</v>
      </c>
    </row>
    <row r="2830" spans="1:30" ht="12.75" hidden="1" customHeight="1">
      <c r="A2830" s="125" t="str">
        <f t="shared" si="287"/>
        <v>LIC28Other Expenses-GDP</v>
      </c>
      <c r="B2830" s="125">
        <f>+IFERROR(VLOOKUP(L2830,'TB mapping'!A:D,4,0),0)</f>
        <v>0</v>
      </c>
      <c r="C2830" s="125">
        <f>+IFERROR(VLOOKUP(L2830,'TB mapping'!A:C,3,0),0)</f>
        <v>6.3</v>
      </c>
      <c r="D2830" s="125" t="str">
        <f t="shared" si="288"/>
        <v>LIC280</v>
      </c>
      <c r="E2830" s="125" t="str">
        <f t="shared" si="289"/>
        <v>LIC286.3</v>
      </c>
      <c r="F2830" s="158" t="str">
        <f>+VLOOKUP(H2830,'code mapping'!A:C,3,0)</f>
        <v>LIC28</v>
      </c>
      <c r="G2830" s="127" t="s">
        <v>453</v>
      </c>
      <c r="H2830" s="127" t="s">
        <v>783</v>
      </c>
      <c r="I2830" s="127" t="s">
        <v>55</v>
      </c>
      <c r="J2830" s="128">
        <v>550000</v>
      </c>
      <c r="K2830" s="127" t="s">
        <v>550</v>
      </c>
      <c r="L2830" s="151">
        <v>553329</v>
      </c>
      <c r="M2830" s="128">
        <v>0</v>
      </c>
      <c r="N2830" s="127" t="s">
        <v>567</v>
      </c>
      <c r="O2830" s="127" t="s">
        <v>457</v>
      </c>
      <c r="P2830" s="128">
        <v>-90178.9</v>
      </c>
      <c r="Q2830" s="128">
        <v>0</v>
      </c>
      <c r="R2830" s="128">
        <v>0</v>
      </c>
      <c r="S2830" s="128">
        <v>0</v>
      </c>
      <c r="T2830" s="128">
        <v>-90178.9</v>
      </c>
      <c r="U2830" s="128">
        <v>0</v>
      </c>
      <c r="V2830" s="128">
        <v>-90178.9</v>
      </c>
      <c r="W2830" s="128">
        <v>0</v>
      </c>
      <c r="X2830" s="128">
        <v>0</v>
      </c>
      <c r="Y2830" s="128">
        <v>0</v>
      </c>
      <c r="Z2830" s="128">
        <v>-90178.9</v>
      </c>
      <c r="AA2830" s="128">
        <v>0</v>
      </c>
      <c r="AB2830" s="126">
        <f t="shared" si="290"/>
        <v>9.0178899999999989E-3</v>
      </c>
      <c r="AC2830" s="122" t="s">
        <v>1838</v>
      </c>
      <c r="AD2830" s="123">
        <f t="shared" si="286"/>
        <v>3.7293684539999998</v>
      </c>
    </row>
    <row r="2831" spans="1:30" ht="12.75" hidden="1" customHeight="1">
      <c r="A2831" s="125" t="str">
        <f t="shared" si="287"/>
        <v>LIC28Other Expenses-DDP</v>
      </c>
      <c r="B2831" s="125">
        <f>+IFERROR(VLOOKUP(L2831,'TB mapping'!A:D,4,0),0)</f>
        <v>0</v>
      </c>
      <c r="C2831" s="125">
        <f>+IFERROR(VLOOKUP(L2831,'TB mapping'!A:C,3,0),0)</f>
        <v>6.3</v>
      </c>
      <c r="D2831" s="125" t="str">
        <f t="shared" si="288"/>
        <v>LIC280</v>
      </c>
      <c r="E2831" s="125" t="str">
        <f t="shared" si="289"/>
        <v>LIC286.3</v>
      </c>
      <c r="F2831" s="158" t="str">
        <f>+VLOOKUP(H2831,'code mapping'!A:C,3,0)</f>
        <v>LIC28</v>
      </c>
      <c r="G2831" s="127" t="s">
        <v>453</v>
      </c>
      <c r="H2831" s="127" t="s">
        <v>783</v>
      </c>
      <c r="I2831" s="127" t="s">
        <v>55</v>
      </c>
      <c r="J2831" s="128">
        <v>550000</v>
      </c>
      <c r="K2831" s="127" t="s">
        <v>550</v>
      </c>
      <c r="L2831" s="151">
        <v>553330</v>
      </c>
      <c r="M2831" s="128">
        <v>0</v>
      </c>
      <c r="N2831" s="127" t="s">
        <v>568</v>
      </c>
      <c r="O2831" s="127" t="s">
        <v>457</v>
      </c>
      <c r="P2831" s="128">
        <v>-7624.13</v>
      </c>
      <c r="Q2831" s="128">
        <v>0</v>
      </c>
      <c r="R2831" s="128">
        <v>0</v>
      </c>
      <c r="S2831" s="128">
        <v>0</v>
      </c>
      <c r="T2831" s="128">
        <v>-7624.13</v>
      </c>
      <c r="U2831" s="128">
        <v>0</v>
      </c>
      <c r="V2831" s="128">
        <v>-7624.13</v>
      </c>
      <c r="W2831" s="128">
        <v>0</v>
      </c>
      <c r="X2831" s="128">
        <v>0</v>
      </c>
      <c r="Y2831" s="128">
        <v>0</v>
      </c>
      <c r="Z2831" s="128">
        <v>-7624.13</v>
      </c>
      <c r="AA2831" s="128">
        <v>0</v>
      </c>
      <c r="AB2831" s="126">
        <f t="shared" si="290"/>
        <v>7.6241299999999998E-4</v>
      </c>
      <c r="AC2831" s="122" t="s">
        <v>1838</v>
      </c>
      <c r="AD2831" s="123">
        <f t="shared" si="286"/>
        <v>3.7293684539999998</v>
      </c>
    </row>
    <row r="2832" spans="1:30" ht="12.75" hidden="1" customHeight="1">
      <c r="A2832" s="125" t="str">
        <f t="shared" si="287"/>
        <v>LIC28Exp-Additional TER</v>
      </c>
      <c r="B2832" s="125">
        <f>+IFERROR(VLOOKUP(L2832,'TB mapping'!A:D,4,0),0)</f>
        <v>0</v>
      </c>
      <c r="C2832" s="125">
        <f>+IFERROR(VLOOKUP(L2832,'TB mapping'!A:C,3,0),0)</f>
        <v>6.3</v>
      </c>
      <c r="D2832" s="125" t="str">
        <f t="shared" si="288"/>
        <v>LIC280</v>
      </c>
      <c r="E2832" s="125" t="str">
        <f t="shared" si="289"/>
        <v>LIC286.3</v>
      </c>
      <c r="F2832" s="158" t="str">
        <f>+VLOOKUP(H2832,'code mapping'!A:C,3,0)</f>
        <v>LIC28</v>
      </c>
      <c r="G2832" s="127" t="s">
        <v>453</v>
      </c>
      <c r="H2832" s="127" t="s">
        <v>783</v>
      </c>
      <c r="I2832" s="127" t="s">
        <v>55</v>
      </c>
      <c r="J2832" s="128">
        <v>550000</v>
      </c>
      <c r="K2832" s="127" t="s">
        <v>550</v>
      </c>
      <c r="L2832" s="151">
        <v>553900</v>
      </c>
      <c r="M2832" s="128">
        <v>0</v>
      </c>
      <c r="N2832" s="127" t="s">
        <v>638</v>
      </c>
      <c r="O2832" s="127" t="s">
        <v>457</v>
      </c>
      <c r="P2832" s="128">
        <v>-3424042.73</v>
      </c>
      <c r="Q2832" s="128">
        <v>0</v>
      </c>
      <c r="R2832" s="128">
        <v>0</v>
      </c>
      <c r="S2832" s="128">
        <v>0</v>
      </c>
      <c r="T2832" s="128">
        <v>-3424042.73</v>
      </c>
      <c r="U2832" s="128">
        <v>0</v>
      </c>
      <c r="V2832" s="128">
        <v>-3424042.73</v>
      </c>
      <c r="W2832" s="128">
        <v>0</v>
      </c>
      <c r="X2832" s="128">
        <v>0</v>
      </c>
      <c r="Y2832" s="128">
        <v>0</v>
      </c>
      <c r="Z2832" s="128">
        <v>-3424042.73</v>
      </c>
      <c r="AA2832" s="128">
        <v>0</v>
      </c>
      <c r="AB2832" s="126">
        <f t="shared" si="290"/>
        <v>0.34240427299999998</v>
      </c>
      <c r="AC2832" s="122" t="s">
        <v>1838</v>
      </c>
      <c r="AD2832" s="123">
        <f t="shared" si="286"/>
        <v>3.7293684539999998</v>
      </c>
    </row>
    <row r="2833" spans="1:30" ht="12.75" hidden="1" customHeight="1">
      <c r="A2833" s="125" t="str">
        <f t="shared" si="287"/>
        <v>LIC28Inv Educ Fund Expense - Amfi</v>
      </c>
      <c r="B2833" s="125">
        <f>+IFERROR(VLOOKUP(L2833,'TB mapping'!A:D,4,0),0)</f>
        <v>0</v>
      </c>
      <c r="C2833" s="125">
        <f>+IFERROR(VLOOKUP(L2833,'TB mapping'!A:C,3,0),0)</f>
        <v>6.3</v>
      </c>
      <c r="D2833" s="125" t="str">
        <f t="shared" si="288"/>
        <v>LIC280</v>
      </c>
      <c r="E2833" s="125" t="str">
        <f t="shared" si="289"/>
        <v>LIC286.3</v>
      </c>
      <c r="F2833" s="158" t="str">
        <f>+VLOOKUP(H2833,'code mapping'!A:C,3,0)</f>
        <v>LIC28</v>
      </c>
      <c r="G2833" s="127" t="s">
        <v>453</v>
      </c>
      <c r="H2833" s="127" t="s">
        <v>783</v>
      </c>
      <c r="I2833" s="127" t="s">
        <v>55</v>
      </c>
      <c r="J2833" s="128">
        <v>550000</v>
      </c>
      <c r="K2833" s="127" t="s">
        <v>550</v>
      </c>
      <c r="L2833" s="151">
        <v>554526</v>
      </c>
      <c r="M2833" s="128">
        <v>0</v>
      </c>
      <c r="N2833" s="127" t="s">
        <v>569</v>
      </c>
      <c r="O2833" s="127" t="s">
        <v>457</v>
      </c>
      <c r="P2833" s="128">
        <v>-127962.43</v>
      </c>
      <c r="Q2833" s="128">
        <v>0</v>
      </c>
      <c r="R2833" s="128">
        <v>0</v>
      </c>
      <c r="S2833" s="128">
        <v>0</v>
      </c>
      <c r="T2833" s="128">
        <v>-127962.43</v>
      </c>
      <c r="U2833" s="128">
        <v>0</v>
      </c>
      <c r="V2833" s="128">
        <v>-127962.43</v>
      </c>
      <c r="W2833" s="128">
        <v>0</v>
      </c>
      <c r="X2833" s="128">
        <v>0</v>
      </c>
      <c r="Y2833" s="128">
        <v>0</v>
      </c>
      <c r="Z2833" s="128">
        <v>-127962.43</v>
      </c>
      <c r="AA2833" s="128">
        <v>0</v>
      </c>
      <c r="AB2833" s="126">
        <f t="shared" si="290"/>
        <v>1.2796242999999999E-2</v>
      </c>
      <c r="AC2833" s="122" t="s">
        <v>1838</v>
      </c>
      <c r="AD2833" s="123">
        <f t="shared" si="286"/>
        <v>3.7293684539999998</v>
      </c>
    </row>
    <row r="2834" spans="1:30" ht="12.75" hidden="1" customHeight="1">
      <c r="A2834" s="125" t="str">
        <f t="shared" si="287"/>
        <v>LIC28Transaction Processing Charges</v>
      </c>
      <c r="B2834" s="125">
        <f>+IFERROR(VLOOKUP(L2834,'TB mapping'!A:D,4,0),0)</f>
        <v>0</v>
      </c>
      <c r="C2834" s="125">
        <f>+IFERROR(VLOOKUP(L2834,'TB mapping'!A:C,3,0),0)</f>
        <v>6.3</v>
      </c>
      <c r="D2834" s="125" t="str">
        <f t="shared" si="288"/>
        <v>LIC280</v>
      </c>
      <c r="E2834" s="125" t="str">
        <f t="shared" si="289"/>
        <v>LIC286.3</v>
      </c>
      <c r="F2834" s="158" t="str">
        <f>+VLOOKUP(H2834,'code mapping'!A:C,3,0)</f>
        <v>LIC28</v>
      </c>
      <c r="G2834" s="127" t="s">
        <v>453</v>
      </c>
      <c r="H2834" s="127" t="s">
        <v>783</v>
      </c>
      <c r="I2834" s="127" t="s">
        <v>55</v>
      </c>
      <c r="J2834" s="128">
        <v>550000</v>
      </c>
      <c r="K2834" s="127" t="s">
        <v>550</v>
      </c>
      <c r="L2834" s="151">
        <v>554527</v>
      </c>
      <c r="M2834" s="128">
        <v>0</v>
      </c>
      <c r="N2834" s="127" t="s">
        <v>570</v>
      </c>
      <c r="O2834" s="127" t="s">
        <v>457</v>
      </c>
      <c r="P2834" s="128">
        <v>-378</v>
      </c>
      <c r="Q2834" s="128">
        <v>0</v>
      </c>
      <c r="R2834" s="128">
        <v>0</v>
      </c>
      <c r="S2834" s="128">
        <v>0</v>
      </c>
      <c r="T2834" s="128">
        <v>-378</v>
      </c>
      <c r="U2834" s="128">
        <v>0</v>
      </c>
      <c r="V2834" s="128">
        <v>-378</v>
      </c>
      <c r="W2834" s="128">
        <v>0</v>
      </c>
      <c r="X2834" s="128">
        <v>0</v>
      </c>
      <c r="Y2834" s="128">
        <v>0</v>
      </c>
      <c r="Z2834" s="128">
        <v>-378</v>
      </c>
      <c r="AA2834" s="128">
        <v>0</v>
      </c>
      <c r="AB2834" s="126">
        <f t="shared" si="290"/>
        <v>3.7799999999999997E-5</v>
      </c>
      <c r="AC2834" s="122" t="s">
        <v>1838</v>
      </c>
      <c r="AD2834" s="123">
        <f t="shared" si="286"/>
        <v>3.7293684539999998</v>
      </c>
    </row>
    <row r="2835" spans="1:30" ht="12.75" hidden="1" customHeight="1">
      <c r="A2835" s="125" t="str">
        <f t="shared" si="287"/>
        <v>LIC28Client Servicing Expenes</v>
      </c>
      <c r="B2835" s="125">
        <f>+IFERROR(VLOOKUP(L2835,'TB mapping'!A:D,4,0),0)</f>
        <v>0</v>
      </c>
      <c r="C2835" s="125">
        <f>+IFERROR(VLOOKUP(L2835,'TB mapping'!A:C,3,0),0)</f>
        <v>6.3</v>
      </c>
      <c r="D2835" s="125" t="str">
        <f t="shared" si="288"/>
        <v>LIC280</v>
      </c>
      <c r="E2835" s="125" t="str">
        <f t="shared" si="289"/>
        <v>LIC286.3</v>
      </c>
      <c r="F2835" s="158" t="str">
        <f>+VLOOKUP(H2835,'code mapping'!A:C,3,0)</f>
        <v>LIC28</v>
      </c>
      <c r="G2835" s="127" t="s">
        <v>453</v>
      </c>
      <c r="H2835" s="127" t="s">
        <v>783</v>
      </c>
      <c r="I2835" s="127" t="s">
        <v>55</v>
      </c>
      <c r="J2835" s="128">
        <v>550000</v>
      </c>
      <c r="K2835" s="127" t="s">
        <v>550</v>
      </c>
      <c r="L2835" s="151">
        <v>555157</v>
      </c>
      <c r="M2835" s="128">
        <v>0</v>
      </c>
      <c r="N2835" s="127" t="s">
        <v>571</v>
      </c>
      <c r="O2835" s="127" t="s">
        <v>457</v>
      </c>
      <c r="P2835" s="128">
        <v>-5673093.0099999998</v>
      </c>
      <c r="Q2835" s="128">
        <v>0</v>
      </c>
      <c r="R2835" s="128">
        <v>0</v>
      </c>
      <c r="S2835" s="128">
        <v>0</v>
      </c>
      <c r="T2835" s="128">
        <v>-5673093.0099999998</v>
      </c>
      <c r="U2835" s="128">
        <v>0</v>
      </c>
      <c r="V2835" s="128">
        <v>-5673093.0099999998</v>
      </c>
      <c r="W2835" s="128">
        <v>0</v>
      </c>
      <c r="X2835" s="128">
        <v>0</v>
      </c>
      <c r="Y2835" s="128">
        <v>0</v>
      </c>
      <c r="Z2835" s="128">
        <v>-5673093.0099999998</v>
      </c>
      <c r="AA2835" s="128">
        <v>0</v>
      </c>
      <c r="AB2835" s="126">
        <f t="shared" si="290"/>
        <v>0.56730930099999999</v>
      </c>
      <c r="AC2835" s="122" t="s">
        <v>1838</v>
      </c>
      <c r="AD2835" s="123">
        <f t="shared" si="286"/>
        <v>3.7293684539999998</v>
      </c>
    </row>
    <row r="2836" spans="1:30" ht="12.75" hidden="1" customHeight="1">
      <c r="A2836" s="125" t="str">
        <f t="shared" si="287"/>
        <v>LIC28Management Fee-Reclassfication</v>
      </c>
      <c r="B2836" s="125">
        <f>+IFERROR(VLOOKUP(L2836,'TB mapping'!A:D,4,0),0)</f>
        <v>6.1</v>
      </c>
      <c r="C2836" s="125">
        <f>+IFERROR(VLOOKUP(L2836,'TB mapping'!A:C,3,0),0)</f>
        <v>6.3</v>
      </c>
      <c r="D2836" s="125" t="str">
        <f t="shared" si="288"/>
        <v>LIC286.1</v>
      </c>
      <c r="E2836" s="125" t="str">
        <f t="shared" si="289"/>
        <v>LIC286.3</v>
      </c>
      <c r="F2836" s="158" t="str">
        <f>+VLOOKUP(H2836,'code mapping'!A:C,3,0)</f>
        <v>LIC28</v>
      </c>
      <c r="G2836" s="127" t="s">
        <v>453</v>
      </c>
      <c r="H2836" s="127" t="s">
        <v>783</v>
      </c>
      <c r="I2836" s="127" t="s">
        <v>55</v>
      </c>
      <c r="J2836" s="128">
        <v>550000</v>
      </c>
      <c r="K2836" s="127" t="s">
        <v>550</v>
      </c>
      <c r="L2836" s="151">
        <v>555274</v>
      </c>
      <c r="M2836" s="128">
        <v>0</v>
      </c>
      <c r="N2836" s="127" t="s">
        <v>583</v>
      </c>
      <c r="O2836" s="127" t="s">
        <v>457</v>
      </c>
      <c r="P2836" s="128">
        <v>-1186440.53</v>
      </c>
      <c r="Q2836" s="128">
        <v>0</v>
      </c>
      <c r="R2836" s="128">
        <v>0</v>
      </c>
      <c r="S2836" s="128">
        <v>0</v>
      </c>
      <c r="T2836" s="128">
        <v>-1186440.53</v>
      </c>
      <c r="U2836" s="128">
        <v>0</v>
      </c>
      <c r="V2836" s="128">
        <v>-1186440.53</v>
      </c>
      <c r="W2836" s="128">
        <v>0</v>
      </c>
      <c r="X2836" s="128">
        <v>0</v>
      </c>
      <c r="Y2836" s="128">
        <v>0</v>
      </c>
      <c r="Z2836" s="128">
        <v>-1186440.53</v>
      </c>
      <c r="AA2836" s="128">
        <v>0</v>
      </c>
      <c r="AB2836" s="126">
        <f t="shared" si="290"/>
        <v>0.118644053</v>
      </c>
      <c r="AC2836" s="122" t="s">
        <v>1838</v>
      </c>
      <c r="AD2836" s="123">
        <f t="shared" si="286"/>
        <v>3.7293684539999998</v>
      </c>
    </row>
    <row r="2837" spans="1:30" ht="12.75" hidden="1" customHeight="1">
      <c r="A2837" s="125" t="str">
        <f t="shared" si="287"/>
        <v>LIC28CGST on Reclassify of Exp</v>
      </c>
      <c r="B2837" s="125">
        <f>+IFERROR(VLOOKUP(L2837,'TB mapping'!A:D,4,0),0)</f>
        <v>0</v>
      </c>
      <c r="C2837" s="125">
        <f>+IFERROR(VLOOKUP(L2837,'TB mapping'!A:C,3,0),0)</f>
        <v>6.3</v>
      </c>
      <c r="D2837" s="125" t="str">
        <f t="shared" si="288"/>
        <v>LIC280</v>
      </c>
      <c r="E2837" s="125" t="str">
        <f t="shared" si="289"/>
        <v>LIC286.3</v>
      </c>
      <c r="F2837" s="158" t="str">
        <f>+VLOOKUP(H2837,'code mapping'!A:C,3,0)</f>
        <v>LIC28</v>
      </c>
      <c r="G2837" s="127" t="s">
        <v>453</v>
      </c>
      <c r="H2837" s="127" t="s">
        <v>783</v>
      </c>
      <c r="I2837" s="127" t="s">
        <v>55</v>
      </c>
      <c r="J2837" s="128">
        <v>550000</v>
      </c>
      <c r="K2837" s="127" t="s">
        <v>550</v>
      </c>
      <c r="L2837" s="151">
        <v>555276</v>
      </c>
      <c r="M2837" s="128">
        <v>0</v>
      </c>
      <c r="N2837" s="127" t="s">
        <v>572</v>
      </c>
      <c r="O2837" s="127" t="s">
        <v>457</v>
      </c>
      <c r="P2837" s="128">
        <v>-15254.24</v>
      </c>
      <c r="Q2837" s="128">
        <v>0</v>
      </c>
      <c r="R2837" s="128">
        <v>0</v>
      </c>
      <c r="S2837" s="128">
        <v>0</v>
      </c>
      <c r="T2837" s="128">
        <v>-15254.24</v>
      </c>
      <c r="U2837" s="128">
        <v>0</v>
      </c>
      <c r="V2837" s="128">
        <v>-15254.24</v>
      </c>
      <c r="W2837" s="128">
        <v>0</v>
      </c>
      <c r="X2837" s="128">
        <v>0</v>
      </c>
      <c r="Y2837" s="128">
        <v>0</v>
      </c>
      <c r="Z2837" s="128">
        <v>-15254.24</v>
      </c>
      <c r="AA2837" s="128">
        <v>0</v>
      </c>
      <c r="AB2837" s="126">
        <f t="shared" si="290"/>
        <v>1.5254240000000001E-3</v>
      </c>
      <c r="AC2837" s="122" t="s">
        <v>1838</v>
      </c>
      <c r="AD2837" s="123">
        <f t="shared" si="286"/>
        <v>3.7293684539999998</v>
      </c>
    </row>
    <row r="2838" spans="1:30" ht="12.75" hidden="1" customHeight="1">
      <c r="A2838" s="125" t="str">
        <f t="shared" si="287"/>
        <v>LIC28SGST on Reclassify of Exp</v>
      </c>
      <c r="B2838" s="125">
        <f>+IFERROR(VLOOKUP(L2838,'TB mapping'!A:D,4,0),0)</f>
        <v>0</v>
      </c>
      <c r="C2838" s="125">
        <f>+IFERROR(VLOOKUP(L2838,'TB mapping'!A:C,3,0),0)</f>
        <v>6.3</v>
      </c>
      <c r="D2838" s="125" t="str">
        <f t="shared" si="288"/>
        <v>LIC280</v>
      </c>
      <c r="E2838" s="125" t="str">
        <f t="shared" si="289"/>
        <v>LIC286.3</v>
      </c>
      <c r="F2838" s="158" t="str">
        <f>+VLOOKUP(H2838,'code mapping'!A:C,3,0)</f>
        <v>LIC28</v>
      </c>
      <c r="G2838" s="127" t="s">
        <v>453</v>
      </c>
      <c r="H2838" s="127" t="s">
        <v>783</v>
      </c>
      <c r="I2838" s="127" t="s">
        <v>55</v>
      </c>
      <c r="J2838" s="128">
        <v>550000</v>
      </c>
      <c r="K2838" s="127" t="s">
        <v>550</v>
      </c>
      <c r="L2838" s="151">
        <v>555277</v>
      </c>
      <c r="M2838" s="128">
        <v>0</v>
      </c>
      <c r="N2838" s="127" t="s">
        <v>573</v>
      </c>
      <c r="O2838" s="127" t="s">
        <v>457</v>
      </c>
      <c r="P2838" s="128">
        <v>-15254.24</v>
      </c>
      <c r="Q2838" s="128">
        <v>0</v>
      </c>
      <c r="R2838" s="128">
        <v>0</v>
      </c>
      <c r="S2838" s="128">
        <v>0</v>
      </c>
      <c r="T2838" s="128">
        <v>-15254.24</v>
      </c>
      <c r="U2838" s="128">
        <v>0</v>
      </c>
      <c r="V2838" s="128">
        <v>-15254.24</v>
      </c>
      <c r="W2838" s="128">
        <v>0</v>
      </c>
      <c r="X2838" s="128">
        <v>0</v>
      </c>
      <c r="Y2838" s="128">
        <v>0</v>
      </c>
      <c r="Z2838" s="128">
        <v>-15254.24</v>
      </c>
      <c r="AA2838" s="128">
        <v>0</v>
      </c>
      <c r="AB2838" s="126">
        <f t="shared" si="290"/>
        <v>1.5254240000000001E-3</v>
      </c>
      <c r="AC2838" s="122" t="s">
        <v>1838</v>
      </c>
      <c r="AD2838" s="123">
        <f t="shared" si="286"/>
        <v>3.7293684539999998</v>
      </c>
    </row>
    <row r="2839" spans="1:30" ht="12.75" hidden="1" customHeight="1">
      <c r="A2839" s="125" t="str">
        <f t="shared" si="287"/>
        <v>LIC28Other Expense-Reclassfication</v>
      </c>
      <c r="B2839" s="125">
        <f>+IFERROR(VLOOKUP(L2839,'TB mapping'!A:D,4,0),0)</f>
        <v>0</v>
      </c>
      <c r="C2839" s="125">
        <f>+IFERROR(VLOOKUP(L2839,'TB mapping'!A:C,3,0),0)</f>
        <v>0</v>
      </c>
      <c r="D2839" s="125" t="str">
        <f t="shared" si="288"/>
        <v>LIC280</v>
      </c>
      <c r="E2839" s="125" t="str">
        <f t="shared" si="289"/>
        <v>LIC280</v>
      </c>
      <c r="F2839" s="158" t="str">
        <f>+VLOOKUP(H2839,'code mapping'!A:C,3,0)</f>
        <v>LIC28</v>
      </c>
      <c r="G2839" s="127" t="s">
        <v>453</v>
      </c>
      <c r="H2839" s="127" t="s">
        <v>783</v>
      </c>
      <c r="I2839" s="127" t="s">
        <v>55</v>
      </c>
      <c r="J2839" s="128">
        <v>550000</v>
      </c>
      <c r="K2839" s="127" t="s">
        <v>550</v>
      </c>
      <c r="L2839" s="151">
        <v>555280</v>
      </c>
      <c r="M2839" s="128">
        <v>0</v>
      </c>
      <c r="N2839" s="127" t="s">
        <v>1590</v>
      </c>
      <c r="O2839" s="127" t="s">
        <v>457</v>
      </c>
      <c r="P2839" s="128">
        <v>0</v>
      </c>
      <c r="Q2839" s="128">
        <v>200000.01</v>
      </c>
      <c r="R2839" s="128">
        <v>0</v>
      </c>
      <c r="S2839" s="128">
        <v>0</v>
      </c>
      <c r="T2839" s="128">
        <v>0</v>
      </c>
      <c r="U2839" s="128">
        <v>200000.01</v>
      </c>
      <c r="V2839" s="128">
        <v>0</v>
      </c>
      <c r="W2839" s="128">
        <v>200000.01</v>
      </c>
      <c r="X2839" s="128">
        <v>0</v>
      </c>
      <c r="Y2839" s="128">
        <v>0</v>
      </c>
      <c r="Z2839" s="128">
        <v>0</v>
      </c>
      <c r="AA2839" s="128">
        <v>200000.01</v>
      </c>
      <c r="AB2839" s="126">
        <f t="shared" si="290"/>
        <v>-2.0000001E-2</v>
      </c>
      <c r="AC2839" s="122" t="s">
        <v>1838</v>
      </c>
      <c r="AD2839" s="123">
        <f>SUMIF(C:C,C2839,AB:AB)</f>
        <v>1983.9723217250009</v>
      </c>
    </row>
    <row r="2840" spans="1:30" ht="12.75" hidden="1" customHeight="1">
      <c r="A2840" s="125" t="str">
        <f t="shared" si="287"/>
        <v>LIC28CGST on Mfees</v>
      </c>
      <c r="B2840" s="125">
        <f>+IFERROR(VLOOKUP(L2840,'TB mapping'!A:D,4,0),0)</f>
        <v>6.1</v>
      </c>
      <c r="C2840" s="125">
        <f>+IFERROR(VLOOKUP(L2840,'TB mapping'!A:C,3,0),0)</f>
        <v>6.3</v>
      </c>
      <c r="D2840" s="125" t="str">
        <f t="shared" si="288"/>
        <v>LIC286.1</v>
      </c>
      <c r="E2840" s="125" t="str">
        <f t="shared" si="289"/>
        <v>LIC286.3</v>
      </c>
      <c r="F2840" s="158" t="str">
        <f>+VLOOKUP(H2840,'code mapping'!A:C,3,0)</f>
        <v>LIC28</v>
      </c>
      <c r="G2840" s="127" t="s">
        <v>453</v>
      </c>
      <c r="H2840" s="127" t="s">
        <v>783</v>
      </c>
      <c r="I2840" s="127" t="s">
        <v>55</v>
      </c>
      <c r="J2840" s="128">
        <v>550000</v>
      </c>
      <c r="K2840" s="127" t="s">
        <v>550</v>
      </c>
      <c r="L2840" s="151">
        <v>555597</v>
      </c>
      <c r="M2840" s="128">
        <v>0</v>
      </c>
      <c r="N2840" s="127" t="s">
        <v>574</v>
      </c>
      <c r="O2840" s="127" t="s">
        <v>457</v>
      </c>
      <c r="P2840" s="128">
        <v>-1396182.13</v>
      </c>
      <c r="Q2840" s="128">
        <v>0</v>
      </c>
      <c r="R2840" s="128">
        <v>0</v>
      </c>
      <c r="S2840" s="128">
        <v>0</v>
      </c>
      <c r="T2840" s="128">
        <v>-1396182.13</v>
      </c>
      <c r="U2840" s="128">
        <v>0</v>
      </c>
      <c r="V2840" s="128">
        <v>-1396182.13</v>
      </c>
      <c r="W2840" s="128">
        <v>0</v>
      </c>
      <c r="X2840" s="128">
        <v>0</v>
      </c>
      <c r="Y2840" s="128">
        <v>0</v>
      </c>
      <c r="Z2840" s="128">
        <v>-1396182.13</v>
      </c>
      <c r="AA2840" s="128">
        <v>0</v>
      </c>
      <c r="AB2840" s="126">
        <f t="shared" si="290"/>
        <v>0.13961821299999999</v>
      </c>
      <c r="AC2840" s="122" t="s">
        <v>1838</v>
      </c>
      <c r="AD2840" s="123">
        <f t="shared" ref="AD2840:AD2849" si="291">SUMIF(E:E,E2840,AB:AB)</f>
        <v>3.7293684539999998</v>
      </c>
    </row>
    <row r="2841" spans="1:30" ht="12.75" hidden="1" customHeight="1">
      <c r="A2841" s="125" t="str">
        <f t="shared" si="287"/>
        <v>LIC28SGST on Mfees</v>
      </c>
      <c r="B2841" s="125">
        <f>+IFERROR(VLOOKUP(L2841,'TB mapping'!A:D,4,0),0)</f>
        <v>6.1</v>
      </c>
      <c r="C2841" s="125">
        <f>+IFERROR(VLOOKUP(L2841,'TB mapping'!A:C,3,0),0)</f>
        <v>6.3</v>
      </c>
      <c r="D2841" s="125" t="str">
        <f t="shared" si="288"/>
        <v>LIC286.1</v>
      </c>
      <c r="E2841" s="125" t="str">
        <f t="shared" si="289"/>
        <v>LIC286.3</v>
      </c>
      <c r="F2841" s="158" t="str">
        <f>+VLOOKUP(H2841,'code mapping'!A:C,3,0)</f>
        <v>LIC28</v>
      </c>
      <c r="G2841" s="127" t="s">
        <v>453</v>
      </c>
      <c r="H2841" s="127" t="s">
        <v>783</v>
      </c>
      <c r="I2841" s="127" t="s">
        <v>55</v>
      </c>
      <c r="J2841" s="128">
        <v>550000</v>
      </c>
      <c r="K2841" s="127" t="s">
        <v>550</v>
      </c>
      <c r="L2841" s="151">
        <v>555598</v>
      </c>
      <c r="M2841" s="128">
        <v>0</v>
      </c>
      <c r="N2841" s="127" t="s">
        <v>575</v>
      </c>
      <c r="O2841" s="127" t="s">
        <v>457</v>
      </c>
      <c r="P2841" s="128">
        <v>-1396182.56</v>
      </c>
      <c r="Q2841" s="128">
        <v>0</v>
      </c>
      <c r="R2841" s="128">
        <v>0</v>
      </c>
      <c r="S2841" s="128">
        <v>0</v>
      </c>
      <c r="T2841" s="128">
        <v>-1396182.56</v>
      </c>
      <c r="U2841" s="128">
        <v>0</v>
      </c>
      <c r="V2841" s="128">
        <v>-1396182.56</v>
      </c>
      <c r="W2841" s="128">
        <v>0</v>
      </c>
      <c r="X2841" s="128">
        <v>0</v>
      </c>
      <c r="Y2841" s="128">
        <v>0</v>
      </c>
      <c r="Z2841" s="128">
        <v>-1396182.56</v>
      </c>
      <c r="AA2841" s="128">
        <v>0</v>
      </c>
      <c r="AB2841" s="126">
        <f t="shared" si="290"/>
        <v>0.139618256</v>
      </c>
      <c r="AC2841" s="122" t="s">
        <v>1838</v>
      </c>
      <c r="AD2841" s="123">
        <f t="shared" si="291"/>
        <v>3.7293684539999998</v>
      </c>
    </row>
    <row r="2842" spans="1:30" ht="12.75" hidden="1" customHeight="1">
      <c r="A2842" s="125" t="str">
        <f t="shared" si="287"/>
        <v>LIC28CGST on Mfees -GDP</v>
      </c>
      <c r="B2842" s="125">
        <f>+IFERROR(VLOOKUP(L2842,'TB mapping'!A:D,4,0),0)</f>
        <v>6.1</v>
      </c>
      <c r="C2842" s="125">
        <f>+IFERROR(VLOOKUP(L2842,'TB mapping'!A:C,3,0),0)</f>
        <v>6.3</v>
      </c>
      <c r="D2842" s="125" t="str">
        <f t="shared" si="288"/>
        <v>LIC286.1</v>
      </c>
      <c r="E2842" s="125" t="str">
        <f t="shared" si="289"/>
        <v>LIC286.3</v>
      </c>
      <c r="F2842" s="158" t="str">
        <f>+VLOOKUP(H2842,'code mapping'!A:C,3,0)</f>
        <v>LIC28</v>
      </c>
      <c r="G2842" s="127" t="s">
        <v>453</v>
      </c>
      <c r="H2842" s="127" t="s">
        <v>783</v>
      </c>
      <c r="I2842" s="127" t="s">
        <v>55</v>
      </c>
      <c r="J2842" s="128">
        <v>550000</v>
      </c>
      <c r="K2842" s="127" t="s">
        <v>550</v>
      </c>
      <c r="L2842" s="151">
        <v>555599</v>
      </c>
      <c r="M2842" s="128">
        <v>0</v>
      </c>
      <c r="N2842" s="127" t="s">
        <v>576</v>
      </c>
      <c r="O2842" s="127" t="s">
        <v>457</v>
      </c>
      <c r="P2842" s="128">
        <v>0</v>
      </c>
      <c r="Q2842" s="128">
        <v>2058.25</v>
      </c>
      <c r="R2842" s="128">
        <v>0</v>
      </c>
      <c r="S2842" s="128">
        <v>0</v>
      </c>
      <c r="T2842" s="128">
        <v>0</v>
      </c>
      <c r="U2842" s="128">
        <v>2058.25</v>
      </c>
      <c r="V2842" s="128">
        <v>0</v>
      </c>
      <c r="W2842" s="128">
        <v>2058.25</v>
      </c>
      <c r="X2842" s="128">
        <v>0</v>
      </c>
      <c r="Y2842" s="128">
        <v>0</v>
      </c>
      <c r="Z2842" s="128">
        <v>0</v>
      </c>
      <c r="AA2842" s="128">
        <v>2058.25</v>
      </c>
      <c r="AB2842" s="126">
        <f t="shared" si="290"/>
        <v>-2.05825E-4</v>
      </c>
      <c r="AC2842" s="122" t="s">
        <v>1838</v>
      </c>
      <c r="AD2842" s="123">
        <f t="shared" si="291"/>
        <v>3.7293684539999998</v>
      </c>
    </row>
    <row r="2843" spans="1:30" ht="12.75" hidden="1" customHeight="1">
      <c r="A2843" s="125" t="str">
        <f t="shared" si="287"/>
        <v>LIC28SGST on Mfees -GDP</v>
      </c>
      <c r="B2843" s="125">
        <f>+IFERROR(VLOOKUP(L2843,'TB mapping'!A:D,4,0),0)</f>
        <v>6.1</v>
      </c>
      <c r="C2843" s="125">
        <f>+IFERROR(VLOOKUP(L2843,'TB mapping'!A:C,3,0),0)</f>
        <v>6.3</v>
      </c>
      <c r="D2843" s="125" t="str">
        <f t="shared" si="288"/>
        <v>LIC286.1</v>
      </c>
      <c r="E2843" s="125" t="str">
        <f t="shared" si="289"/>
        <v>LIC286.3</v>
      </c>
      <c r="F2843" s="158" t="str">
        <f>+VLOOKUP(H2843,'code mapping'!A:C,3,0)</f>
        <v>LIC28</v>
      </c>
      <c r="G2843" s="127" t="s">
        <v>453</v>
      </c>
      <c r="H2843" s="127" t="s">
        <v>783</v>
      </c>
      <c r="I2843" s="127" t="s">
        <v>55</v>
      </c>
      <c r="J2843" s="128">
        <v>550000</v>
      </c>
      <c r="K2843" s="127" t="s">
        <v>550</v>
      </c>
      <c r="L2843" s="151">
        <v>555600</v>
      </c>
      <c r="M2843" s="128">
        <v>0</v>
      </c>
      <c r="N2843" s="127" t="s">
        <v>577</v>
      </c>
      <c r="O2843" s="127" t="s">
        <v>457</v>
      </c>
      <c r="P2843" s="128">
        <v>0</v>
      </c>
      <c r="Q2843" s="128">
        <v>2058.6799999999998</v>
      </c>
      <c r="R2843" s="128">
        <v>0</v>
      </c>
      <c r="S2843" s="128">
        <v>0</v>
      </c>
      <c r="T2843" s="128">
        <v>0</v>
      </c>
      <c r="U2843" s="128">
        <v>2058.6799999999998</v>
      </c>
      <c r="V2843" s="128">
        <v>0</v>
      </c>
      <c r="W2843" s="128">
        <v>2058.6799999999998</v>
      </c>
      <c r="X2843" s="128">
        <v>0</v>
      </c>
      <c r="Y2843" s="128">
        <v>0</v>
      </c>
      <c r="Z2843" s="128">
        <v>0</v>
      </c>
      <c r="AA2843" s="128">
        <v>2058.6799999999998</v>
      </c>
      <c r="AB2843" s="126">
        <f t="shared" si="290"/>
        <v>-2.0586799999999997E-4</v>
      </c>
      <c r="AC2843" s="122" t="s">
        <v>1838</v>
      </c>
      <c r="AD2843" s="123">
        <f t="shared" si="291"/>
        <v>3.7293684539999998</v>
      </c>
    </row>
    <row r="2844" spans="1:30" ht="12.75" hidden="1" customHeight="1">
      <c r="A2844" s="125" t="str">
        <f t="shared" si="287"/>
        <v>LIC28Operating Expenses</v>
      </c>
      <c r="B2844" s="125">
        <f>+IFERROR(VLOOKUP(L2844,'TB mapping'!A:D,4,0),0)</f>
        <v>0</v>
      </c>
      <c r="C2844" s="125">
        <f>+IFERROR(VLOOKUP(L2844,'TB mapping'!A:C,3,0),0)</f>
        <v>6.3</v>
      </c>
      <c r="D2844" s="125" t="str">
        <f t="shared" si="288"/>
        <v>LIC280</v>
      </c>
      <c r="E2844" s="125" t="str">
        <f t="shared" si="289"/>
        <v>LIC286.3</v>
      </c>
      <c r="F2844" s="158" t="str">
        <f>+VLOOKUP(H2844,'code mapping'!A:C,3,0)</f>
        <v>LIC28</v>
      </c>
      <c r="G2844" s="127" t="s">
        <v>453</v>
      </c>
      <c r="H2844" s="127" t="s">
        <v>783</v>
      </c>
      <c r="I2844" s="127" t="s">
        <v>55</v>
      </c>
      <c r="J2844" s="128">
        <v>550000</v>
      </c>
      <c r="K2844" s="127" t="s">
        <v>550</v>
      </c>
      <c r="L2844" s="151">
        <v>556421</v>
      </c>
      <c r="M2844" s="128">
        <v>0</v>
      </c>
      <c r="N2844" s="127" t="s">
        <v>578</v>
      </c>
      <c r="O2844" s="127" t="s">
        <v>457</v>
      </c>
      <c r="P2844" s="128">
        <v>-31306.62</v>
      </c>
      <c r="Q2844" s="128">
        <v>0</v>
      </c>
      <c r="R2844" s="128">
        <v>0</v>
      </c>
      <c r="S2844" s="128">
        <v>0</v>
      </c>
      <c r="T2844" s="128">
        <v>-31306.62</v>
      </c>
      <c r="U2844" s="128">
        <v>0</v>
      </c>
      <c r="V2844" s="128">
        <v>-31306.62</v>
      </c>
      <c r="W2844" s="128">
        <v>0</v>
      </c>
      <c r="X2844" s="128">
        <v>0</v>
      </c>
      <c r="Y2844" s="128">
        <v>0</v>
      </c>
      <c r="Z2844" s="128">
        <v>-31306.62</v>
      </c>
      <c r="AA2844" s="128">
        <v>0</v>
      </c>
      <c r="AB2844" s="126">
        <f t="shared" si="290"/>
        <v>3.1306619999999998E-3</v>
      </c>
      <c r="AC2844" s="122" t="s">
        <v>1838</v>
      </c>
      <c r="AD2844" s="123">
        <f t="shared" si="291"/>
        <v>3.7293684539999998</v>
      </c>
    </row>
    <row r="2845" spans="1:30" ht="12.75" hidden="1" customHeight="1">
      <c r="A2845" s="125" t="str">
        <f t="shared" si="287"/>
        <v>LIC28Management Fee</v>
      </c>
      <c r="B2845" s="125">
        <f>+IFERROR(VLOOKUP(L2845,'TB mapping'!A:D,4,0),0)</f>
        <v>6.1</v>
      </c>
      <c r="C2845" s="125">
        <f>+IFERROR(VLOOKUP(L2845,'TB mapping'!A:C,3,0),0)</f>
        <v>6.3</v>
      </c>
      <c r="D2845" s="125" t="str">
        <f t="shared" si="288"/>
        <v>LIC286.1</v>
      </c>
      <c r="E2845" s="125" t="str">
        <f t="shared" si="289"/>
        <v>LIC286.3</v>
      </c>
      <c r="F2845" s="158" t="str">
        <f>+VLOOKUP(H2845,'code mapping'!A:C,3,0)</f>
        <v>LIC28</v>
      </c>
      <c r="G2845" s="127" t="s">
        <v>453</v>
      </c>
      <c r="H2845" s="127" t="s">
        <v>783</v>
      </c>
      <c r="I2845" s="127" t="s">
        <v>55</v>
      </c>
      <c r="J2845" s="128">
        <v>555100</v>
      </c>
      <c r="K2845" s="127" t="s">
        <v>579</v>
      </c>
      <c r="L2845" s="151">
        <v>555100</v>
      </c>
      <c r="M2845" s="128">
        <v>0</v>
      </c>
      <c r="N2845" s="127" t="s">
        <v>580</v>
      </c>
      <c r="O2845" s="127" t="s">
        <v>457</v>
      </c>
      <c r="P2845" s="128">
        <v>-8178380.8799999999</v>
      </c>
      <c r="Q2845" s="128">
        <v>0</v>
      </c>
      <c r="R2845" s="128">
        <v>0</v>
      </c>
      <c r="S2845" s="128">
        <v>0</v>
      </c>
      <c r="T2845" s="128">
        <v>-8178380.8799999999</v>
      </c>
      <c r="U2845" s="128">
        <v>0</v>
      </c>
      <c r="V2845" s="128">
        <v>-8178380.8799999999</v>
      </c>
      <c r="W2845" s="128">
        <v>0</v>
      </c>
      <c r="X2845" s="128">
        <v>0</v>
      </c>
      <c r="Y2845" s="128">
        <v>0</v>
      </c>
      <c r="Z2845" s="128">
        <v>-8178380.8799999999</v>
      </c>
      <c r="AA2845" s="128">
        <v>0</v>
      </c>
      <c r="AB2845" s="126">
        <f t="shared" si="290"/>
        <v>0.81783808800000002</v>
      </c>
      <c r="AC2845" s="122" t="s">
        <v>1838</v>
      </c>
      <c r="AD2845" s="123">
        <f t="shared" si="291"/>
        <v>3.7293684539999998</v>
      </c>
    </row>
    <row r="2846" spans="1:30" ht="12.75" hidden="1" customHeight="1">
      <c r="A2846" s="125" t="str">
        <f t="shared" si="287"/>
        <v>LIC28Management Fees-RG</v>
      </c>
      <c r="B2846" s="125">
        <f>+IFERROR(VLOOKUP(L2846,'TB mapping'!A:D,4,0),0)</f>
        <v>6.1</v>
      </c>
      <c r="C2846" s="125">
        <f>+IFERROR(VLOOKUP(L2846,'TB mapping'!A:C,3,0),0)</f>
        <v>6.3</v>
      </c>
      <c r="D2846" s="125" t="str">
        <f t="shared" si="288"/>
        <v>LIC286.1</v>
      </c>
      <c r="E2846" s="125" t="str">
        <f t="shared" si="289"/>
        <v>LIC286.3</v>
      </c>
      <c r="F2846" s="158" t="str">
        <f>+VLOOKUP(H2846,'code mapping'!A:C,3,0)</f>
        <v>LIC28</v>
      </c>
      <c r="G2846" s="127" t="s">
        <v>453</v>
      </c>
      <c r="H2846" s="127" t="s">
        <v>783</v>
      </c>
      <c r="I2846" s="127" t="s">
        <v>55</v>
      </c>
      <c r="J2846" s="128">
        <v>555100</v>
      </c>
      <c r="K2846" s="127" t="s">
        <v>579</v>
      </c>
      <c r="L2846" s="151">
        <v>555191</v>
      </c>
      <c r="M2846" s="128">
        <v>0</v>
      </c>
      <c r="N2846" s="127" t="s">
        <v>581</v>
      </c>
      <c r="O2846" s="127" t="s">
        <v>457</v>
      </c>
      <c r="P2846" s="128">
        <v>-7438371.4000000004</v>
      </c>
      <c r="Q2846" s="128">
        <v>0</v>
      </c>
      <c r="R2846" s="128">
        <v>0</v>
      </c>
      <c r="S2846" s="128">
        <v>0</v>
      </c>
      <c r="T2846" s="128">
        <v>-7438371.4000000004</v>
      </c>
      <c r="U2846" s="128">
        <v>0</v>
      </c>
      <c r="V2846" s="128">
        <v>-7438371.4000000004</v>
      </c>
      <c r="W2846" s="128">
        <v>0</v>
      </c>
      <c r="X2846" s="128">
        <v>0</v>
      </c>
      <c r="Y2846" s="128">
        <v>0</v>
      </c>
      <c r="Z2846" s="128">
        <v>-7438371.4000000004</v>
      </c>
      <c r="AA2846" s="128">
        <v>0</v>
      </c>
      <c r="AB2846" s="126">
        <f t="shared" si="290"/>
        <v>0.74383714000000001</v>
      </c>
      <c r="AC2846" s="122" t="s">
        <v>1838</v>
      </c>
      <c r="AD2846" s="123">
        <f t="shared" si="291"/>
        <v>3.7293684539999998</v>
      </c>
    </row>
    <row r="2847" spans="1:30" ht="12.75" hidden="1" customHeight="1">
      <c r="A2847" s="125" t="str">
        <f t="shared" si="287"/>
        <v>LIC28Management Fees-RD</v>
      </c>
      <c r="B2847" s="125">
        <f>+IFERROR(VLOOKUP(L2847,'TB mapping'!A:D,4,0),0)</f>
        <v>6.1</v>
      </c>
      <c r="C2847" s="125">
        <f>+IFERROR(VLOOKUP(L2847,'TB mapping'!A:C,3,0),0)</f>
        <v>6.3</v>
      </c>
      <c r="D2847" s="125" t="str">
        <f t="shared" si="288"/>
        <v>LIC286.1</v>
      </c>
      <c r="E2847" s="125" t="str">
        <f t="shared" si="289"/>
        <v>LIC286.3</v>
      </c>
      <c r="F2847" s="158" t="str">
        <f>+VLOOKUP(H2847,'code mapping'!A:C,3,0)</f>
        <v>LIC28</v>
      </c>
      <c r="G2847" s="127" t="s">
        <v>453</v>
      </c>
      <c r="H2847" s="127" t="s">
        <v>783</v>
      </c>
      <c r="I2847" s="127" t="s">
        <v>55</v>
      </c>
      <c r="J2847" s="128">
        <v>555100</v>
      </c>
      <c r="K2847" s="127" t="s">
        <v>579</v>
      </c>
      <c r="L2847" s="151">
        <v>555192</v>
      </c>
      <c r="M2847" s="128">
        <v>0</v>
      </c>
      <c r="N2847" s="127" t="s">
        <v>582</v>
      </c>
      <c r="O2847" s="127" t="s">
        <v>457</v>
      </c>
      <c r="P2847" s="128">
        <v>-1562822.05</v>
      </c>
      <c r="Q2847" s="128">
        <v>0</v>
      </c>
      <c r="R2847" s="128">
        <v>0</v>
      </c>
      <c r="S2847" s="128">
        <v>0</v>
      </c>
      <c r="T2847" s="128">
        <v>-1562822.05</v>
      </c>
      <c r="U2847" s="128">
        <v>0</v>
      </c>
      <c r="V2847" s="128">
        <v>-1562822.05</v>
      </c>
      <c r="W2847" s="128">
        <v>0</v>
      </c>
      <c r="X2847" s="128">
        <v>0</v>
      </c>
      <c r="Y2847" s="128">
        <v>0</v>
      </c>
      <c r="Z2847" s="128">
        <v>-1562822.05</v>
      </c>
      <c r="AA2847" s="128">
        <v>0</v>
      </c>
      <c r="AB2847" s="126">
        <f t="shared" si="290"/>
        <v>0.15628220500000001</v>
      </c>
      <c r="AC2847" s="122" t="s">
        <v>1838</v>
      </c>
      <c r="AD2847" s="123">
        <f t="shared" si="291"/>
        <v>3.7293684539999998</v>
      </c>
    </row>
    <row r="2848" spans="1:30" ht="12.75" hidden="1" customHeight="1">
      <c r="A2848" s="125" t="str">
        <f t="shared" si="287"/>
        <v>LIC28Management Fees-GDP</v>
      </c>
      <c r="B2848" s="125">
        <f>+IFERROR(VLOOKUP(L2848,'TB mapping'!A:D,4,0),0)</f>
        <v>6.1</v>
      </c>
      <c r="C2848" s="125">
        <f>+IFERROR(VLOOKUP(L2848,'TB mapping'!A:C,3,0),0)</f>
        <v>6.3</v>
      </c>
      <c r="D2848" s="125" t="str">
        <f t="shared" si="288"/>
        <v>LIC286.1</v>
      </c>
      <c r="E2848" s="125" t="str">
        <f t="shared" si="289"/>
        <v>LIC286.3</v>
      </c>
      <c r="F2848" s="158" t="str">
        <f>+VLOOKUP(H2848,'code mapping'!A:C,3,0)</f>
        <v>LIC28</v>
      </c>
      <c r="G2848" s="127" t="s">
        <v>453</v>
      </c>
      <c r="H2848" s="127" t="s">
        <v>783</v>
      </c>
      <c r="I2848" s="127" t="s">
        <v>55</v>
      </c>
      <c r="J2848" s="128">
        <v>555100</v>
      </c>
      <c r="K2848" s="127" t="s">
        <v>579</v>
      </c>
      <c r="L2848" s="151">
        <v>555329</v>
      </c>
      <c r="M2848" s="128">
        <v>0</v>
      </c>
      <c r="N2848" s="127" t="s">
        <v>584</v>
      </c>
      <c r="O2848" s="127" t="s">
        <v>457</v>
      </c>
      <c r="P2848" s="128">
        <v>-434899.37</v>
      </c>
      <c r="Q2848" s="128">
        <v>0</v>
      </c>
      <c r="R2848" s="128">
        <v>0</v>
      </c>
      <c r="S2848" s="128">
        <v>0</v>
      </c>
      <c r="T2848" s="128">
        <v>-434899.37</v>
      </c>
      <c r="U2848" s="128">
        <v>0</v>
      </c>
      <c r="V2848" s="128">
        <v>-434899.37</v>
      </c>
      <c r="W2848" s="128">
        <v>0</v>
      </c>
      <c r="X2848" s="128">
        <v>0</v>
      </c>
      <c r="Y2848" s="128">
        <v>0</v>
      </c>
      <c r="Z2848" s="128">
        <v>-434899.37</v>
      </c>
      <c r="AA2848" s="128">
        <v>0</v>
      </c>
      <c r="AB2848" s="126">
        <f t="shared" si="290"/>
        <v>4.3489936999999999E-2</v>
      </c>
      <c r="AC2848" s="122" t="s">
        <v>1838</v>
      </c>
      <c r="AD2848" s="123">
        <f t="shared" si="291"/>
        <v>3.7293684539999998</v>
      </c>
    </row>
    <row r="2849" spans="1:30" ht="12.75" hidden="1" customHeight="1">
      <c r="A2849" s="125" t="str">
        <f t="shared" si="287"/>
        <v>LIC28Management Fees-DDP</v>
      </c>
      <c r="B2849" s="125">
        <f>+IFERROR(VLOOKUP(L2849,'TB mapping'!A:D,4,0),0)</f>
        <v>6.1</v>
      </c>
      <c r="C2849" s="125">
        <f>+IFERROR(VLOOKUP(L2849,'TB mapping'!A:C,3,0),0)</f>
        <v>6.3</v>
      </c>
      <c r="D2849" s="125" t="str">
        <f t="shared" si="288"/>
        <v>LIC286.1</v>
      </c>
      <c r="E2849" s="125" t="str">
        <f t="shared" si="289"/>
        <v>LIC286.3</v>
      </c>
      <c r="F2849" s="158" t="str">
        <f>+VLOOKUP(H2849,'code mapping'!A:C,3,0)</f>
        <v>LIC28</v>
      </c>
      <c r="G2849" s="127" t="s">
        <v>453</v>
      </c>
      <c r="H2849" s="127" t="s">
        <v>783</v>
      </c>
      <c r="I2849" s="127" t="s">
        <v>55</v>
      </c>
      <c r="J2849" s="128">
        <v>555100</v>
      </c>
      <c r="K2849" s="127" t="s">
        <v>579</v>
      </c>
      <c r="L2849" s="151">
        <v>555330</v>
      </c>
      <c r="M2849" s="128">
        <v>0</v>
      </c>
      <c r="N2849" s="127" t="s">
        <v>585</v>
      </c>
      <c r="O2849" s="127" t="s">
        <v>457</v>
      </c>
      <c r="P2849" s="128">
        <v>-40641.9</v>
      </c>
      <c r="Q2849" s="128">
        <v>0</v>
      </c>
      <c r="R2849" s="128">
        <v>0</v>
      </c>
      <c r="S2849" s="128">
        <v>0</v>
      </c>
      <c r="T2849" s="128">
        <v>-40641.9</v>
      </c>
      <c r="U2849" s="128">
        <v>0</v>
      </c>
      <c r="V2849" s="128">
        <v>-40641.9</v>
      </c>
      <c r="W2849" s="128">
        <v>0</v>
      </c>
      <c r="X2849" s="128">
        <v>0</v>
      </c>
      <c r="Y2849" s="128">
        <v>0</v>
      </c>
      <c r="Z2849" s="128">
        <v>-40641.9</v>
      </c>
      <c r="AA2849" s="128">
        <v>0</v>
      </c>
      <c r="AB2849" s="126">
        <f t="shared" si="290"/>
        <v>4.0641900000000005E-3</v>
      </c>
      <c r="AC2849" s="122" t="s">
        <v>1838</v>
      </c>
      <c r="AD2849" s="123">
        <f t="shared" si="291"/>
        <v>3.7293684539999998</v>
      </c>
    </row>
    <row r="2850" spans="1:30" ht="12.75" hidden="1" customHeight="1">
      <c r="A2850" s="125" t="str">
        <f t="shared" si="287"/>
        <v>LIC28Dividend Distribution - RD</v>
      </c>
      <c r="B2850" s="125">
        <f>+IFERROR(VLOOKUP(L2850,'TB mapping'!A:D,4,0),0)</f>
        <v>0</v>
      </c>
      <c r="C2850" s="125" t="str">
        <f>+IFERROR(VLOOKUP(L2850,'TB mapping'!A:C,3,0),0)</f>
        <v>ignore</v>
      </c>
      <c r="D2850" s="125" t="str">
        <f t="shared" si="288"/>
        <v>LIC280</v>
      </c>
      <c r="E2850" s="125" t="str">
        <f t="shared" si="289"/>
        <v>LIC28ignore</v>
      </c>
      <c r="F2850" s="158" t="str">
        <f>+VLOOKUP(H2850,'code mapping'!A:C,3,0)</f>
        <v>LIC28</v>
      </c>
      <c r="G2850" s="127" t="s">
        <v>453</v>
      </c>
      <c r="H2850" s="127" t="s">
        <v>783</v>
      </c>
      <c r="I2850" s="127" t="s">
        <v>55</v>
      </c>
      <c r="J2850" s="128">
        <v>555300</v>
      </c>
      <c r="K2850" s="127" t="s">
        <v>586</v>
      </c>
      <c r="L2850" s="151">
        <v>553143</v>
      </c>
      <c r="M2850" s="128">
        <v>0</v>
      </c>
      <c r="N2850" s="127" t="s">
        <v>587</v>
      </c>
      <c r="O2850" s="127" t="s">
        <v>457</v>
      </c>
      <c r="P2850" s="128">
        <v>-18227328.859999999</v>
      </c>
      <c r="Q2850" s="128">
        <v>0</v>
      </c>
      <c r="R2850" s="128">
        <v>0</v>
      </c>
      <c r="S2850" s="128">
        <v>0</v>
      </c>
      <c r="T2850" s="128">
        <v>-18227328.859999999</v>
      </c>
      <c r="U2850" s="128">
        <v>0</v>
      </c>
      <c r="V2850" s="128">
        <v>-18227328.859999999</v>
      </c>
      <c r="W2850" s="128">
        <v>0</v>
      </c>
      <c r="X2850" s="128">
        <v>0</v>
      </c>
      <c r="Y2850" s="128">
        <v>0</v>
      </c>
      <c r="Z2850" s="128">
        <v>-18227328.859999999</v>
      </c>
      <c r="AA2850" s="128">
        <v>0</v>
      </c>
      <c r="AB2850" s="126">
        <f t="shared" si="290"/>
        <v>1.8227328859999998</v>
      </c>
      <c r="AC2850" s="122" t="s">
        <v>1838</v>
      </c>
      <c r="AD2850" s="123">
        <f t="shared" ref="AD2850:AD2879" si="292">SUMIF(C:C,C2850,AB:AB)</f>
        <v>-291.7660984179999</v>
      </c>
    </row>
    <row r="2851" spans="1:30" ht="12.75" hidden="1" customHeight="1">
      <c r="A2851" s="125" t="str">
        <f t="shared" si="287"/>
        <v>LIC28Dividend Distribution-DDP</v>
      </c>
      <c r="B2851" s="125">
        <f>+IFERROR(VLOOKUP(L2851,'TB mapping'!A:D,4,0),0)</f>
        <v>0</v>
      </c>
      <c r="C2851" s="125" t="str">
        <f>+IFERROR(VLOOKUP(L2851,'TB mapping'!A:C,3,0),0)</f>
        <v>ignore</v>
      </c>
      <c r="D2851" s="125" t="str">
        <f t="shared" si="288"/>
        <v>LIC280</v>
      </c>
      <c r="E2851" s="125" t="str">
        <f t="shared" si="289"/>
        <v>LIC28ignore</v>
      </c>
      <c r="F2851" s="158" t="str">
        <f>+VLOOKUP(H2851,'code mapping'!A:C,3,0)</f>
        <v>LIC28</v>
      </c>
      <c r="G2851" s="127" t="s">
        <v>453</v>
      </c>
      <c r="H2851" s="127" t="s">
        <v>783</v>
      </c>
      <c r="I2851" s="127" t="s">
        <v>55</v>
      </c>
      <c r="J2851" s="128">
        <v>555300</v>
      </c>
      <c r="K2851" s="127" t="s">
        <v>586</v>
      </c>
      <c r="L2851" s="151">
        <v>554346</v>
      </c>
      <c r="M2851" s="128">
        <v>0</v>
      </c>
      <c r="N2851" s="127" t="s">
        <v>605</v>
      </c>
      <c r="O2851" s="127" t="s">
        <v>457</v>
      </c>
      <c r="P2851" s="128">
        <v>-435783.92</v>
      </c>
      <c r="Q2851" s="128">
        <v>0</v>
      </c>
      <c r="R2851" s="128">
        <v>0</v>
      </c>
      <c r="S2851" s="128">
        <v>0</v>
      </c>
      <c r="T2851" s="128">
        <v>-435783.92</v>
      </c>
      <c r="U2851" s="128">
        <v>0</v>
      </c>
      <c r="V2851" s="128">
        <v>-435783.92</v>
      </c>
      <c r="W2851" s="128">
        <v>0</v>
      </c>
      <c r="X2851" s="128">
        <v>0</v>
      </c>
      <c r="Y2851" s="128">
        <v>0</v>
      </c>
      <c r="Z2851" s="128">
        <v>-435783.92</v>
      </c>
      <c r="AA2851" s="128">
        <v>0</v>
      </c>
      <c r="AB2851" s="126">
        <f t="shared" si="290"/>
        <v>4.3578392000000001E-2</v>
      </c>
      <c r="AC2851" s="122" t="s">
        <v>1838</v>
      </c>
      <c r="AD2851" s="123">
        <f t="shared" si="292"/>
        <v>-291.7660984179999</v>
      </c>
    </row>
    <row r="2852" spans="1:30" ht="12.75" hidden="1" customHeight="1">
      <c r="A2852" s="125" t="str">
        <f t="shared" si="287"/>
        <v>LIC175Investment - Equities</v>
      </c>
      <c r="B2852" s="125">
        <f>+IFERROR(VLOOKUP(L2852,'TB mapping'!A:D,4,0),0)</f>
        <v>0</v>
      </c>
      <c r="C2852" s="125">
        <f>+IFERROR(VLOOKUP(L2852,'TB mapping'!A:C,3,0),0)</f>
        <v>0</v>
      </c>
      <c r="D2852" s="125" t="str">
        <f t="shared" si="288"/>
        <v>LIC1750</v>
      </c>
      <c r="E2852" s="125" t="str">
        <f t="shared" si="289"/>
        <v>LIC1750</v>
      </c>
      <c r="F2852" s="158" t="str">
        <f>+VLOOKUP(H2852,'code mapping'!A:C,3,0)</f>
        <v>LIC175</v>
      </c>
      <c r="G2852" s="127" t="s">
        <v>453</v>
      </c>
      <c r="H2852" s="127" t="s">
        <v>784</v>
      </c>
      <c r="I2852" s="127" t="s">
        <v>785</v>
      </c>
      <c r="J2852" s="128">
        <v>101000</v>
      </c>
      <c r="K2852" s="127" t="s">
        <v>591</v>
      </c>
      <c r="L2852" s="151">
        <v>101100</v>
      </c>
      <c r="M2852" s="128">
        <v>0</v>
      </c>
      <c r="N2852" s="127" t="s">
        <v>592</v>
      </c>
      <c r="O2852" s="127" t="s">
        <v>457</v>
      </c>
      <c r="P2852" s="128">
        <v>-3461629171.8000002</v>
      </c>
      <c r="Q2852" s="128">
        <v>0</v>
      </c>
      <c r="R2852" s="128">
        <v>0</v>
      </c>
      <c r="S2852" s="128">
        <v>0</v>
      </c>
      <c r="T2852" s="128">
        <v>-3461629171.8000002</v>
      </c>
      <c r="U2852" s="128">
        <v>0</v>
      </c>
      <c r="V2852" s="128">
        <v>-3461629171.8000002</v>
      </c>
      <c r="W2852" s="128">
        <v>0</v>
      </c>
      <c r="X2852" s="128">
        <v>0</v>
      </c>
      <c r="Y2852" s="128">
        <v>0</v>
      </c>
      <c r="Z2852" s="128">
        <v>-3461629171.8000002</v>
      </c>
      <c r="AA2852" s="128">
        <v>0</v>
      </c>
      <c r="AB2852" s="126">
        <f t="shared" si="290"/>
        <v>346.16291718000002</v>
      </c>
      <c r="AC2852" s="122" t="s">
        <v>1838</v>
      </c>
      <c r="AD2852" s="123">
        <f t="shared" si="292"/>
        <v>1983.9723217250009</v>
      </c>
    </row>
    <row r="2853" spans="1:30" ht="12.75" hidden="1" customHeight="1">
      <c r="A2853" s="125" t="str">
        <f t="shared" si="287"/>
        <v>LIC175Investment - CBLO</v>
      </c>
      <c r="B2853" s="125">
        <f>+IFERROR(VLOOKUP(L2853,'TB mapping'!A:D,4,0),0)</f>
        <v>0</v>
      </c>
      <c r="C2853" s="125">
        <f>+IFERROR(VLOOKUP(L2853,'TB mapping'!A:C,3,0),0)</f>
        <v>0</v>
      </c>
      <c r="D2853" s="125" t="str">
        <f t="shared" si="288"/>
        <v>LIC1750</v>
      </c>
      <c r="E2853" s="125" t="str">
        <f t="shared" si="289"/>
        <v>LIC1750</v>
      </c>
      <c r="F2853" s="158" t="str">
        <f>+VLOOKUP(H2853,'code mapping'!A:C,3,0)</f>
        <v>LIC175</v>
      </c>
      <c r="G2853" s="127" t="s">
        <v>453</v>
      </c>
      <c r="H2853" s="127" t="s">
        <v>784</v>
      </c>
      <c r="I2853" s="127" t="s">
        <v>785</v>
      </c>
      <c r="J2853" s="128">
        <v>110000</v>
      </c>
      <c r="K2853" s="127" t="s">
        <v>462</v>
      </c>
      <c r="L2853" s="151">
        <v>110100</v>
      </c>
      <c r="M2853" s="128">
        <v>0</v>
      </c>
      <c r="N2853" s="127" t="s">
        <v>463</v>
      </c>
      <c r="O2853" s="127" t="s">
        <v>457</v>
      </c>
      <c r="P2853" s="128">
        <v>-18645962.859999999</v>
      </c>
      <c r="Q2853" s="128">
        <v>0</v>
      </c>
      <c r="R2853" s="128">
        <v>0</v>
      </c>
      <c r="S2853" s="128">
        <v>0</v>
      </c>
      <c r="T2853" s="128">
        <v>-18645962.859999999</v>
      </c>
      <c r="U2853" s="128">
        <v>0</v>
      </c>
      <c r="V2853" s="128">
        <v>-18645962.859999999</v>
      </c>
      <c r="W2853" s="128">
        <v>0</v>
      </c>
      <c r="X2853" s="128">
        <v>0</v>
      </c>
      <c r="Y2853" s="128">
        <v>0</v>
      </c>
      <c r="Z2853" s="128">
        <v>-18645962.859999999</v>
      </c>
      <c r="AA2853" s="128">
        <v>0</v>
      </c>
      <c r="AB2853" s="126">
        <f t="shared" si="290"/>
        <v>1.864596286</v>
      </c>
      <c r="AC2853" s="122" t="s">
        <v>1838</v>
      </c>
      <c r="AD2853" s="123">
        <f t="shared" si="292"/>
        <v>1983.9723217250009</v>
      </c>
    </row>
    <row r="2854" spans="1:30" ht="12.75" hidden="1" customHeight="1">
      <c r="A2854" s="125" t="str">
        <f t="shared" si="287"/>
        <v>LIC175Dividend Receivable</v>
      </c>
      <c r="B2854" s="125">
        <f>+IFERROR(VLOOKUP(L2854,'TB mapping'!A:D,4,0),0)</f>
        <v>0</v>
      </c>
      <c r="C2854" s="125">
        <f>+IFERROR(VLOOKUP(L2854,'TB mapping'!A:C,3,0),0)</f>
        <v>0</v>
      </c>
      <c r="D2854" s="125" t="str">
        <f t="shared" si="288"/>
        <v>LIC1750</v>
      </c>
      <c r="E2854" s="125" t="str">
        <f t="shared" si="289"/>
        <v>LIC1750</v>
      </c>
      <c r="F2854" s="158" t="str">
        <f>+VLOOKUP(H2854,'code mapping'!A:C,3,0)</f>
        <v>LIC175</v>
      </c>
      <c r="G2854" s="127" t="s">
        <v>453</v>
      </c>
      <c r="H2854" s="127" t="s">
        <v>784</v>
      </c>
      <c r="I2854" s="127" t="s">
        <v>785</v>
      </c>
      <c r="J2854" s="128">
        <v>132000</v>
      </c>
      <c r="K2854" s="127" t="s">
        <v>466</v>
      </c>
      <c r="L2854" s="151">
        <v>132100</v>
      </c>
      <c r="M2854" s="128">
        <v>0</v>
      </c>
      <c r="N2854" s="127" t="s">
        <v>593</v>
      </c>
      <c r="O2854" s="127" t="s">
        <v>457</v>
      </c>
      <c r="P2854" s="128">
        <v>-631039.5</v>
      </c>
      <c r="Q2854" s="128">
        <v>0</v>
      </c>
      <c r="R2854" s="128">
        <v>0</v>
      </c>
      <c r="S2854" s="128">
        <v>0</v>
      </c>
      <c r="T2854" s="128">
        <v>-631039.5</v>
      </c>
      <c r="U2854" s="128">
        <v>0</v>
      </c>
      <c r="V2854" s="128">
        <v>-631039.5</v>
      </c>
      <c r="W2854" s="128">
        <v>0</v>
      </c>
      <c r="X2854" s="128">
        <v>0</v>
      </c>
      <c r="Y2854" s="128">
        <v>0</v>
      </c>
      <c r="Z2854" s="128">
        <v>-631039.5</v>
      </c>
      <c r="AA2854" s="128">
        <v>0</v>
      </c>
      <c r="AB2854" s="126">
        <f t="shared" si="290"/>
        <v>6.3103950000000006E-2</v>
      </c>
      <c r="AC2854" s="122" t="s">
        <v>1838</v>
      </c>
      <c r="AD2854" s="123">
        <f t="shared" si="292"/>
        <v>1983.9723217250009</v>
      </c>
    </row>
    <row r="2855" spans="1:30" ht="12.75" hidden="1" customHeight="1">
      <c r="A2855" s="125" t="str">
        <f t="shared" si="287"/>
        <v>LIC175Due From Broker - Equities</v>
      </c>
      <c r="B2855" s="125">
        <f>+IFERROR(VLOOKUP(L2855,'TB mapping'!A:D,4,0),0)</f>
        <v>0</v>
      </c>
      <c r="C2855" s="125">
        <f>+IFERROR(VLOOKUP(L2855,'TB mapping'!A:C,3,0),0)</f>
        <v>0</v>
      </c>
      <c r="D2855" s="125" t="str">
        <f t="shared" si="288"/>
        <v>LIC1750</v>
      </c>
      <c r="E2855" s="125" t="str">
        <f t="shared" si="289"/>
        <v>LIC1750</v>
      </c>
      <c r="F2855" s="158" t="str">
        <f>+VLOOKUP(H2855,'code mapping'!A:C,3,0)</f>
        <v>LIC175</v>
      </c>
      <c r="G2855" s="127" t="s">
        <v>453</v>
      </c>
      <c r="H2855" s="127" t="s">
        <v>784</v>
      </c>
      <c r="I2855" s="127" t="s">
        <v>785</v>
      </c>
      <c r="J2855" s="128">
        <v>132000</v>
      </c>
      <c r="K2855" s="127" t="s">
        <v>466</v>
      </c>
      <c r="L2855" s="151">
        <v>132150</v>
      </c>
      <c r="M2855" s="128">
        <v>0</v>
      </c>
      <c r="N2855" s="127" t="s">
        <v>594</v>
      </c>
      <c r="O2855" s="127" t="s">
        <v>457</v>
      </c>
      <c r="P2855" s="128">
        <v>-80703067.379999995</v>
      </c>
      <c r="Q2855" s="128">
        <v>0</v>
      </c>
      <c r="R2855" s="128">
        <v>0</v>
      </c>
      <c r="S2855" s="128">
        <v>0</v>
      </c>
      <c r="T2855" s="128">
        <v>-80703067.379999995</v>
      </c>
      <c r="U2855" s="128">
        <v>0</v>
      </c>
      <c r="V2855" s="128">
        <v>-80703067.379999995</v>
      </c>
      <c r="W2855" s="128">
        <v>0</v>
      </c>
      <c r="X2855" s="128">
        <v>0</v>
      </c>
      <c r="Y2855" s="128">
        <v>0</v>
      </c>
      <c r="Z2855" s="128">
        <v>-80703067.379999995</v>
      </c>
      <c r="AA2855" s="128">
        <v>0</v>
      </c>
      <c r="AB2855" s="126">
        <f t="shared" si="290"/>
        <v>8.0703067379999993</v>
      </c>
      <c r="AC2855" s="122" t="s">
        <v>1838</v>
      </c>
      <c r="AD2855" s="123">
        <f t="shared" si="292"/>
        <v>1983.9723217250009</v>
      </c>
    </row>
    <row r="2856" spans="1:30" ht="12.75" hidden="1" customHeight="1">
      <c r="A2856" s="125" t="str">
        <f t="shared" si="287"/>
        <v>LIC175Receivable from AMC</v>
      </c>
      <c r="B2856" s="125">
        <f>+IFERROR(VLOOKUP(L2856,'TB mapping'!A:D,4,0),0)</f>
        <v>0</v>
      </c>
      <c r="C2856" s="125">
        <f>+IFERROR(VLOOKUP(L2856,'TB mapping'!A:C,3,0),0)</f>
        <v>0</v>
      </c>
      <c r="D2856" s="125" t="str">
        <f t="shared" si="288"/>
        <v>LIC1750</v>
      </c>
      <c r="E2856" s="125" t="str">
        <f t="shared" si="289"/>
        <v>LIC1750</v>
      </c>
      <c r="F2856" s="158" t="str">
        <f>+VLOOKUP(H2856,'code mapping'!A:C,3,0)</f>
        <v>LIC175</v>
      </c>
      <c r="G2856" s="127" t="s">
        <v>453</v>
      </c>
      <c r="H2856" s="127" t="s">
        <v>784</v>
      </c>
      <c r="I2856" s="127" t="s">
        <v>785</v>
      </c>
      <c r="J2856" s="128">
        <v>132000</v>
      </c>
      <c r="K2856" s="127" t="s">
        <v>466</v>
      </c>
      <c r="L2856" s="151">
        <v>152400</v>
      </c>
      <c r="M2856" s="128">
        <v>0</v>
      </c>
      <c r="N2856" s="127" t="s">
        <v>471</v>
      </c>
      <c r="O2856" s="127" t="s">
        <v>457</v>
      </c>
      <c r="P2856" s="128">
        <v>-922.11</v>
      </c>
      <c r="Q2856" s="128">
        <v>0</v>
      </c>
      <c r="R2856" s="128">
        <v>0</v>
      </c>
      <c r="S2856" s="128">
        <v>0</v>
      </c>
      <c r="T2856" s="128">
        <v>-922.11</v>
      </c>
      <c r="U2856" s="128">
        <v>0</v>
      </c>
      <c r="V2856" s="128">
        <v>-922.11</v>
      </c>
      <c r="W2856" s="128">
        <v>0</v>
      </c>
      <c r="X2856" s="128">
        <v>0</v>
      </c>
      <c r="Y2856" s="128">
        <v>0</v>
      </c>
      <c r="Z2856" s="128">
        <v>-922.11</v>
      </c>
      <c r="AA2856" s="128">
        <v>0</v>
      </c>
      <c r="AB2856" s="126">
        <f t="shared" si="290"/>
        <v>9.2211000000000002E-5</v>
      </c>
      <c r="AC2856" s="122" t="s">
        <v>1838</v>
      </c>
      <c r="AD2856" s="123">
        <f t="shared" si="292"/>
        <v>1983.9723217250009</v>
      </c>
    </row>
    <row r="2857" spans="1:30" ht="12.75" hidden="1" customHeight="1">
      <c r="A2857" s="125" t="str">
        <f t="shared" si="287"/>
        <v>LIC175CCIL Settlement A/C</v>
      </c>
      <c r="B2857" s="125">
        <f>+IFERROR(VLOOKUP(L2857,'TB mapping'!A:D,4,0),0)</f>
        <v>0</v>
      </c>
      <c r="C2857" s="125">
        <f>+IFERROR(VLOOKUP(L2857,'TB mapping'!A:C,3,0),0)</f>
        <v>0</v>
      </c>
      <c r="D2857" s="125" t="str">
        <f t="shared" si="288"/>
        <v>LIC1750</v>
      </c>
      <c r="E2857" s="125" t="str">
        <f t="shared" si="289"/>
        <v>LIC1750</v>
      </c>
      <c r="F2857" s="158" t="str">
        <f>+VLOOKUP(H2857,'code mapping'!A:C,3,0)</f>
        <v>LIC175</v>
      </c>
      <c r="G2857" s="127" t="s">
        <v>453</v>
      </c>
      <c r="H2857" s="127" t="s">
        <v>784</v>
      </c>
      <c r="I2857" s="127" t="s">
        <v>785</v>
      </c>
      <c r="J2857" s="128">
        <v>140000</v>
      </c>
      <c r="K2857" s="127" t="s">
        <v>472</v>
      </c>
      <c r="L2857" s="151">
        <v>132237</v>
      </c>
      <c r="M2857" s="128">
        <v>0</v>
      </c>
      <c r="N2857" s="127" t="s">
        <v>473</v>
      </c>
      <c r="O2857" s="127" t="s">
        <v>457</v>
      </c>
      <c r="P2857" s="128">
        <v>0</v>
      </c>
      <c r="Q2857" s="128">
        <v>0.04</v>
      </c>
      <c r="R2857" s="128">
        <v>0</v>
      </c>
      <c r="S2857" s="128">
        <v>0</v>
      </c>
      <c r="T2857" s="128">
        <v>0</v>
      </c>
      <c r="U2857" s="128">
        <v>0.04</v>
      </c>
      <c r="V2857" s="128">
        <v>0</v>
      </c>
      <c r="W2857" s="128">
        <v>0.04</v>
      </c>
      <c r="X2857" s="128">
        <v>0</v>
      </c>
      <c r="Y2857" s="128">
        <v>0</v>
      </c>
      <c r="Z2857" s="128">
        <v>0</v>
      </c>
      <c r="AA2857" s="128">
        <v>0.04</v>
      </c>
      <c r="AB2857" s="126">
        <f t="shared" si="290"/>
        <v>-4.0000000000000002E-9</v>
      </c>
      <c r="AC2857" s="122" t="s">
        <v>1838</v>
      </c>
      <c r="AD2857" s="123">
        <f t="shared" si="292"/>
        <v>1983.9723217250009</v>
      </c>
    </row>
    <row r="2858" spans="1:30" ht="12.75" hidden="1" customHeight="1">
      <c r="A2858" s="125" t="str">
        <f t="shared" si="287"/>
        <v>LIC175HDFC Current Account</v>
      </c>
      <c r="B2858" s="125">
        <f>+IFERROR(VLOOKUP(L2858,'TB mapping'!A:D,4,0),0)</f>
        <v>0</v>
      </c>
      <c r="C2858" s="125">
        <f>+IFERROR(VLOOKUP(L2858,'TB mapping'!A:C,3,0),0)</f>
        <v>0</v>
      </c>
      <c r="D2858" s="125" t="str">
        <f t="shared" si="288"/>
        <v>LIC1750</v>
      </c>
      <c r="E2858" s="125" t="str">
        <f t="shared" si="289"/>
        <v>LIC1750</v>
      </c>
      <c r="F2858" s="158" t="str">
        <f>+VLOOKUP(H2858,'code mapping'!A:C,3,0)</f>
        <v>LIC175</v>
      </c>
      <c r="G2858" s="127" t="s">
        <v>453</v>
      </c>
      <c r="H2858" s="127" t="s">
        <v>784</v>
      </c>
      <c r="I2858" s="127" t="s">
        <v>785</v>
      </c>
      <c r="J2858" s="128">
        <v>140000</v>
      </c>
      <c r="K2858" s="127" t="s">
        <v>472</v>
      </c>
      <c r="L2858" s="151">
        <v>140330</v>
      </c>
      <c r="M2858" s="128">
        <v>0</v>
      </c>
      <c r="N2858" s="127" t="s">
        <v>475</v>
      </c>
      <c r="O2858" s="127" t="s">
        <v>457</v>
      </c>
      <c r="P2858" s="128">
        <v>0</v>
      </c>
      <c r="Q2858" s="128">
        <v>1</v>
      </c>
      <c r="R2858" s="128">
        <v>0</v>
      </c>
      <c r="S2858" s="128">
        <v>0</v>
      </c>
      <c r="T2858" s="128">
        <v>0</v>
      </c>
      <c r="U2858" s="128">
        <v>1</v>
      </c>
      <c r="V2858" s="128">
        <v>0</v>
      </c>
      <c r="W2858" s="128">
        <v>1</v>
      </c>
      <c r="X2858" s="128">
        <v>0</v>
      </c>
      <c r="Y2858" s="128">
        <v>0</v>
      </c>
      <c r="Z2858" s="128">
        <v>0</v>
      </c>
      <c r="AA2858" s="128">
        <v>1</v>
      </c>
      <c r="AB2858" s="126">
        <f t="shared" si="290"/>
        <v>-9.9999999999999995E-8</v>
      </c>
      <c r="AC2858" s="122" t="s">
        <v>1838</v>
      </c>
      <c r="AD2858" s="123">
        <f t="shared" si="292"/>
        <v>1983.9723217250009</v>
      </c>
    </row>
    <row r="2859" spans="1:30" ht="12.75" hidden="1" customHeight="1">
      <c r="A2859" s="125" t="str">
        <f t="shared" si="287"/>
        <v>LIC175HDFC Bank Ltd</v>
      </c>
      <c r="B2859" s="125">
        <f>+IFERROR(VLOOKUP(L2859,'TB mapping'!A:D,4,0),0)</f>
        <v>0</v>
      </c>
      <c r="C2859" s="125">
        <f>+IFERROR(VLOOKUP(L2859,'TB mapping'!A:C,3,0),0)</f>
        <v>0</v>
      </c>
      <c r="D2859" s="125" t="str">
        <f t="shared" si="288"/>
        <v>LIC1750</v>
      </c>
      <c r="E2859" s="125" t="str">
        <f t="shared" si="289"/>
        <v>LIC1750</v>
      </c>
      <c r="F2859" s="158" t="str">
        <f>+VLOOKUP(H2859,'code mapping'!A:C,3,0)</f>
        <v>LIC175</v>
      </c>
      <c r="G2859" s="127" t="s">
        <v>453</v>
      </c>
      <c r="H2859" s="127" t="s">
        <v>784</v>
      </c>
      <c r="I2859" s="127" t="s">
        <v>785</v>
      </c>
      <c r="J2859" s="128">
        <v>140000</v>
      </c>
      <c r="K2859" s="127" t="s">
        <v>472</v>
      </c>
      <c r="L2859" s="151">
        <v>140372</v>
      </c>
      <c r="M2859" s="128">
        <v>0</v>
      </c>
      <c r="N2859" s="127" t="s">
        <v>476</v>
      </c>
      <c r="O2859" s="127" t="s">
        <v>457</v>
      </c>
      <c r="P2859" s="128">
        <v>0</v>
      </c>
      <c r="Q2859" s="128">
        <v>5.96</v>
      </c>
      <c r="R2859" s="128">
        <v>0</v>
      </c>
      <c r="S2859" s="128">
        <v>0</v>
      </c>
      <c r="T2859" s="128">
        <v>0</v>
      </c>
      <c r="U2859" s="128">
        <v>5.96</v>
      </c>
      <c r="V2859" s="128">
        <v>0</v>
      </c>
      <c r="W2859" s="128">
        <v>5.96</v>
      </c>
      <c r="X2859" s="128">
        <v>0</v>
      </c>
      <c r="Y2859" s="128">
        <v>0</v>
      </c>
      <c r="Z2859" s="128">
        <v>0</v>
      </c>
      <c r="AA2859" s="128">
        <v>5.96</v>
      </c>
      <c r="AB2859" s="126">
        <f t="shared" si="290"/>
        <v>-5.9599999999999999E-7</v>
      </c>
      <c r="AC2859" s="122" t="s">
        <v>1838</v>
      </c>
      <c r="AD2859" s="123">
        <f t="shared" si="292"/>
        <v>1983.9723217250009</v>
      </c>
    </row>
    <row r="2860" spans="1:30" ht="12.75" hidden="1" customHeight="1">
      <c r="A2860" s="125" t="str">
        <f t="shared" si="287"/>
        <v>LIC175Standard Chartered Bank- India</v>
      </c>
      <c r="B2860" s="125">
        <f>+IFERROR(VLOOKUP(L2860,'TB mapping'!A:D,4,0),0)</f>
        <v>0</v>
      </c>
      <c r="C2860" s="125">
        <f>+IFERROR(VLOOKUP(L2860,'TB mapping'!A:C,3,0),0)</f>
        <v>0</v>
      </c>
      <c r="D2860" s="125" t="str">
        <f t="shared" si="288"/>
        <v>LIC1750</v>
      </c>
      <c r="E2860" s="125" t="str">
        <f t="shared" si="289"/>
        <v>LIC1750</v>
      </c>
      <c r="F2860" s="158" t="str">
        <f>+VLOOKUP(H2860,'code mapping'!A:C,3,0)</f>
        <v>LIC175</v>
      </c>
      <c r="G2860" s="127" t="s">
        <v>453</v>
      </c>
      <c r="H2860" s="127" t="s">
        <v>784</v>
      </c>
      <c r="I2860" s="127" t="s">
        <v>785</v>
      </c>
      <c r="J2860" s="128">
        <v>140000</v>
      </c>
      <c r="K2860" s="127" t="s">
        <v>472</v>
      </c>
      <c r="L2860" s="151">
        <v>140500</v>
      </c>
      <c r="M2860" s="128">
        <v>0</v>
      </c>
      <c r="N2860" s="127" t="s">
        <v>477</v>
      </c>
      <c r="O2860" s="127" t="s">
        <v>457</v>
      </c>
      <c r="P2860" s="128">
        <v>-12511.52</v>
      </c>
      <c r="Q2860" s="128">
        <v>0</v>
      </c>
      <c r="R2860" s="128">
        <v>0</v>
      </c>
      <c r="S2860" s="128">
        <v>0</v>
      </c>
      <c r="T2860" s="128">
        <v>-12511.52</v>
      </c>
      <c r="U2860" s="128">
        <v>0</v>
      </c>
      <c r="V2860" s="128">
        <v>-12511.52</v>
      </c>
      <c r="W2860" s="128">
        <v>0</v>
      </c>
      <c r="X2860" s="128">
        <v>0</v>
      </c>
      <c r="Y2860" s="128">
        <v>0</v>
      </c>
      <c r="Z2860" s="128">
        <v>-12511.52</v>
      </c>
      <c r="AA2860" s="128">
        <v>0</v>
      </c>
      <c r="AB2860" s="126">
        <f t="shared" si="290"/>
        <v>1.2511519999999999E-3</v>
      </c>
      <c r="AC2860" s="122" t="s">
        <v>1838</v>
      </c>
      <c r="AD2860" s="123">
        <f t="shared" si="292"/>
        <v>1983.9723217250009</v>
      </c>
    </row>
    <row r="2861" spans="1:30" ht="12.75" hidden="1" customHeight="1">
      <c r="A2861" s="125" t="str">
        <f t="shared" si="287"/>
        <v>LIC175Amort Receivable - CBLO</v>
      </c>
      <c r="B2861" s="125">
        <f>+IFERROR(VLOOKUP(L2861,'TB mapping'!A:D,4,0),0)</f>
        <v>0</v>
      </c>
      <c r="C2861" s="125">
        <f>+IFERROR(VLOOKUP(L2861,'TB mapping'!A:C,3,0),0)</f>
        <v>0</v>
      </c>
      <c r="D2861" s="125" t="str">
        <f t="shared" si="288"/>
        <v>LIC1750</v>
      </c>
      <c r="E2861" s="125" t="str">
        <f t="shared" si="289"/>
        <v>LIC1750</v>
      </c>
      <c r="F2861" s="158" t="str">
        <f>+VLOOKUP(H2861,'code mapping'!A:C,3,0)</f>
        <v>LIC175</v>
      </c>
      <c r="G2861" s="127" t="s">
        <v>453</v>
      </c>
      <c r="H2861" s="127" t="s">
        <v>784</v>
      </c>
      <c r="I2861" s="127" t="s">
        <v>785</v>
      </c>
      <c r="J2861" s="128">
        <v>152000</v>
      </c>
      <c r="K2861" s="127" t="s">
        <v>478</v>
      </c>
      <c r="L2861" s="151">
        <v>152232</v>
      </c>
      <c r="M2861" s="128">
        <v>0</v>
      </c>
      <c r="N2861" s="127" t="s">
        <v>482</v>
      </c>
      <c r="O2861" s="127" t="s">
        <v>457</v>
      </c>
      <c r="P2861" s="128">
        <v>-8341.75</v>
      </c>
      <c r="Q2861" s="128">
        <v>0</v>
      </c>
      <c r="R2861" s="128">
        <v>0</v>
      </c>
      <c r="S2861" s="128">
        <v>0</v>
      </c>
      <c r="T2861" s="128">
        <v>-8341.75</v>
      </c>
      <c r="U2861" s="128">
        <v>0</v>
      </c>
      <c r="V2861" s="128">
        <v>-8341.75</v>
      </c>
      <c r="W2861" s="128">
        <v>0</v>
      </c>
      <c r="X2861" s="128">
        <v>0</v>
      </c>
      <c r="Y2861" s="128">
        <v>0</v>
      </c>
      <c r="Z2861" s="128">
        <v>-8341.75</v>
      </c>
      <c r="AA2861" s="128">
        <v>0</v>
      </c>
      <c r="AB2861" s="126">
        <f t="shared" si="290"/>
        <v>8.3417500000000004E-4</v>
      </c>
      <c r="AC2861" s="122" t="s">
        <v>1838</v>
      </c>
      <c r="AD2861" s="123">
        <f t="shared" si="292"/>
        <v>1983.9723217250009</v>
      </c>
    </row>
    <row r="2862" spans="1:30" ht="12.75" hidden="1" customHeight="1">
      <c r="A2862" s="125" t="str">
        <f t="shared" si="287"/>
        <v>LIC175Prov Unr P/L - Equities</v>
      </c>
      <c r="B2862" s="125">
        <f>+IFERROR(VLOOKUP(L2862,'TB mapping'!A:D,4,0),0)</f>
        <v>0</v>
      </c>
      <c r="C2862" s="125">
        <f>+IFERROR(VLOOKUP(L2862,'TB mapping'!A:C,3,0),0)</f>
        <v>0</v>
      </c>
      <c r="D2862" s="125" t="str">
        <f t="shared" si="288"/>
        <v>LIC1750</v>
      </c>
      <c r="E2862" s="125" t="str">
        <f t="shared" si="289"/>
        <v>LIC1750</v>
      </c>
      <c r="F2862" s="158" t="str">
        <f>+VLOOKUP(H2862,'code mapping'!A:C,3,0)</f>
        <v>LIC175</v>
      </c>
      <c r="G2862" s="127" t="s">
        <v>453</v>
      </c>
      <c r="H2862" s="127" t="s">
        <v>784</v>
      </c>
      <c r="I2862" s="127" t="s">
        <v>785</v>
      </c>
      <c r="J2862" s="128">
        <v>160000</v>
      </c>
      <c r="K2862" s="127" t="s">
        <v>483</v>
      </c>
      <c r="L2862" s="151">
        <v>161100</v>
      </c>
      <c r="M2862" s="128">
        <v>0</v>
      </c>
      <c r="N2862" s="127" t="s">
        <v>595</v>
      </c>
      <c r="O2862" s="127" t="s">
        <v>457</v>
      </c>
      <c r="P2862" s="128">
        <v>-911677068.45000005</v>
      </c>
      <c r="Q2862" s="128">
        <v>0</v>
      </c>
      <c r="R2862" s="128">
        <v>0</v>
      </c>
      <c r="S2862" s="128">
        <v>0</v>
      </c>
      <c r="T2862" s="128">
        <v>-911677068.45000005</v>
      </c>
      <c r="U2862" s="128">
        <v>0</v>
      </c>
      <c r="V2862" s="128">
        <v>-911677068.45000005</v>
      </c>
      <c r="W2862" s="128">
        <v>0</v>
      </c>
      <c r="X2862" s="128">
        <v>0</v>
      </c>
      <c r="Y2862" s="128">
        <v>0</v>
      </c>
      <c r="Z2862" s="128">
        <v>-911677068.45000005</v>
      </c>
      <c r="AA2862" s="128">
        <v>0</v>
      </c>
      <c r="AB2862" s="126">
        <f t="shared" si="290"/>
        <v>91.167706844999998</v>
      </c>
      <c r="AC2862" s="122" t="s">
        <v>1838</v>
      </c>
      <c r="AD2862" s="123">
        <f t="shared" si="292"/>
        <v>1983.9723217250009</v>
      </c>
    </row>
    <row r="2863" spans="1:30" ht="12.75" hidden="1" customHeight="1">
      <c r="A2863" s="125" t="str">
        <f t="shared" si="287"/>
        <v>LIC175Due to Broker - Equity</v>
      </c>
      <c r="B2863" s="125">
        <f>+IFERROR(VLOOKUP(L2863,'TB mapping'!A:D,4,0),0)</f>
        <v>0</v>
      </c>
      <c r="C2863" s="125">
        <f>+IFERROR(VLOOKUP(L2863,'TB mapping'!A:C,3,0),0)</f>
        <v>0</v>
      </c>
      <c r="D2863" s="125" t="str">
        <f t="shared" si="288"/>
        <v>LIC1750</v>
      </c>
      <c r="E2863" s="125" t="str">
        <f t="shared" si="289"/>
        <v>LIC1750</v>
      </c>
      <c r="F2863" s="158" t="str">
        <f>+VLOOKUP(H2863,'code mapping'!A:C,3,0)</f>
        <v>LIC175</v>
      </c>
      <c r="G2863" s="127" t="s">
        <v>453</v>
      </c>
      <c r="H2863" s="127" t="s">
        <v>784</v>
      </c>
      <c r="I2863" s="127" t="s">
        <v>785</v>
      </c>
      <c r="J2863" s="128">
        <v>212000</v>
      </c>
      <c r="K2863" s="127" t="s">
        <v>487</v>
      </c>
      <c r="L2863" s="151">
        <v>212150</v>
      </c>
      <c r="M2863" s="128">
        <v>0</v>
      </c>
      <c r="N2863" s="127" t="s">
        <v>747</v>
      </c>
      <c r="O2863" s="127" t="s">
        <v>457</v>
      </c>
      <c r="P2863" s="128">
        <v>0</v>
      </c>
      <c r="Q2863" s="128">
        <v>40041253.420000002</v>
      </c>
      <c r="R2863" s="128">
        <v>0</v>
      </c>
      <c r="S2863" s="128">
        <v>0</v>
      </c>
      <c r="T2863" s="128">
        <v>0</v>
      </c>
      <c r="U2863" s="128">
        <v>40041253.420000002</v>
      </c>
      <c r="V2863" s="128">
        <v>0</v>
      </c>
      <c r="W2863" s="128">
        <v>40041253.420000002</v>
      </c>
      <c r="X2863" s="128">
        <v>0</v>
      </c>
      <c r="Y2863" s="128">
        <v>0</v>
      </c>
      <c r="Z2863" s="128">
        <v>0</v>
      </c>
      <c r="AA2863" s="128">
        <v>40041253.420000002</v>
      </c>
      <c r="AB2863" s="126">
        <f t="shared" si="290"/>
        <v>-4.004125342</v>
      </c>
      <c r="AC2863" s="122" t="s">
        <v>1838</v>
      </c>
      <c r="AD2863" s="123">
        <f t="shared" si="292"/>
        <v>1983.9723217250009</v>
      </c>
    </row>
    <row r="2864" spans="1:30" ht="12.75" hidden="1" customHeight="1">
      <c r="A2864" s="125" t="str">
        <f t="shared" si="287"/>
        <v>LIC175Audit Fee-Payable</v>
      </c>
      <c r="B2864" s="125">
        <f>+IFERROR(VLOOKUP(L2864,'TB mapping'!A:D,4,0),0)</f>
        <v>0</v>
      </c>
      <c r="C2864" s="125">
        <f>+IFERROR(VLOOKUP(L2864,'TB mapping'!A:C,3,0),0)</f>
        <v>0</v>
      </c>
      <c r="D2864" s="125" t="str">
        <f t="shared" si="288"/>
        <v>LIC1750</v>
      </c>
      <c r="E2864" s="125" t="str">
        <f t="shared" si="289"/>
        <v>LIC1750</v>
      </c>
      <c r="F2864" s="158" t="str">
        <f>+VLOOKUP(H2864,'code mapping'!A:C,3,0)</f>
        <v>LIC175</v>
      </c>
      <c r="G2864" s="127" t="s">
        <v>453</v>
      </c>
      <c r="H2864" s="127" t="s">
        <v>784</v>
      </c>
      <c r="I2864" s="127" t="s">
        <v>785</v>
      </c>
      <c r="J2864" s="128">
        <v>212000</v>
      </c>
      <c r="K2864" s="127" t="s">
        <v>487</v>
      </c>
      <c r="L2864" s="151">
        <v>212194</v>
      </c>
      <c r="M2864" s="128">
        <v>0</v>
      </c>
      <c r="N2864" s="127" t="s">
        <v>496</v>
      </c>
      <c r="O2864" s="127" t="s">
        <v>457</v>
      </c>
      <c r="P2864" s="128">
        <v>-77.38</v>
      </c>
      <c r="Q2864" s="128">
        <v>0</v>
      </c>
      <c r="R2864" s="128">
        <v>0</v>
      </c>
      <c r="S2864" s="128">
        <v>0</v>
      </c>
      <c r="T2864" s="128">
        <v>-77.38</v>
      </c>
      <c r="U2864" s="128">
        <v>0</v>
      </c>
      <c r="V2864" s="128">
        <v>-77.38</v>
      </c>
      <c r="W2864" s="128">
        <v>0</v>
      </c>
      <c r="X2864" s="128">
        <v>0</v>
      </c>
      <c r="Y2864" s="128">
        <v>0</v>
      </c>
      <c r="Z2864" s="128">
        <v>-77.38</v>
      </c>
      <c r="AA2864" s="128">
        <v>0</v>
      </c>
      <c r="AB2864" s="126">
        <f t="shared" si="290"/>
        <v>7.7379999999999994E-6</v>
      </c>
      <c r="AC2864" s="122" t="s">
        <v>1838</v>
      </c>
      <c r="AD2864" s="123">
        <f t="shared" si="292"/>
        <v>1983.9723217250009</v>
      </c>
    </row>
    <row r="2865" spans="1:30" ht="12.75" hidden="1" customHeight="1">
      <c r="A2865" s="125" t="str">
        <f t="shared" si="287"/>
        <v>LIC175Other Exp- Payable</v>
      </c>
      <c r="B2865" s="125">
        <f>+IFERROR(VLOOKUP(L2865,'TB mapping'!A:D,4,0),0)</f>
        <v>0</v>
      </c>
      <c r="C2865" s="125">
        <f>+IFERROR(VLOOKUP(L2865,'TB mapping'!A:C,3,0),0)</f>
        <v>0</v>
      </c>
      <c r="D2865" s="125" t="str">
        <f t="shared" si="288"/>
        <v>LIC1750</v>
      </c>
      <c r="E2865" s="125" t="str">
        <f t="shared" si="289"/>
        <v>LIC1750</v>
      </c>
      <c r="F2865" s="158" t="str">
        <f>+VLOOKUP(H2865,'code mapping'!A:C,3,0)</f>
        <v>LIC175</v>
      </c>
      <c r="G2865" s="127" t="s">
        <v>453</v>
      </c>
      <c r="H2865" s="127" t="s">
        <v>784</v>
      </c>
      <c r="I2865" s="127" t="s">
        <v>785</v>
      </c>
      <c r="J2865" s="128">
        <v>212000</v>
      </c>
      <c r="K2865" s="127" t="s">
        <v>487</v>
      </c>
      <c r="L2865" s="151">
        <v>212220</v>
      </c>
      <c r="M2865" s="128">
        <v>0</v>
      </c>
      <c r="N2865" s="127" t="s">
        <v>497</v>
      </c>
      <c r="O2865" s="127" t="s">
        <v>457</v>
      </c>
      <c r="P2865" s="128">
        <v>0</v>
      </c>
      <c r="Q2865" s="128">
        <v>2052622.47</v>
      </c>
      <c r="R2865" s="128">
        <v>0</v>
      </c>
      <c r="S2865" s="128">
        <v>0</v>
      </c>
      <c r="T2865" s="128">
        <v>0</v>
      </c>
      <c r="U2865" s="128">
        <v>2052622.47</v>
      </c>
      <c r="V2865" s="128">
        <v>0</v>
      </c>
      <c r="W2865" s="128">
        <v>2052622.47</v>
      </c>
      <c r="X2865" s="128">
        <v>0</v>
      </c>
      <c r="Y2865" s="128">
        <v>0</v>
      </c>
      <c r="Z2865" s="128">
        <v>0</v>
      </c>
      <c r="AA2865" s="128">
        <v>2052622.47</v>
      </c>
      <c r="AB2865" s="126">
        <f t="shared" si="290"/>
        <v>-0.20526224700000001</v>
      </c>
      <c r="AC2865" s="122" t="s">
        <v>1838</v>
      </c>
      <c r="AD2865" s="123">
        <f t="shared" si="292"/>
        <v>1983.9723217250009</v>
      </c>
    </row>
    <row r="2866" spans="1:30" ht="12.75" hidden="1" customHeight="1">
      <c r="A2866" s="125" t="str">
        <f t="shared" si="287"/>
        <v>LIC175Expense Allocation-Liab'ity Ac</v>
      </c>
      <c r="B2866" s="125">
        <f>+IFERROR(VLOOKUP(L2866,'TB mapping'!A:D,4,0),0)</f>
        <v>0</v>
      </c>
      <c r="C2866" s="125">
        <f>+IFERROR(VLOOKUP(L2866,'TB mapping'!A:C,3,0),0)</f>
        <v>0</v>
      </c>
      <c r="D2866" s="125" t="str">
        <f t="shared" si="288"/>
        <v>LIC1750</v>
      </c>
      <c r="E2866" s="125" t="str">
        <f t="shared" si="289"/>
        <v>LIC1750</v>
      </c>
      <c r="F2866" s="158" t="str">
        <f>+VLOOKUP(H2866,'code mapping'!A:C,3,0)</f>
        <v>LIC175</v>
      </c>
      <c r="G2866" s="127" t="s">
        <v>453</v>
      </c>
      <c r="H2866" s="127" t="s">
        <v>784</v>
      </c>
      <c r="I2866" s="127" t="s">
        <v>785</v>
      </c>
      <c r="J2866" s="128">
        <v>212000</v>
      </c>
      <c r="K2866" s="127" t="s">
        <v>487</v>
      </c>
      <c r="L2866" s="151">
        <v>212223</v>
      </c>
      <c r="M2866" s="128">
        <v>0</v>
      </c>
      <c r="N2866" s="127" t="s">
        <v>498</v>
      </c>
      <c r="O2866" s="127" t="s">
        <v>457</v>
      </c>
      <c r="P2866" s="128">
        <v>-1407319.37</v>
      </c>
      <c r="Q2866" s="128">
        <v>0</v>
      </c>
      <c r="R2866" s="128">
        <v>0</v>
      </c>
      <c r="S2866" s="128">
        <v>0</v>
      </c>
      <c r="T2866" s="128">
        <v>-1407319.37</v>
      </c>
      <c r="U2866" s="128">
        <v>0</v>
      </c>
      <c r="V2866" s="128">
        <v>-1407319.37</v>
      </c>
      <c r="W2866" s="128">
        <v>0</v>
      </c>
      <c r="X2866" s="128">
        <v>0</v>
      </c>
      <c r="Y2866" s="128">
        <v>0</v>
      </c>
      <c r="Z2866" s="128">
        <v>-1407319.37</v>
      </c>
      <c r="AA2866" s="128">
        <v>0</v>
      </c>
      <c r="AB2866" s="126">
        <f t="shared" si="290"/>
        <v>0.140731937</v>
      </c>
      <c r="AC2866" s="122" t="s">
        <v>1838</v>
      </c>
      <c r="AD2866" s="123">
        <f t="shared" si="292"/>
        <v>1983.9723217250009</v>
      </c>
    </row>
    <row r="2867" spans="1:30" ht="12.75" hidden="1" customHeight="1">
      <c r="A2867" s="125" t="str">
        <f t="shared" si="287"/>
        <v>LIC175STT Payable</v>
      </c>
      <c r="B2867" s="125">
        <f>+IFERROR(VLOOKUP(L2867,'TB mapping'!A:D,4,0),0)</f>
        <v>0</v>
      </c>
      <c r="C2867" s="125">
        <f>+IFERROR(VLOOKUP(L2867,'TB mapping'!A:C,3,0),0)</f>
        <v>0</v>
      </c>
      <c r="D2867" s="125" t="str">
        <f t="shared" si="288"/>
        <v>LIC1750</v>
      </c>
      <c r="E2867" s="125" t="str">
        <f t="shared" si="289"/>
        <v>LIC1750</v>
      </c>
      <c r="F2867" s="158" t="str">
        <f>+VLOOKUP(H2867,'code mapping'!A:C,3,0)</f>
        <v>LIC175</v>
      </c>
      <c r="G2867" s="127" t="s">
        <v>453</v>
      </c>
      <c r="H2867" s="127" t="s">
        <v>784</v>
      </c>
      <c r="I2867" s="127" t="s">
        <v>785</v>
      </c>
      <c r="J2867" s="128">
        <v>212000</v>
      </c>
      <c r="K2867" s="127" t="s">
        <v>487</v>
      </c>
      <c r="L2867" s="151">
        <v>212231</v>
      </c>
      <c r="M2867" s="128">
        <v>0</v>
      </c>
      <c r="N2867" s="127" t="s">
        <v>748</v>
      </c>
      <c r="O2867" s="127" t="s">
        <v>457</v>
      </c>
      <c r="P2867" s="128">
        <v>-0.19</v>
      </c>
      <c r="Q2867" s="128">
        <v>0</v>
      </c>
      <c r="R2867" s="128">
        <v>0</v>
      </c>
      <c r="S2867" s="128">
        <v>0</v>
      </c>
      <c r="T2867" s="128">
        <v>-0.19</v>
      </c>
      <c r="U2867" s="128">
        <v>0</v>
      </c>
      <c r="V2867" s="128">
        <v>-0.19</v>
      </c>
      <c r="W2867" s="128">
        <v>0</v>
      </c>
      <c r="X2867" s="128">
        <v>0</v>
      </c>
      <c r="Y2867" s="128">
        <v>0</v>
      </c>
      <c r="Z2867" s="128">
        <v>-0.19</v>
      </c>
      <c r="AA2867" s="128">
        <v>0</v>
      </c>
      <c r="AB2867" s="126">
        <f t="shared" si="290"/>
        <v>1.9000000000000001E-8</v>
      </c>
      <c r="AC2867" s="122" t="s">
        <v>1838</v>
      </c>
      <c r="AD2867" s="123">
        <f t="shared" si="292"/>
        <v>1983.9723217250009</v>
      </c>
    </row>
    <row r="2868" spans="1:30" ht="12.75" hidden="1" customHeight="1">
      <c r="A2868" s="125" t="str">
        <f t="shared" si="287"/>
        <v>LIC175Investor Education Payable</v>
      </c>
      <c r="B2868" s="125">
        <f>+IFERROR(VLOOKUP(L2868,'TB mapping'!A:D,4,0),0)</f>
        <v>0</v>
      </c>
      <c r="C2868" s="125">
        <f>+IFERROR(VLOOKUP(L2868,'TB mapping'!A:C,3,0),0)</f>
        <v>0</v>
      </c>
      <c r="D2868" s="125" t="str">
        <f t="shared" si="288"/>
        <v>LIC1750</v>
      </c>
      <c r="E2868" s="125" t="str">
        <f t="shared" si="289"/>
        <v>LIC1750</v>
      </c>
      <c r="F2868" s="158" t="str">
        <f>+VLOOKUP(H2868,'code mapping'!A:C,3,0)</f>
        <v>LIC175</v>
      </c>
      <c r="G2868" s="127" t="s">
        <v>453</v>
      </c>
      <c r="H2868" s="127" t="s">
        <v>784</v>
      </c>
      <c r="I2868" s="127" t="s">
        <v>785</v>
      </c>
      <c r="J2868" s="128">
        <v>212000</v>
      </c>
      <c r="K2868" s="127" t="s">
        <v>487</v>
      </c>
      <c r="L2868" s="151">
        <v>212240</v>
      </c>
      <c r="M2868" s="128">
        <v>0</v>
      </c>
      <c r="N2868" s="127" t="s">
        <v>500</v>
      </c>
      <c r="O2868" s="127" t="s">
        <v>457</v>
      </c>
      <c r="P2868" s="128">
        <v>0</v>
      </c>
      <c r="Q2868" s="128">
        <v>37921.85</v>
      </c>
      <c r="R2868" s="128">
        <v>0</v>
      </c>
      <c r="S2868" s="128">
        <v>0</v>
      </c>
      <c r="T2868" s="128">
        <v>0</v>
      </c>
      <c r="U2868" s="128">
        <v>37921.85</v>
      </c>
      <c r="V2868" s="128">
        <v>0</v>
      </c>
      <c r="W2868" s="128">
        <v>37921.85</v>
      </c>
      <c r="X2868" s="128">
        <v>0</v>
      </c>
      <c r="Y2868" s="128">
        <v>0</v>
      </c>
      <c r="Z2868" s="128">
        <v>0</v>
      </c>
      <c r="AA2868" s="128">
        <v>37921.85</v>
      </c>
      <c r="AB2868" s="126">
        <f t="shared" si="290"/>
        <v>-3.792185E-3</v>
      </c>
      <c r="AC2868" s="122" t="s">
        <v>1838</v>
      </c>
      <c r="AD2868" s="123">
        <f t="shared" si="292"/>
        <v>1983.9723217250009</v>
      </c>
    </row>
    <row r="2869" spans="1:30" ht="12.75" hidden="1" customHeight="1">
      <c r="A2869" s="125" t="str">
        <f t="shared" si="287"/>
        <v>LIC175Brokerage &amp; Dist Exp Payable</v>
      </c>
      <c r="B2869" s="125">
        <f>+IFERROR(VLOOKUP(L2869,'TB mapping'!A:D,4,0),0)</f>
        <v>0</v>
      </c>
      <c r="C2869" s="125">
        <f>+IFERROR(VLOOKUP(L2869,'TB mapping'!A:C,3,0),0)</f>
        <v>0</v>
      </c>
      <c r="D2869" s="125" t="str">
        <f t="shared" si="288"/>
        <v>LIC1750</v>
      </c>
      <c r="E2869" s="125" t="str">
        <f t="shared" si="289"/>
        <v>LIC1750</v>
      </c>
      <c r="F2869" s="158" t="str">
        <f>+VLOOKUP(H2869,'code mapping'!A:C,3,0)</f>
        <v>LIC175</v>
      </c>
      <c r="G2869" s="127" t="s">
        <v>453</v>
      </c>
      <c r="H2869" s="127" t="s">
        <v>784</v>
      </c>
      <c r="I2869" s="127" t="s">
        <v>785</v>
      </c>
      <c r="J2869" s="128">
        <v>212000</v>
      </c>
      <c r="K2869" s="127" t="s">
        <v>487</v>
      </c>
      <c r="L2869" s="151">
        <v>212255</v>
      </c>
      <c r="M2869" s="128">
        <v>0</v>
      </c>
      <c r="N2869" s="127" t="s">
        <v>503</v>
      </c>
      <c r="O2869" s="127" t="s">
        <v>457</v>
      </c>
      <c r="P2869" s="128">
        <v>0</v>
      </c>
      <c r="Q2869" s="128">
        <v>80684.08</v>
      </c>
      <c r="R2869" s="128">
        <v>0</v>
      </c>
      <c r="S2869" s="128">
        <v>0</v>
      </c>
      <c r="T2869" s="128">
        <v>0</v>
      </c>
      <c r="U2869" s="128">
        <v>80684.08</v>
      </c>
      <c r="V2869" s="128">
        <v>0</v>
      </c>
      <c r="W2869" s="128">
        <v>80684.08</v>
      </c>
      <c r="X2869" s="128">
        <v>0</v>
      </c>
      <c r="Y2869" s="128">
        <v>0</v>
      </c>
      <c r="Z2869" s="128">
        <v>0</v>
      </c>
      <c r="AA2869" s="128">
        <v>80684.08</v>
      </c>
      <c r="AB2869" s="126">
        <f t="shared" si="290"/>
        <v>-8.0684080000000009E-3</v>
      </c>
      <c r="AC2869" s="122" t="s">
        <v>1838</v>
      </c>
      <c r="AD2869" s="123">
        <f t="shared" si="292"/>
        <v>1983.9723217250009</v>
      </c>
    </row>
    <row r="2870" spans="1:30" ht="12.75" hidden="1" customHeight="1">
      <c r="A2870" s="125" t="str">
        <f t="shared" si="287"/>
        <v>LIC175Payable CGST on Mfees</v>
      </c>
      <c r="B2870" s="125">
        <f>+IFERROR(VLOOKUP(L2870,'TB mapping'!A:D,4,0),0)</f>
        <v>0</v>
      </c>
      <c r="C2870" s="125">
        <f>+IFERROR(VLOOKUP(L2870,'TB mapping'!A:C,3,0),0)</f>
        <v>0</v>
      </c>
      <c r="D2870" s="125" t="str">
        <f t="shared" si="288"/>
        <v>LIC1750</v>
      </c>
      <c r="E2870" s="125" t="str">
        <f t="shared" si="289"/>
        <v>LIC1750</v>
      </c>
      <c r="F2870" s="158" t="str">
        <f>+VLOOKUP(H2870,'code mapping'!A:C,3,0)</f>
        <v>LIC175</v>
      </c>
      <c r="G2870" s="127" t="s">
        <v>453</v>
      </c>
      <c r="H2870" s="127" t="s">
        <v>784</v>
      </c>
      <c r="I2870" s="127" t="s">
        <v>785</v>
      </c>
      <c r="J2870" s="128">
        <v>212000</v>
      </c>
      <c r="K2870" s="127" t="s">
        <v>487</v>
      </c>
      <c r="L2870" s="151">
        <v>212271</v>
      </c>
      <c r="M2870" s="128">
        <v>0</v>
      </c>
      <c r="N2870" s="127" t="s">
        <v>505</v>
      </c>
      <c r="O2870" s="127" t="s">
        <v>457</v>
      </c>
      <c r="P2870" s="128">
        <v>0</v>
      </c>
      <c r="Q2870" s="128">
        <v>546.47</v>
      </c>
      <c r="R2870" s="128">
        <v>0</v>
      </c>
      <c r="S2870" s="128">
        <v>0</v>
      </c>
      <c r="T2870" s="128">
        <v>0</v>
      </c>
      <c r="U2870" s="128">
        <v>546.47</v>
      </c>
      <c r="V2870" s="128">
        <v>0</v>
      </c>
      <c r="W2870" s="128">
        <v>546.47</v>
      </c>
      <c r="X2870" s="128">
        <v>0</v>
      </c>
      <c r="Y2870" s="128">
        <v>0</v>
      </c>
      <c r="Z2870" s="128">
        <v>0</v>
      </c>
      <c r="AA2870" s="128">
        <v>546.47</v>
      </c>
      <c r="AB2870" s="126">
        <f t="shared" si="290"/>
        <v>-5.4647E-5</v>
      </c>
      <c r="AC2870" s="122" t="s">
        <v>1838</v>
      </c>
      <c r="AD2870" s="123">
        <f t="shared" si="292"/>
        <v>1983.9723217250009</v>
      </c>
    </row>
    <row r="2871" spans="1:30" ht="12.75" hidden="1" customHeight="1">
      <c r="A2871" s="125" t="str">
        <f t="shared" si="287"/>
        <v>LIC175Payable SGST on Mfees</v>
      </c>
      <c r="B2871" s="125">
        <f>+IFERROR(VLOOKUP(L2871,'TB mapping'!A:D,4,0),0)</f>
        <v>0</v>
      </c>
      <c r="C2871" s="125">
        <f>+IFERROR(VLOOKUP(L2871,'TB mapping'!A:C,3,0),0)</f>
        <v>0</v>
      </c>
      <c r="D2871" s="125" t="str">
        <f t="shared" si="288"/>
        <v>LIC1750</v>
      </c>
      <c r="E2871" s="125" t="str">
        <f t="shared" si="289"/>
        <v>LIC1750</v>
      </c>
      <c r="F2871" s="158" t="str">
        <f>+VLOOKUP(H2871,'code mapping'!A:C,3,0)</f>
        <v>LIC175</v>
      </c>
      <c r="G2871" s="127" t="s">
        <v>453</v>
      </c>
      <c r="H2871" s="127" t="s">
        <v>784</v>
      </c>
      <c r="I2871" s="127" t="s">
        <v>785</v>
      </c>
      <c r="J2871" s="128">
        <v>212000</v>
      </c>
      <c r="K2871" s="127" t="s">
        <v>487</v>
      </c>
      <c r="L2871" s="151">
        <v>212272</v>
      </c>
      <c r="M2871" s="128">
        <v>0</v>
      </c>
      <c r="N2871" s="127" t="s">
        <v>506</v>
      </c>
      <c r="O2871" s="127" t="s">
        <v>457</v>
      </c>
      <c r="P2871" s="128">
        <v>0</v>
      </c>
      <c r="Q2871" s="128">
        <v>546.47</v>
      </c>
      <c r="R2871" s="128">
        <v>0</v>
      </c>
      <c r="S2871" s="128">
        <v>0</v>
      </c>
      <c r="T2871" s="128">
        <v>0</v>
      </c>
      <c r="U2871" s="128">
        <v>546.47</v>
      </c>
      <c r="V2871" s="128">
        <v>0</v>
      </c>
      <c r="W2871" s="128">
        <v>546.47</v>
      </c>
      <c r="X2871" s="128">
        <v>0</v>
      </c>
      <c r="Y2871" s="128">
        <v>0</v>
      </c>
      <c r="Z2871" s="128">
        <v>0</v>
      </c>
      <c r="AA2871" s="128">
        <v>546.47</v>
      </c>
      <c r="AB2871" s="126">
        <f t="shared" si="290"/>
        <v>-5.4647E-5</v>
      </c>
      <c r="AC2871" s="122" t="s">
        <v>1838</v>
      </c>
      <c r="AD2871" s="123">
        <f t="shared" si="292"/>
        <v>1983.9723217250009</v>
      </c>
    </row>
    <row r="2872" spans="1:30" ht="12.75" hidden="1" customHeight="1">
      <c r="A2872" s="125" t="str">
        <f t="shared" si="287"/>
        <v>LIC175Payable -Inv Educ Fund-AMFI</v>
      </c>
      <c r="B2872" s="125">
        <f>+IFERROR(VLOOKUP(L2872,'TB mapping'!A:D,4,0),0)</f>
        <v>0</v>
      </c>
      <c r="C2872" s="125">
        <f>+IFERROR(VLOOKUP(L2872,'TB mapping'!A:C,3,0),0)</f>
        <v>0</v>
      </c>
      <c r="D2872" s="125" t="str">
        <f t="shared" si="288"/>
        <v>LIC1750</v>
      </c>
      <c r="E2872" s="125" t="str">
        <f t="shared" si="289"/>
        <v>LIC1750</v>
      </c>
      <c r="F2872" s="158" t="str">
        <f>+VLOOKUP(H2872,'code mapping'!A:C,3,0)</f>
        <v>LIC175</v>
      </c>
      <c r="G2872" s="127" t="s">
        <v>453</v>
      </c>
      <c r="H2872" s="127" t="s">
        <v>784</v>
      </c>
      <c r="I2872" s="127" t="s">
        <v>785</v>
      </c>
      <c r="J2872" s="128">
        <v>212000</v>
      </c>
      <c r="K2872" s="127" t="s">
        <v>487</v>
      </c>
      <c r="L2872" s="151">
        <v>213166</v>
      </c>
      <c r="M2872" s="128">
        <v>0</v>
      </c>
      <c r="N2872" s="127" t="s">
        <v>507</v>
      </c>
      <c r="O2872" s="127" t="s">
        <v>457</v>
      </c>
      <c r="P2872" s="128">
        <v>0</v>
      </c>
      <c r="Q2872" s="128">
        <v>37921.85</v>
      </c>
      <c r="R2872" s="128">
        <v>0</v>
      </c>
      <c r="S2872" s="128">
        <v>0</v>
      </c>
      <c r="T2872" s="128">
        <v>0</v>
      </c>
      <c r="U2872" s="128">
        <v>37921.85</v>
      </c>
      <c r="V2872" s="128">
        <v>0</v>
      </c>
      <c r="W2872" s="128">
        <v>37921.85</v>
      </c>
      <c r="X2872" s="128">
        <v>0</v>
      </c>
      <c r="Y2872" s="128">
        <v>0</v>
      </c>
      <c r="Z2872" s="128">
        <v>0</v>
      </c>
      <c r="AA2872" s="128">
        <v>37921.85</v>
      </c>
      <c r="AB2872" s="126">
        <f t="shared" si="290"/>
        <v>-3.792185E-3</v>
      </c>
      <c r="AC2872" s="122" t="s">
        <v>1838</v>
      </c>
      <c r="AD2872" s="123">
        <f t="shared" si="292"/>
        <v>1983.9723217250009</v>
      </c>
    </row>
    <row r="2873" spans="1:30" ht="12.75" hidden="1" customHeight="1">
      <c r="A2873" s="125" t="str">
        <f t="shared" ref="A2873:A2936" si="293">+F2873&amp;N2873</f>
        <v>LIC175Management Fee Payable</v>
      </c>
      <c r="B2873" s="125">
        <f>+IFERROR(VLOOKUP(L2873,'TB mapping'!A:D,4,0),0)</f>
        <v>0</v>
      </c>
      <c r="C2873" s="125">
        <f>+IFERROR(VLOOKUP(L2873,'TB mapping'!A:C,3,0),0)</f>
        <v>0</v>
      </c>
      <c r="D2873" s="125" t="str">
        <f t="shared" ref="D2873:D2936" si="294">+F2873&amp;B2873</f>
        <v>LIC1750</v>
      </c>
      <c r="E2873" s="125" t="str">
        <f t="shared" ref="E2873:E2936" si="295">+F2873&amp;C2873</f>
        <v>LIC1750</v>
      </c>
      <c r="F2873" s="158" t="str">
        <f>+VLOOKUP(H2873,'code mapping'!A:C,3,0)</f>
        <v>LIC175</v>
      </c>
      <c r="G2873" s="127" t="s">
        <v>453</v>
      </c>
      <c r="H2873" s="127" t="s">
        <v>784</v>
      </c>
      <c r="I2873" s="127" t="s">
        <v>785</v>
      </c>
      <c r="J2873" s="128">
        <v>213000</v>
      </c>
      <c r="K2873" s="127" t="s">
        <v>508</v>
      </c>
      <c r="L2873" s="151">
        <v>213500</v>
      </c>
      <c r="M2873" s="128">
        <v>0</v>
      </c>
      <c r="N2873" s="127" t="s">
        <v>509</v>
      </c>
      <c r="O2873" s="127" t="s">
        <v>457</v>
      </c>
      <c r="P2873" s="128">
        <v>0</v>
      </c>
      <c r="Q2873" s="128">
        <v>6071.67</v>
      </c>
      <c r="R2873" s="128">
        <v>0</v>
      </c>
      <c r="S2873" s="128">
        <v>0</v>
      </c>
      <c r="T2873" s="128">
        <v>0</v>
      </c>
      <c r="U2873" s="128">
        <v>6071.67</v>
      </c>
      <c r="V2873" s="128">
        <v>0</v>
      </c>
      <c r="W2873" s="128">
        <v>6071.67</v>
      </c>
      <c r="X2873" s="128">
        <v>0</v>
      </c>
      <c r="Y2873" s="128">
        <v>0</v>
      </c>
      <c r="Z2873" s="128">
        <v>0</v>
      </c>
      <c r="AA2873" s="128">
        <v>6071.67</v>
      </c>
      <c r="AB2873" s="126">
        <f t="shared" ref="AB2873:AB2936" si="296">SUM(-Z2873-AA2873)/10^7</f>
        <v>-6.0716700000000004E-4</v>
      </c>
      <c r="AC2873" s="122" t="s">
        <v>1838</v>
      </c>
      <c r="AD2873" s="123">
        <f t="shared" si="292"/>
        <v>1983.9723217250009</v>
      </c>
    </row>
    <row r="2874" spans="1:30" ht="12.75" hidden="1" customHeight="1">
      <c r="A2874" s="125" t="str">
        <f t="shared" si="293"/>
        <v>LIC175Other Adjustment A/c.</v>
      </c>
      <c r="B2874" s="125">
        <f>+IFERROR(VLOOKUP(L2874,'TB mapping'!A:D,4,0),0)</f>
        <v>0</v>
      </c>
      <c r="C2874" s="125">
        <f>+IFERROR(VLOOKUP(L2874,'TB mapping'!A:C,3,0),0)</f>
        <v>0</v>
      </c>
      <c r="D2874" s="125" t="str">
        <f t="shared" si="294"/>
        <v>LIC1750</v>
      </c>
      <c r="E2874" s="125" t="str">
        <f t="shared" si="295"/>
        <v>LIC1750</v>
      </c>
      <c r="F2874" s="158" t="str">
        <f>+VLOOKUP(H2874,'code mapping'!A:C,3,0)</f>
        <v>LIC175</v>
      </c>
      <c r="G2874" s="127" t="s">
        <v>453</v>
      </c>
      <c r="H2874" s="127" t="s">
        <v>784</v>
      </c>
      <c r="I2874" s="127" t="s">
        <v>785</v>
      </c>
      <c r="J2874" s="128">
        <v>220000</v>
      </c>
      <c r="K2874" s="127" t="s">
        <v>510</v>
      </c>
      <c r="L2874" s="151">
        <v>190000</v>
      </c>
      <c r="M2874" s="128">
        <v>0</v>
      </c>
      <c r="N2874" s="127" t="s">
        <v>511</v>
      </c>
      <c r="O2874" s="127" t="s">
        <v>457</v>
      </c>
      <c r="P2874" s="128">
        <v>0</v>
      </c>
      <c r="Q2874" s="128">
        <v>0.48</v>
      </c>
      <c r="R2874" s="128">
        <v>0</v>
      </c>
      <c r="S2874" s="128">
        <v>0</v>
      </c>
      <c r="T2874" s="128">
        <v>0</v>
      </c>
      <c r="U2874" s="128">
        <v>0.48</v>
      </c>
      <c r="V2874" s="128">
        <v>0</v>
      </c>
      <c r="W2874" s="128">
        <v>0.48</v>
      </c>
      <c r="X2874" s="128">
        <v>0</v>
      </c>
      <c r="Y2874" s="128">
        <v>0</v>
      </c>
      <c r="Z2874" s="128">
        <v>0</v>
      </c>
      <c r="AA2874" s="128">
        <v>0.48</v>
      </c>
      <c r="AB2874" s="126">
        <f t="shared" si="296"/>
        <v>-4.8E-8</v>
      </c>
      <c r="AC2874" s="122" t="s">
        <v>1838</v>
      </c>
      <c r="AD2874" s="123">
        <f t="shared" si="292"/>
        <v>1983.9723217250009</v>
      </c>
    </row>
    <row r="2875" spans="1:30" ht="12.75" hidden="1" customHeight="1">
      <c r="A2875" s="125" t="str">
        <f t="shared" si="293"/>
        <v>LIC175Prov For Withholding Brokerage</v>
      </c>
      <c r="B2875" s="125">
        <f>+IFERROR(VLOOKUP(L2875,'TB mapping'!A:D,4,0),0)</f>
        <v>0</v>
      </c>
      <c r="C2875" s="125">
        <f>+IFERROR(VLOOKUP(L2875,'TB mapping'!A:C,3,0),0)</f>
        <v>0</v>
      </c>
      <c r="D2875" s="125" t="str">
        <f t="shared" si="294"/>
        <v>LIC1750</v>
      </c>
      <c r="E2875" s="125" t="str">
        <f t="shared" si="295"/>
        <v>LIC1750</v>
      </c>
      <c r="F2875" s="158" t="str">
        <f>+VLOOKUP(H2875,'code mapping'!A:C,3,0)</f>
        <v>LIC175</v>
      </c>
      <c r="G2875" s="127" t="s">
        <v>453</v>
      </c>
      <c r="H2875" s="127" t="s">
        <v>784</v>
      </c>
      <c r="I2875" s="127" t="s">
        <v>785</v>
      </c>
      <c r="J2875" s="128">
        <v>220000</v>
      </c>
      <c r="K2875" s="127" t="s">
        <v>510</v>
      </c>
      <c r="L2875" s="151">
        <v>210162</v>
      </c>
      <c r="M2875" s="128">
        <v>0</v>
      </c>
      <c r="N2875" s="127" t="s">
        <v>512</v>
      </c>
      <c r="O2875" s="127" t="s">
        <v>457</v>
      </c>
      <c r="P2875" s="128">
        <v>0</v>
      </c>
      <c r="Q2875" s="128">
        <v>8.73</v>
      </c>
      <c r="R2875" s="128">
        <v>0</v>
      </c>
      <c r="S2875" s="128">
        <v>0</v>
      </c>
      <c r="T2875" s="128">
        <v>0</v>
      </c>
      <c r="U2875" s="128">
        <v>8.73</v>
      </c>
      <c r="V2875" s="128">
        <v>0</v>
      </c>
      <c r="W2875" s="128">
        <v>8.73</v>
      </c>
      <c r="X2875" s="128">
        <v>0</v>
      </c>
      <c r="Y2875" s="128">
        <v>0</v>
      </c>
      <c r="Z2875" s="128">
        <v>0</v>
      </c>
      <c r="AA2875" s="128">
        <v>8.73</v>
      </c>
      <c r="AB2875" s="126">
        <f t="shared" si="296"/>
        <v>-8.7300000000000005E-7</v>
      </c>
      <c r="AC2875" s="122" t="s">
        <v>1838</v>
      </c>
      <c r="AD2875" s="123">
        <f t="shared" si="292"/>
        <v>1983.9723217250009</v>
      </c>
    </row>
    <row r="2876" spans="1:30" ht="12.75" hidden="1" customHeight="1">
      <c r="A2876" s="125" t="str">
        <f t="shared" si="293"/>
        <v>LIC175Prov  Withholding Brok 2016-17</v>
      </c>
      <c r="B2876" s="125">
        <f>+IFERROR(VLOOKUP(L2876,'TB mapping'!A:D,4,0),0)</f>
        <v>0</v>
      </c>
      <c r="C2876" s="125">
        <f>+IFERROR(VLOOKUP(L2876,'TB mapping'!A:C,3,0),0)</f>
        <v>0</v>
      </c>
      <c r="D2876" s="125" t="str">
        <f t="shared" si="294"/>
        <v>LIC1750</v>
      </c>
      <c r="E2876" s="125" t="str">
        <f t="shared" si="295"/>
        <v>LIC1750</v>
      </c>
      <c r="F2876" s="158" t="str">
        <f>+VLOOKUP(H2876,'code mapping'!A:C,3,0)</f>
        <v>LIC175</v>
      </c>
      <c r="G2876" s="127" t="s">
        <v>453</v>
      </c>
      <c r="H2876" s="127" t="s">
        <v>784</v>
      </c>
      <c r="I2876" s="127" t="s">
        <v>785</v>
      </c>
      <c r="J2876" s="128">
        <v>220000</v>
      </c>
      <c r="K2876" s="127" t="s">
        <v>510</v>
      </c>
      <c r="L2876" s="151">
        <v>210163</v>
      </c>
      <c r="M2876" s="128">
        <v>0</v>
      </c>
      <c r="N2876" s="127" t="s">
        <v>513</v>
      </c>
      <c r="O2876" s="127" t="s">
        <v>457</v>
      </c>
      <c r="P2876" s="128">
        <v>0</v>
      </c>
      <c r="Q2876" s="128">
        <v>26.9</v>
      </c>
      <c r="R2876" s="128">
        <v>0</v>
      </c>
      <c r="S2876" s="128">
        <v>0</v>
      </c>
      <c r="T2876" s="128">
        <v>0</v>
      </c>
      <c r="U2876" s="128">
        <v>26.9</v>
      </c>
      <c r="V2876" s="128">
        <v>0</v>
      </c>
      <c r="W2876" s="128">
        <v>26.9</v>
      </c>
      <c r="X2876" s="128">
        <v>0</v>
      </c>
      <c r="Y2876" s="128">
        <v>0</v>
      </c>
      <c r="Z2876" s="128">
        <v>0</v>
      </c>
      <c r="AA2876" s="128">
        <v>26.9</v>
      </c>
      <c r="AB2876" s="126">
        <f t="shared" si="296"/>
        <v>-2.6899999999999997E-6</v>
      </c>
      <c r="AC2876" s="122" t="s">
        <v>1838</v>
      </c>
      <c r="AD2876" s="123">
        <f t="shared" si="292"/>
        <v>1983.9723217250009</v>
      </c>
    </row>
    <row r="2877" spans="1:30" ht="12.75" hidden="1" customHeight="1">
      <c r="A2877" s="125" t="str">
        <f t="shared" si="293"/>
        <v>LIC175Unit Capital</v>
      </c>
      <c r="B2877" s="125">
        <f>+IFERROR(VLOOKUP(L2877,'TB mapping'!A:D,4,0),0)</f>
        <v>0</v>
      </c>
      <c r="C2877" s="125">
        <f>+IFERROR(VLOOKUP(L2877,'TB mapping'!A:C,3,0),0)</f>
        <v>0</v>
      </c>
      <c r="D2877" s="125" t="str">
        <f t="shared" si="294"/>
        <v>LIC1750</v>
      </c>
      <c r="E2877" s="125" t="str">
        <f t="shared" si="295"/>
        <v>LIC1750</v>
      </c>
      <c r="F2877" s="158" t="str">
        <f>+VLOOKUP(H2877,'code mapping'!A:C,3,0)</f>
        <v>LIC175</v>
      </c>
      <c r="G2877" s="127" t="s">
        <v>453</v>
      </c>
      <c r="H2877" s="127" t="s">
        <v>784</v>
      </c>
      <c r="I2877" s="127" t="s">
        <v>785</v>
      </c>
      <c r="J2877" s="128">
        <v>301000</v>
      </c>
      <c r="K2877" s="127" t="s">
        <v>514</v>
      </c>
      <c r="L2877" s="151">
        <v>310000</v>
      </c>
      <c r="M2877" s="128">
        <v>0</v>
      </c>
      <c r="N2877" s="127" t="s">
        <v>515</v>
      </c>
      <c r="O2877" s="127" t="s">
        <v>457</v>
      </c>
      <c r="P2877" s="128">
        <v>0</v>
      </c>
      <c r="Q2877" s="128">
        <v>428356710</v>
      </c>
      <c r="R2877" s="128">
        <v>0</v>
      </c>
      <c r="S2877" s="128">
        <v>0</v>
      </c>
      <c r="T2877" s="128">
        <v>0</v>
      </c>
      <c r="U2877" s="128">
        <v>428356710</v>
      </c>
      <c r="V2877" s="128">
        <v>0</v>
      </c>
      <c r="W2877" s="128">
        <v>428356710</v>
      </c>
      <c r="X2877" s="128">
        <v>0</v>
      </c>
      <c r="Y2877" s="128">
        <v>0</v>
      </c>
      <c r="Z2877" s="128">
        <v>0</v>
      </c>
      <c r="AA2877" s="128">
        <v>428356710</v>
      </c>
      <c r="AB2877" s="126">
        <f t="shared" si="296"/>
        <v>-42.835670999999998</v>
      </c>
      <c r="AC2877" s="122" t="s">
        <v>1838</v>
      </c>
      <c r="AD2877" s="123">
        <f t="shared" si="292"/>
        <v>1983.9723217250009</v>
      </c>
    </row>
    <row r="2878" spans="1:30" ht="12.75" hidden="1" customHeight="1">
      <c r="A2878" s="125" t="str">
        <f t="shared" si="293"/>
        <v>LIC175Unit Premium Reserve- G</v>
      </c>
      <c r="B2878" s="125">
        <f>+IFERROR(VLOOKUP(L2878,'TB mapping'!A:D,4,0),0)</f>
        <v>0</v>
      </c>
      <c r="C2878" s="125">
        <f>+IFERROR(VLOOKUP(L2878,'TB mapping'!A:C,3,0),0)</f>
        <v>0</v>
      </c>
      <c r="D2878" s="125" t="str">
        <f t="shared" si="294"/>
        <v>LIC1750</v>
      </c>
      <c r="E2878" s="125" t="str">
        <f t="shared" si="295"/>
        <v>LIC1750</v>
      </c>
      <c r="F2878" s="158" t="str">
        <f>+VLOOKUP(H2878,'code mapping'!A:C,3,0)</f>
        <v>LIC175</v>
      </c>
      <c r="G2878" s="127" t="s">
        <v>453</v>
      </c>
      <c r="H2878" s="127" t="s">
        <v>784</v>
      </c>
      <c r="I2878" s="127" t="s">
        <v>785</v>
      </c>
      <c r="J2878" s="128">
        <v>303000</v>
      </c>
      <c r="K2878" s="127" t="s">
        <v>516</v>
      </c>
      <c r="L2878" s="151">
        <v>303207</v>
      </c>
      <c r="M2878" s="128">
        <v>0</v>
      </c>
      <c r="N2878" s="127" t="s">
        <v>620</v>
      </c>
      <c r="O2878" s="127" t="s">
        <v>457</v>
      </c>
      <c r="P2878" s="128">
        <v>0</v>
      </c>
      <c r="Q2878" s="128">
        <v>2965511394.9499998</v>
      </c>
      <c r="R2878" s="128">
        <v>0</v>
      </c>
      <c r="S2878" s="128">
        <v>0</v>
      </c>
      <c r="T2878" s="128">
        <v>0</v>
      </c>
      <c r="U2878" s="128">
        <v>2965511394.9499998</v>
      </c>
      <c r="V2878" s="128">
        <v>0</v>
      </c>
      <c r="W2878" s="128">
        <v>2965511394.9499998</v>
      </c>
      <c r="X2878" s="128">
        <v>0</v>
      </c>
      <c r="Y2878" s="128">
        <v>0</v>
      </c>
      <c r="Z2878" s="128">
        <v>0</v>
      </c>
      <c r="AA2878" s="128">
        <v>2965511394.9499998</v>
      </c>
      <c r="AB2878" s="126">
        <f t="shared" si="296"/>
        <v>-296.55113949499997</v>
      </c>
      <c r="AC2878" s="122" t="s">
        <v>1838</v>
      </c>
      <c r="AD2878" s="123">
        <f t="shared" si="292"/>
        <v>1983.9723217250009</v>
      </c>
    </row>
    <row r="2879" spans="1:30" ht="12.75" hidden="1" customHeight="1">
      <c r="A2879" s="125" t="str">
        <f t="shared" si="293"/>
        <v>LIC175Net Earnings</v>
      </c>
      <c r="B2879" s="125">
        <f>+IFERROR(VLOOKUP(L2879,'TB mapping'!A:D,4,0),0)</f>
        <v>0</v>
      </c>
      <c r="C2879" s="125">
        <f>+IFERROR(VLOOKUP(L2879,'TB mapping'!A:C,3,0),0)</f>
        <v>0</v>
      </c>
      <c r="D2879" s="125" t="str">
        <f t="shared" si="294"/>
        <v>LIC1750</v>
      </c>
      <c r="E2879" s="125" t="str">
        <f t="shared" si="295"/>
        <v>LIC1750</v>
      </c>
      <c r="F2879" s="158" t="str">
        <f>+VLOOKUP(H2879,'code mapping'!A:C,3,0)</f>
        <v>LIC175</v>
      </c>
      <c r="G2879" s="127" t="s">
        <v>453</v>
      </c>
      <c r="H2879" s="127" t="s">
        <v>784</v>
      </c>
      <c r="I2879" s="127" t="s">
        <v>785</v>
      </c>
      <c r="J2879" s="128">
        <v>303000</v>
      </c>
      <c r="K2879" s="127" t="s">
        <v>516</v>
      </c>
      <c r="L2879" s="151">
        <v>390000</v>
      </c>
      <c r="M2879" s="128">
        <v>0</v>
      </c>
      <c r="N2879" s="127" t="s">
        <v>521</v>
      </c>
      <c r="O2879" s="127" t="s">
        <v>457</v>
      </c>
      <c r="P2879" s="128">
        <v>0</v>
      </c>
      <c r="Q2879" s="128">
        <v>33867780.82</v>
      </c>
      <c r="R2879" s="128">
        <v>0</v>
      </c>
      <c r="S2879" s="128">
        <v>0</v>
      </c>
      <c r="T2879" s="128">
        <v>0</v>
      </c>
      <c r="U2879" s="128">
        <v>33867780.82</v>
      </c>
      <c r="V2879" s="128">
        <v>0</v>
      </c>
      <c r="W2879" s="128">
        <v>33867780.82</v>
      </c>
      <c r="X2879" s="128">
        <v>0</v>
      </c>
      <c r="Y2879" s="128">
        <v>0</v>
      </c>
      <c r="Z2879" s="128">
        <v>0</v>
      </c>
      <c r="AA2879" s="128">
        <v>33867780.82</v>
      </c>
      <c r="AB2879" s="126">
        <f t="shared" si="296"/>
        <v>-3.3867780820000002</v>
      </c>
      <c r="AC2879" s="122" t="s">
        <v>1838</v>
      </c>
      <c r="AD2879" s="123">
        <f t="shared" si="292"/>
        <v>1983.9723217250009</v>
      </c>
    </row>
    <row r="2880" spans="1:30" ht="12.75" hidden="1" customHeight="1">
      <c r="A2880" s="125" t="str">
        <f t="shared" si="293"/>
        <v>LIC175R/L G/P - Equities</v>
      </c>
      <c r="B2880" s="125">
        <f>+IFERROR(VLOOKUP(L2880,'TB mapping'!A:D,4,0),0)</f>
        <v>0</v>
      </c>
      <c r="C2880" s="125">
        <f>+IFERROR(VLOOKUP(L2880,'TB mapping'!A:C,3,0),0)</f>
        <v>5.3</v>
      </c>
      <c r="D2880" s="125" t="str">
        <f t="shared" si="294"/>
        <v>LIC1750</v>
      </c>
      <c r="E2880" s="125" t="str">
        <f t="shared" si="295"/>
        <v>LIC1755.3</v>
      </c>
      <c r="F2880" s="158" t="str">
        <f>+VLOOKUP(H2880,'code mapping'!A:C,3,0)</f>
        <v>LIC175</v>
      </c>
      <c r="G2880" s="127" t="s">
        <v>453</v>
      </c>
      <c r="H2880" s="127" t="s">
        <v>784</v>
      </c>
      <c r="I2880" s="127" t="s">
        <v>785</v>
      </c>
      <c r="J2880" s="128">
        <v>410000</v>
      </c>
      <c r="K2880" s="127" t="s">
        <v>522</v>
      </c>
      <c r="L2880" s="151">
        <v>411100</v>
      </c>
      <c r="M2880" s="128">
        <v>0</v>
      </c>
      <c r="N2880" s="127" t="s">
        <v>596</v>
      </c>
      <c r="O2880" s="127" t="s">
        <v>457</v>
      </c>
      <c r="P2880" s="128">
        <v>0</v>
      </c>
      <c r="Q2880" s="128">
        <v>56770525.950000003</v>
      </c>
      <c r="R2880" s="128">
        <v>0</v>
      </c>
      <c r="S2880" s="128">
        <v>0</v>
      </c>
      <c r="T2880" s="128">
        <v>0</v>
      </c>
      <c r="U2880" s="128">
        <v>56770525.950000003</v>
      </c>
      <c r="V2880" s="128">
        <v>0</v>
      </c>
      <c r="W2880" s="128">
        <v>56770525.950000003</v>
      </c>
      <c r="X2880" s="128">
        <v>0</v>
      </c>
      <c r="Y2880" s="128">
        <v>0</v>
      </c>
      <c r="Z2880" s="128">
        <v>0</v>
      </c>
      <c r="AA2880" s="128">
        <v>56770525.950000003</v>
      </c>
      <c r="AB2880" s="126">
        <f t="shared" si="296"/>
        <v>-5.6770525950000001</v>
      </c>
      <c r="AC2880" s="122" t="s">
        <v>1838</v>
      </c>
      <c r="AD2880" s="123">
        <f>SUMIF(E:E,E2880,AB:AB)</f>
        <v>-3.8215911469999999</v>
      </c>
    </row>
    <row r="2881" spans="1:30" ht="12.75" hidden="1" customHeight="1">
      <c r="A2881" s="125" t="str">
        <f t="shared" si="293"/>
        <v>LIC175R/L G/P - Rights</v>
      </c>
      <c r="B2881" s="125">
        <f>+IFERROR(VLOOKUP(L2881,'TB mapping'!A:D,4,0),0)</f>
        <v>0</v>
      </c>
      <c r="C2881" s="125">
        <f>+IFERROR(VLOOKUP(L2881,'TB mapping'!A:C,3,0),0)</f>
        <v>5.3</v>
      </c>
      <c r="D2881" s="125" t="str">
        <f t="shared" si="294"/>
        <v>LIC1750</v>
      </c>
      <c r="E2881" s="125" t="str">
        <f t="shared" si="295"/>
        <v>LIC1755.3</v>
      </c>
      <c r="F2881" s="158" t="str">
        <f>+VLOOKUP(H2881,'code mapping'!A:C,3,0)</f>
        <v>LIC175</v>
      </c>
      <c r="G2881" s="127" t="s">
        <v>453</v>
      </c>
      <c r="H2881" s="127" t="s">
        <v>784</v>
      </c>
      <c r="I2881" s="127" t="s">
        <v>785</v>
      </c>
      <c r="J2881" s="128">
        <v>410000</v>
      </c>
      <c r="K2881" s="127" t="s">
        <v>522</v>
      </c>
      <c r="L2881" s="151">
        <v>411120</v>
      </c>
      <c r="M2881" s="128">
        <v>0</v>
      </c>
      <c r="N2881" s="127" t="s">
        <v>705</v>
      </c>
      <c r="O2881" s="127" t="s">
        <v>457</v>
      </c>
      <c r="P2881" s="128">
        <v>0</v>
      </c>
      <c r="Q2881" s="128">
        <v>83242.77</v>
      </c>
      <c r="R2881" s="128">
        <v>0</v>
      </c>
      <c r="S2881" s="128">
        <v>0</v>
      </c>
      <c r="T2881" s="128">
        <v>0</v>
      </c>
      <c r="U2881" s="128">
        <v>83242.77</v>
      </c>
      <c r="V2881" s="128">
        <v>0</v>
      </c>
      <c r="W2881" s="128">
        <v>83242.77</v>
      </c>
      <c r="X2881" s="128">
        <v>0</v>
      </c>
      <c r="Y2881" s="128">
        <v>0</v>
      </c>
      <c r="Z2881" s="128">
        <v>0</v>
      </c>
      <c r="AA2881" s="128">
        <v>83242.77</v>
      </c>
      <c r="AB2881" s="126">
        <f t="shared" si="296"/>
        <v>-8.3242769999999997E-3</v>
      </c>
      <c r="AC2881" s="122" t="s">
        <v>1838</v>
      </c>
      <c r="AD2881" s="123">
        <f>SUMIF(E:E,E2881,AB:AB)</f>
        <v>-3.8215911469999999</v>
      </c>
    </row>
    <row r="2882" spans="1:30" ht="12.75" hidden="1" customHeight="1">
      <c r="A2882" s="125" t="str">
        <f t="shared" si="293"/>
        <v>LIC175UR/L G/P - Equities</v>
      </c>
      <c r="B2882" s="125">
        <f>+IFERROR(VLOOKUP(L2882,'TB mapping'!A:D,4,0),0)</f>
        <v>0</v>
      </c>
      <c r="C2882" s="125" t="str">
        <f>+IFERROR(VLOOKUP(L2882,'TB mapping'!A:C,3,0),0)</f>
        <v>Ignore</v>
      </c>
      <c r="D2882" s="125" t="str">
        <f t="shared" si="294"/>
        <v>LIC1750</v>
      </c>
      <c r="E2882" s="125" t="str">
        <f t="shared" si="295"/>
        <v>LIC175Ignore</v>
      </c>
      <c r="F2882" s="158" t="str">
        <f>+VLOOKUP(H2882,'code mapping'!A:C,3,0)</f>
        <v>LIC175</v>
      </c>
      <c r="G2882" s="127" t="s">
        <v>453</v>
      </c>
      <c r="H2882" s="127" t="s">
        <v>784</v>
      </c>
      <c r="I2882" s="127" t="s">
        <v>785</v>
      </c>
      <c r="J2882" s="128">
        <v>430000</v>
      </c>
      <c r="K2882" s="127" t="s">
        <v>528</v>
      </c>
      <c r="L2882" s="151">
        <v>431100</v>
      </c>
      <c r="M2882" s="128">
        <v>0</v>
      </c>
      <c r="N2882" s="127" t="s">
        <v>597</v>
      </c>
      <c r="O2882" s="127" t="s">
        <v>457</v>
      </c>
      <c r="P2882" s="128">
        <v>0</v>
      </c>
      <c r="Q2882" s="128">
        <v>911677068.45000005</v>
      </c>
      <c r="R2882" s="128">
        <v>0</v>
      </c>
      <c r="S2882" s="128">
        <v>0</v>
      </c>
      <c r="T2882" s="128">
        <v>0</v>
      </c>
      <c r="U2882" s="128">
        <v>911677068.45000005</v>
      </c>
      <c r="V2882" s="128">
        <v>0</v>
      </c>
      <c r="W2882" s="128">
        <v>911677068.45000005</v>
      </c>
      <c r="X2882" s="128">
        <v>0</v>
      </c>
      <c r="Y2882" s="128">
        <v>0</v>
      </c>
      <c r="Z2882" s="128">
        <v>0</v>
      </c>
      <c r="AA2882" s="128">
        <v>911677068.45000005</v>
      </c>
      <c r="AB2882" s="126">
        <f t="shared" si="296"/>
        <v>-91.167706844999998</v>
      </c>
      <c r="AC2882" s="122" t="s">
        <v>1838</v>
      </c>
      <c r="AD2882" s="123">
        <f>SUMIF(C:C,C2882,AB:AB)</f>
        <v>-291.7660984179999</v>
      </c>
    </row>
    <row r="2883" spans="1:30" ht="12.75" hidden="1" customHeight="1">
      <c r="A2883" s="125" t="str">
        <f t="shared" si="293"/>
        <v>LIC175Dividend Income - Equities</v>
      </c>
      <c r="B2883" s="125">
        <f>+IFERROR(VLOOKUP(L2883,'TB mapping'!A:D,4,0),0)</f>
        <v>0</v>
      </c>
      <c r="C2883" s="125">
        <f>+IFERROR(VLOOKUP(L2883,'TB mapping'!A:C,3,0),0)</f>
        <v>5.0999999999999996</v>
      </c>
      <c r="D2883" s="125" t="str">
        <f t="shared" si="294"/>
        <v>LIC1750</v>
      </c>
      <c r="E2883" s="125" t="str">
        <f t="shared" si="295"/>
        <v>LIC1755.1</v>
      </c>
      <c r="F2883" s="158" t="str">
        <f>+VLOOKUP(H2883,'code mapping'!A:C,3,0)</f>
        <v>LIC175</v>
      </c>
      <c r="G2883" s="127" t="s">
        <v>453</v>
      </c>
      <c r="H2883" s="127" t="s">
        <v>784</v>
      </c>
      <c r="I2883" s="127" t="s">
        <v>785</v>
      </c>
      <c r="J2883" s="128">
        <v>450000</v>
      </c>
      <c r="K2883" s="127" t="s">
        <v>532</v>
      </c>
      <c r="L2883" s="151">
        <v>451100</v>
      </c>
      <c r="M2883" s="128">
        <v>0</v>
      </c>
      <c r="N2883" s="127" t="s">
        <v>598</v>
      </c>
      <c r="O2883" s="127" t="s">
        <v>457</v>
      </c>
      <c r="P2883" s="128">
        <v>0</v>
      </c>
      <c r="Q2883" s="128">
        <v>58631437.289999999</v>
      </c>
      <c r="R2883" s="128">
        <v>0</v>
      </c>
      <c r="S2883" s="128">
        <v>0</v>
      </c>
      <c r="T2883" s="128">
        <v>0</v>
      </c>
      <c r="U2883" s="128">
        <v>58631437.289999999</v>
      </c>
      <c r="V2883" s="128">
        <v>0</v>
      </c>
      <c r="W2883" s="128">
        <v>58631437.289999999</v>
      </c>
      <c r="X2883" s="128">
        <v>0</v>
      </c>
      <c r="Y2883" s="128">
        <v>0</v>
      </c>
      <c r="Z2883" s="128">
        <v>0</v>
      </c>
      <c r="AA2883" s="128">
        <v>58631437.289999999</v>
      </c>
      <c r="AB2883" s="126">
        <f t="shared" si="296"/>
        <v>-5.8631437289999999</v>
      </c>
      <c r="AC2883" s="122" t="s">
        <v>1838</v>
      </c>
      <c r="AD2883" s="123">
        <f t="shared" ref="AD2883:AD2909" si="297">SUMIF(E:E,E2883,AB:AB)</f>
        <v>-5.8631437289999999</v>
      </c>
    </row>
    <row r="2884" spans="1:30" ht="12.75" hidden="1" customHeight="1">
      <c r="A2884" s="125" t="str">
        <f t="shared" si="293"/>
        <v>LIC175Amort. Income - CBLO</v>
      </c>
      <c r="B2884" s="125">
        <f>+IFERROR(VLOOKUP(L2884,'TB mapping'!A:D,4,0),0)</f>
        <v>0</v>
      </c>
      <c r="C2884" s="125">
        <f>+IFERROR(VLOOKUP(L2884,'TB mapping'!A:C,3,0),0)</f>
        <v>5.2</v>
      </c>
      <c r="D2884" s="125" t="str">
        <f t="shared" si="294"/>
        <v>LIC1750</v>
      </c>
      <c r="E2884" s="125" t="str">
        <f t="shared" si="295"/>
        <v>LIC1755.2</v>
      </c>
      <c r="F2884" s="158" t="str">
        <f>+VLOOKUP(H2884,'code mapping'!A:C,3,0)</f>
        <v>LIC175</v>
      </c>
      <c r="G2884" s="127" t="s">
        <v>453</v>
      </c>
      <c r="H2884" s="127" t="s">
        <v>784</v>
      </c>
      <c r="I2884" s="127" t="s">
        <v>785</v>
      </c>
      <c r="J2884" s="128">
        <v>450000</v>
      </c>
      <c r="K2884" s="127" t="s">
        <v>532</v>
      </c>
      <c r="L2884" s="151">
        <v>452228</v>
      </c>
      <c r="M2884" s="128">
        <v>0</v>
      </c>
      <c r="N2884" s="127" t="s">
        <v>537</v>
      </c>
      <c r="O2884" s="127" t="s">
        <v>457</v>
      </c>
      <c r="P2884" s="128">
        <v>0</v>
      </c>
      <c r="Q2884" s="128">
        <v>598204.32000000007</v>
      </c>
      <c r="R2884" s="128">
        <v>0</v>
      </c>
      <c r="S2884" s="128">
        <v>0</v>
      </c>
      <c r="T2884" s="128">
        <v>0</v>
      </c>
      <c r="U2884" s="128">
        <v>598204.32000000007</v>
      </c>
      <c r="V2884" s="128">
        <v>0</v>
      </c>
      <c r="W2884" s="128">
        <v>598204.32000000007</v>
      </c>
      <c r="X2884" s="128">
        <v>0</v>
      </c>
      <c r="Y2884" s="128">
        <v>0</v>
      </c>
      <c r="Z2884" s="128">
        <v>0</v>
      </c>
      <c r="AA2884" s="128">
        <v>598204.32000000007</v>
      </c>
      <c r="AB2884" s="126">
        <f t="shared" si="296"/>
        <v>-5.9820432000000007E-2</v>
      </c>
      <c r="AC2884" s="122" t="s">
        <v>1838</v>
      </c>
      <c r="AD2884" s="123">
        <f t="shared" si="297"/>
        <v>-5.9820432000000007E-2</v>
      </c>
    </row>
    <row r="2885" spans="1:30" ht="12.75" hidden="1" customHeight="1">
      <c r="A2885" s="125" t="str">
        <f t="shared" si="293"/>
        <v>LIC175Misc Income</v>
      </c>
      <c r="B2885" s="125">
        <f>+IFERROR(VLOOKUP(L2885,'TB mapping'!A:D,4,0),0)</f>
        <v>0</v>
      </c>
      <c r="C2885" s="125">
        <f>+IFERROR(VLOOKUP(L2885,'TB mapping'!A:C,3,0),0)</f>
        <v>5.5</v>
      </c>
      <c r="D2885" s="125" t="str">
        <f t="shared" si="294"/>
        <v>LIC1750</v>
      </c>
      <c r="E2885" s="125" t="str">
        <f t="shared" si="295"/>
        <v>LIC1755.5</v>
      </c>
      <c r="F2885" s="158" t="str">
        <f>+VLOOKUP(H2885,'code mapping'!A:C,3,0)</f>
        <v>LIC175</v>
      </c>
      <c r="G2885" s="127" t="s">
        <v>453</v>
      </c>
      <c r="H2885" s="127" t="s">
        <v>784</v>
      </c>
      <c r="I2885" s="127" t="s">
        <v>785</v>
      </c>
      <c r="J2885" s="128">
        <v>460000</v>
      </c>
      <c r="K2885" s="127" t="s">
        <v>539</v>
      </c>
      <c r="L2885" s="151">
        <v>452233</v>
      </c>
      <c r="M2885" s="128">
        <v>0</v>
      </c>
      <c r="N2885" s="127" t="s">
        <v>706</v>
      </c>
      <c r="O2885" s="127" t="s">
        <v>457</v>
      </c>
      <c r="P2885" s="128">
        <v>0</v>
      </c>
      <c r="Q2885" s="128">
        <v>922.11</v>
      </c>
      <c r="R2885" s="128">
        <v>0</v>
      </c>
      <c r="S2885" s="128">
        <v>0</v>
      </c>
      <c r="T2885" s="128">
        <v>0</v>
      </c>
      <c r="U2885" s="128">
        <v>922.11</v>
      </c>
      <c r="V2885" s="128">
        <v>0</v>
      </c>
      <c r="W2885" s="128">
        <v>922.11</v>
      </c>
      <c r="X2885" s="128">
        <v>0</v>
      </c>
      <c r="Y2885" s="128">
        <v>0</v>
      </c>
      <c r="Z2885" s="128">
        <v>0</v>
      </c>
      <c r="AA2885" s="128">
        <v>922.11</v>
      </c>
      <c r="AB2885" s="126">
        <f t="shared" si="296"/>
        <v>-9.2211000000000002E-5</v>
      </c>
      <c r="AC2885" s="122" t="s">
        <v>1838</v>
      </c>
      <c r="AD2885" s="123">
        <f t="shared" si="297"/>
        <v>-5.4807900000000004E-4</v>
      </c>
    </row>
    <row r="2886" spans="1:30" ht="12.75" hidden="1" customHeight="1">
      <c r="A2886" s="125" t="str">
        <f t="shared" si="293"/>
        <v>LIC175Other Income</v>
      </c>
      <c r="B2886" s="125">
        <f>+IFERROR(VLOOKUP(L2886,'TB mapping'!A:D,4,0),0)</f>
        <v>0</v>
      </c>
      <c r="C2886" s="125">
        <f>+IFERROR(VLOOKUP(L2886,'TB mapping'!A:C,3,0),0)</f>
        <v>5.5</v>
      </c>
      <c r="D2886" s="125" t="str">
        <f t="shared" si="294"/>
        <v>LIC1750</v>
      </c>
      <c r="E2886" s="125" t="str">
        <f t="shared" si="295"/>
        <v>LIC1755.5</v>
      </c>
      <c r="F2886" s="158" t="str">
        <f>+VLOOKUP(H2886,'code mapping'!A:C,3,0)</f>
        <v>LIC175</v>
      </c>
      <c r="G2886" s="127" t="s">
        <v>453</v>
      </c>
      <c r="H2886" s="127" t="s">
        <v>784</v>
      </c>
      <c r="I2886" s="127" t="s">
        <v>785</v>
      </c>
      <c r="J2886" s="128">
        <v>460000</v>
      </c>
      <c r="K2886" s="127" t="s">
        <v>539</v>
      </c>
      <c r="L2886" s="151">
        <v>460000</v>
      </c>
      <c r="M2886" s="128">
        <v>0</v>
      </c>
      <c r="N2886" s="127" t="s">
        <v>541</v>
      </c>
      <c r="O2886" s="127" t="s">
        <v>457</v>
      </c>
      <c r="P2886" s="128">
        <v>0</v>
      </c>
      <c r="Q2886" s="128">
        <v>4558.68</v>
      </c>
      <c r="R2886" s="128">
        <v>0</v>
      </c>
      <c r="S2886" s="128">
        <v>0</v>
      </c>
      <c r="T2886" s="128">
        <v>0</v>
      </c>
      <c r="U2886" s="128">
        <v>4558.68</v>
      </c>
      <c r="V2886" s="128">
        <v>0</v>
      </c>
      <c r="W2886" s="128">
        <v>4558.68</v>
      </c>
      <c r="X2886" s="128">
        <v>0</v>
      </c>
      <c r="Y2886" s="128">
        <v>0</v>
      </c>
      <c r="Z2886" s="128">
        <v>0</v>
      </c>
      <c r="AA2886" s="128">
        <v>4558.68</v>
      </c>
      <c r="AB2886" s="126">
        <f t="shared" si="296"/>
        <v>-4.5586800000000001E-4</v>
      </c>
      <c r="AC2886" s="122" t="s">
        <v>1838</v>
      </c>
      <c r="AD2886" s="123">
        <f t="shared" si="297"/>
        <v>-5.4807900000000004E-4</v>
      </c>
    </row>
    <row r="2887" spans="1:30" ht="12.75" hidden="1" customHeight="1">
      <c r="A2887" s="125" t="str">
        <f t="shared" si="293"/>
        <v>LIC175R/L L/P - Equities</v>
      </c>
      <c r="B2887" s="125">
        <f>+IFERROR(VLOOKUP(L2887,'TB mapping'!A:D,4,0),0)</f>
        <v>0</v>
      </c>
      <c r="C2887" s="125">
        <f>+IFERROR(VLOOKUP(L2887,'TB mapping'!A:C,3,0),0)</f>
        <v>5.3</v>
      </c>
      <c r="D2887" s="125" t="str">
        <f t="shared" si="294"/>
        <v>LIC1750</v>
      </c>
      <c r="E2887" s="125" t="str">
        <f t="shared" si="295"/>
        <v>LIC1755.3</v>
      </c>
      <c r="F2887" s="158" t="str">
        <f>+VLOOKUP(H2887,'code mapping'!A:C,3,0)</f>
        <v>LIC175</v>
      </c>
      <c r="G2887" s="127" t="s">
        <v>453</v>
      </c>
      <c r="H2887" s="127" t="s">
        <v>784</v>
      </c>
      <c r="I2887" s="127" t="s">
        <v>785</v>
      </c>
      <c r="J2887" s="128">
        <v>510000</v>
      </c>
      <c r="K2887" s="127" t="s">
        <v>546</v>
      </c>
      <c r="L2887" s="151">
        <v>511100</v>
      </c>
      <c r="M2887" s="128">
        <v>0</v>
      </c>
      <c r="N2887" s="127" t="s">
        <v>599</v>
      </c>
      <c r="O2887" s="127" t="s">
        <v>457</v>
      </c>
      <c r="P2887" s="128">
        <v>-18637857.25</v>
      </c>
      <c r="Q2887" s="128">
        <v>0</v>
      </c>
      <c r="R2887" s="128">
        <v>0</v>
      </c>
      <c r="S2887" s="128">
        <v>0</v>
      </c>
      <c r="T2887" s="128">
        <v>-18637857.25</v>
      </c>
      <c r="U2887" s="128">
        <v>0</v>
      </c>
      <c r="V2887" s="128">
        <v>-18637857.25</v>
      </c>
      <c r="W2887" s="128">
        <v>0</v>
      </c>
      <c r="X2887" s="128">
        <v>0</v>
      </c>
      <c r="Y2887" s="128">
        <v>0</v>
      </c>
      <c r="Z2887" s="128">
        <v>-18637857.25</v>
      </c>
      <c r="AA2887" s="128">
        <v>0</v>
      </c>
      <c r="AB2887" s="126">
        <f t="shared" si="296"/>
        <v>1.8637857250000001</v>
      </c>
      <c r="AC2887" s="122" t="s">
        <v>1838</v>
      </c>
      <c r="AD2887" s="123">
        <f t="shared" si="297"/>
        <v>-3.8215911469999999</v>
      </c>
    </row>
    <row r="2888" spans="1:30" ht="12.75" hidden="1" customHeight="1">
      <c r="A2888" s="125" t="str">
        <f t="shared" si="293"/>
        <v>LIC175SEBI Fees</v>
      </c>
      <c r="B2888" s="125">
        <f>+IFERROR(VLOOKUP(L2888,'TB mapping'!A:D,4,0),0)</f>
        <v>0</v>
      </c>
      <c r="C2888" s="125">
        <f>+IFERROR(VLOOKUP(L2888,'TB mapping'!A:C,3,0),0)</f>
        <v>6.3</v>
      </c>
      <c r="D2888" s="125" t="str">
        <f t="shared" si="294"/>
        <v>LIC1750</v>
      </c>
      <c r="E2888" s="125" t="str">
        <f t="shared" si="295"/>
        <v>LIC1756.3</v>
      </c>
      <c r="F2888" s="158" t="str">
        <f>+VLOOKUP(H2888,'code mapping'!A:C,3,0)</f>
        <v>LIC175</v>
      </c>
      <c r="G2888" s="127" t="s">
        <v>453</v>
      </c>
      <c r="H2888" s="127" t="s">
        <v>784</v>
      </c>
      <c r="I2888" s="127" t="s">
        <v>785</v>
      </c>
      <c r="J2888" s="128">
        <v>550000</v>
      </c>
      <c r="K2888" s="127" t="s">
        <v>550</v>
      </c>
      <c r="L2888" s="151">
        <v>553007</v>
      </c>
      <c r="M2888" s="128">
        <v>0</v>
      </c>
      <c r="N2888" s="127" t="s">
        <v>551</v>
      </c>
      <c r="O2888" s="127" t="s">
        <v>457</v>
      </c>
      <c r="P2888" s="128">
        <v>-45200.7</v>
      </c>
      <c r="Q2888" s="128">
        <v>0</v>
      </c>
      <c r="R2888" s="128">
        <v>0</v>
      </c>
      <c r="S2888" s="128">
        <v>0</v>
      </c>
      <c r="T2888" s="128">
        <v>-45200.7</v>
      </c>
      <c r="U2888" s="128">
        <v>0</v>
      </c>
      <c r="V2888" s="128">
        <v>-45200.7</v>
      </c>
      <c r="W2888" s="128">
        <v>0</v>
      </c>
      <c r="X2888" s="128">
        <v>0</v>
      </c>
      <c r="Y2888" s="128">
        <v>0</v>
      </c>
      <c r="Z2888" s="128">
        <v>-45200.7</v>
      </c>
      <c r="AA2888" s="128">
        <v>0</v>
      </c>
      <c r="AB2888" s="126">
        <f t="shared" si="296"/>
        <v>4.5200699999999993E-3</v>
      </c>
      <c r="AC2888" s="122" t="s">
        <v>1838</v>
      </c>
      <c r="AD2888" s="123">
        <f t="shared" si="297"/>
        <v>0.4706117179999999</v>
      </c>
    </row>
    <row r="2889" spans="1:30" ht="12.75" hidden="1" customHeight="1">
      <c r="A2889" s="125" t="str">
        <f t="shared" si="293"/>
        <v>LIC175Audit Fee</v>
      </c>
      <c r="B2889" s="125">
        <f>+IFERROR(VLOOKUP(L2889,'TB mapping'!A:D,4,0),0)</f>
        <v>0</v>
      </c>
      <c r="C2889" s="125">
        <f>+IFERROR(VLOOKUP(L2889,'TB mapping'!A:C,3,0),0)</f>
        <v>6.3</v>
      </c>
      <c r="D2889" s="125" t="str">
        <f t="shared" si="294"/>
        <v>LIC1750</v>
      </c>
      <c r="E2889" s="125" t="str">
        <f t="shared" si="295"/>
        <v>LIC1756.3</v>
      </c>
      <c r="F2889" s="158" t="str">
        <f>+VLOOKUP(H2889,'code mapping'!A:C,3,0)</f>
        <v>LIC175</v>
      </c>
      <c r="G2889" s="127" t="s">
        <v>453</v>
      </c>
      <c r="H2889" s="127" t="s">
        <v>784</v>
      </c>
      <c r="I2889" s="127" t="s">
        <v>785</v>
      </c>
      <c r="J2889" s="128">
        <v>550000</v>
      </c>
      <c r="K2889" s="127" t="s">
        <v>550</v>
      </c>
      <c r="L2889" s="151">
        <v>553105</v>
      </c>
      <c r="M2889" s="128">
        <v>0</v>
      </c>
      <c r="N2889" s="127" t="s">
        <v>552</v>
      </c>
      <c r="O2889" s="127" t="s">
        <v>457</v>
      </c>
      <c r="P2889" s="128">
        <v>0</v>
      </c>
      <c r="Q2889" s="128">
        <v>7425.37</v>
      </c>
      <c r="R2889" s="128">
        <v>0</v>
      </c>
      <c r="S2889" s="128">
        <v>0</v>
      </c>
      <c r="T2889" s="128">
        <v>0</v>
      </c>
      <c r="U2889" s="128">
        <v>7425.37</v>
      </c>
      <c r="V2889" s="128">
        <v>0</v>
      </c>
      <c r="W2889" s="128">
        <v>7425.37</v>
      </c>
      <c r="X2889" s="128">
        <v>0</v>
      </c>
      <c r="Y2889" s="128">
        <v>0</v>
      </c>
      <c r="Z2889" s="128">
        <v>0</v>
      </c>
      <c r="AA2889" s="128">
        <v>7425.37</v>
      </c>
      <c r="AB2889" s="126">
        <f t="shared" si="296"/>
        <v>-7.4253700000000004E-4</v>
      </c>
      <c r="AC2889" s="122" t="s">
        <v>1838</v>
      </c>
      <c r="AD2889" s="123">
        <f t="shared" si="297"/>
        <v>0.4706117179999999</v>
      </c>
    </row>
    <row r="2890" spans="1:30" ht="12.75" hidden="1" customHeight="1">
      <c r="A2890" s="125" t="str">
        <f t="shared" si="293"/>
        <v>LIC175Custody Fee</v>
      </c>
      <c r="B2890" s="125">
        <f>+IFERROR(VLOOKUP(L2890,'TB mapping'!A:D,4,0),0)</f>
        <v>0</v>
      </c>
      <c r="C2890" s="125">
        <f>+IFERROR(VLOOKUP(L2890,'TB mapping'!A:C,3,0),0)</f>
        <v>6.3</v>
      </c>
      <c r="D2890" s="125" t="str">
        <f t="shared" si="294"/>
        <v>LIC1750</v>
      </c>
      <c r="E2890" s="125" t="str">
        <f t="shared" si="295"/>
        <v>LIC1756.3</v>
      </c>
      <c r="F2890" s="158" t="str">
        <f>+VLOOKUP(H2890,'code mapping'!A:C,3,0)</f>
        <v>LIC175</v>
      </c>
      <c r="G2890" s="127" t="s">
        <v>453</v>
      </c>
      <c r="H2890" s="127" t="s">
        <v>784</v>
      </c>
      <c r="I2890" s="127" t="s">
        <v>785</v>
      </c>
      <c r="J2890" s="128">
        <v>550000</v>
      </c>
      <c r="K2890" s="127" t="s">
        <v>550</v>
      </c>
      <c r="L2890" s="151">
        <v>553107</v>
      </c>
      <c r="M2890" s="128">
        <v>0</v>
      </c>
      <c r="N2890" s="127" t="s">
        <v>553</v>
      </c>
      <c r="O2890" s="127" t="s">
        <v>457</v>
      </c>
      <c r="P2890" s="128">
        <v>-565453.12</v>
      </c>
      <c r="Q2890" s="128">
        <v>0</v>
      </c>
      <c r="R2890" s="128">
        <v>0</v>
      </c>
      <c r="S2890" s="128">
        <v>0</v>
      </c>
      <c r="T2890" s="128">
        <v>-565453.12</v>
      </c>
      <c r="U2890" s="128">
        <v>0</v>
      </c>
      <c r="V2890" s="128">
        <v>-565453.12</v>
      </c>
      <c r="W2890" s="128">
        <v>0</v>
      </c>
      <c r="X2890" s="128">
        <v>0</v>
      </c>
      <c r="Y2890" s="128">
        <v>0</v>
      </c>
      <c r="Z2890" s="128">
        <v>-565453.12</v>
      </c>
      <c r="AA2890" s="128">
        <v>0</v>
      </c>
      <c r="AB2890" s="126">
        <f t="shared" si="296"/>
        <v>5.6545312E-2</v>
      </c>
      <c r="AC2890" s="122" t="s">
        <v>1838</v>
      </c>
      <c r="AD2890" s="123">
        <f t="shared" si="297"/>
        <v>0.4706117179999999</v>
      </c>
    </row>
    <row r="2891" spans="1:30" ht="12.75" hidden="1" customHeight="1">
      <c r="A2891" s="125" t="str">
        <f t="shared" si="293"/>
        <v>LIC175Expense Allocation Account</v>
      </c>
      <c r="B2891" s="125">
        <f>+IFERROR(VLOOKUP(L2891,'TB mapping'!A:D,4,0),0)</f>
        <v>0</v>
      </c>
      <c r="C2891" s="125">
        <f>+IFERROR(VLOOKUP(L2891,'TB mapping'!A:C,3,0),0)</f>
        <v>6.3</v>
      </c>
      <c r="D2891" s="125" t="str">
        <f t="shared" si="294"/>
        <v>LIC1750</v>
      </c>
      <c r="E2891" s="125" t="str">
        <f t="shared" si="295"/>
        <v>LIC1756.3</v>
      </c>
      <c r="F2891" s="158" t="str">
        <f>+VLOOKUP(H2891,'code mapping'!A:C,3,0)</f>
        <v>LIC175</v>
      </c>
      <c r="G2891" s="127" t="s">
        <v>453</v>
      </c>
      <c r="H2891" s="127" t="s">
        <v>784</v>
      </c>
      <c r="I2891" s="127" t="s">
        <v>785</v>
      </c>
      <c r="J2891" s="128">
        <v>550000</v>
      </c>
      <c r="K2891" s="127" t="s">
        <v>550</v>
      </c>
      <c r="L2891" s="151">
        <v>553111</v>
      </c>
      <c r="M2891" s="128">
        <v>0</v>
      </c>
      <c r="N2891" s="127" t="s">
        <v>554</v>
      </c>
      <c r="O2891" s="127" t="s">
        <v>457</v>
      </c>
      <c r="P2891" s="128">
        <v>0</v>
      </c>
      <c r="Q2891" s="128">
        <v>1407319.01</v>
      </c>
      <c r="R2891" s="128">
        <v>0</v>
      </c>
      <c r="S2891" s="128">
        <v>0</v>
      </c>
      <c r="T2891" s="128">
        <v>0</v>
      </c>
      <c r="U2891" s="128">
        <v>1407319.01</v>
      </c>
      <c r="V2891" s="128">
        <v>0</v>
      </c>
      <c r="W2891" s="128">
        <v>1407319.01</v>
      </c>
      <c r="X2891" s="128">
        <v>0</v>
      </c>
      <c r="Y2891" s="128">
        <v>0</v>
      </c>
      <c r="Z2891" s="128">
        <v>0</v>
      </c>
      <c r="AA2891" s="128">
        <v>1407319.01</v>
      </c>
      <c r="AB2891" s="126">
        <f t="shared" si="296"/>
        <v>-0.14073190099999999</v>
      </c>
      <c r="AC2891" s="122" t="s">
        <v>1838</v>
      </c>
      <c r="AD2891" s="123">
        <f t="shared" si="297"/>
        <v>0.4706117179999999</v>
      </c>
    </row>
    <row r="2892" spans="1:30" ht="12.75" hidden="1" customHeight="1">
      <c r="A2892" s="125" t="str">
        <f t="shared" si="293"/>
        <v>LIC175Trustee Fee</v>
      </c>
      <c r="B2892" s="125">
        <f>+IFERROR(VLOOKUP(L2892,'TB mapping'!A:D,4,0),0)</f>
        <v>6.2</v>
      </c>
      <c r="C2892" s="125">
        <f>+IFERROR(VLOOKUP(L2892,'TB mapping'!A:C,3,0),0)</f>
        <v>6.3</v>
      </c>
      <c r="D2892" s="125" t="str">
        <f t="shared" si="294"/>
        <v>LIC1756.2</v>
      </c>
      <c r="E2892" s="125" t="str">
        <f t="shared" si="295"/>
        <v>LIC1756.3</v>
      </c>
      <c r="F2892" s="158" t="str">
        <f>+VLOOKUP(H2892,'code mapping'!A:C,3,0)</f>
        <v>LIC175</v>
      </c>
      <c r="G2892" s="127" t="s">
        <v>453</v>
      </c>
      <c r="H2892" s="127" t="s">
        <v>784</v>
      </c>
      <c r="I2892" s="127" t="s">
        <v>785</v>
      </c>
      <c r="J2892" s="128">
        <v>550000</v>
      </c>
      <c r="K2892" s="127" t="s">
        <v>550</v>
      </c>
      <c r="L2892" s="151">
        <v>553131</v>
      </c>
      <c r="M2892" s="128">
        <v>0</v>
      </c>
      <c r="N2892" s="127" t="s">
        <v>555</v>
      </c>
      <c r="O2892" s="127" t="s">
        <v>457</v>
      </c>
      <c r="P2892" s="128">
        <v>-41728.33</v>
      </c>
      <c r="Q2892" s="128">
        <v>0</v>
      </c>
      <c r="R2892" s="128">
        <v>0</v>
      </c>
      <c r="S2892" s="128">
        <v>0</v>
      </c>
      <c r="T2892" s="128">
        <v>-41728.33</v>
      </c>
      <c r="U2892" s="128">
        <v>0</v>
      </c>
      <c r="V2892" s="128">
        <v>-41728.33</v>
      </c>
      <c r="W2892" s="128">
        <v>0</v>
      </c>
      <c r="X2892" s="128">
        <v>0</v>
      </c>
      <c r="Y2892" s="128">
        <v>0</v>
      </c>
      <c r="Z2892" s="128">
        <v>-41728.33</v>
      </c>
      <c r="AA2892" s="128">
        <v>0</v>
      </c>
      <c r="AB2892" s="126">
        <f t="shared" si="296"/>
        <v>4.1728329999999999E-3</v>
      </c>
      <c r="AC2892" s="122" t="s">
        <v>1838</v>
      </c>
      <c r="AD2892" s="123">
        <f t="shared" si="297"/>
        <v>0.4706117179999999</v>
      </c>
    </row>
    <row r="2893" spans="1:30" ht="12.75" hidden="1" customHeight="1">
      <c r="A2893" s="125" t="str">
        <f t="shared" si="293"/>
        <v>LIC175Listing Expenses</v>
      </c>
      <c r="B2893" s="125">
        <f>+IFERROR(VLOOKUP(L2893,'TB mapping'!A:D,4,0),0)</f>
        <v>0</v>
      </c>
      <c r="C2893" s="125">
        <f>+IFERROR(VLOOKUP(L2893,'TB mapping'!A:C,3,0),0)</f>
        <v>6.3</v>
      </c>
      <c r="D2893" s="125" t="str">
        <f t="shared" si="294"/>
        <v>LIC1750</v>
      </c>
      <c r="E2893" s="125" t="str">
        <f t="shared" si="295"/>
        <v>LIC1756.3</v>
      </c>
      <c r="F2893" s="158" t="str">
        <f>+VLOOKUP(H2893,'code mapping'!A:C,3,0)</f>
        <v>LIC175</v>
      </c>
      <c r="G2893" s="127" t="s">
        <v>453</v>
      </c>
      <c r="H2893" s="127" t="s">
        <v>784</v>
      </c>
      <c r="I2893" s="127" t="s">
        <v>785</v>
      </c>
      <c r="J2893" s="128">
        <v>550000</v>
      </c>
      <c r="K2893" s="127" t="s">
        <v>550</v>
      </c>
      <c r="L2893" s="151">
        <v>553135</v>
      </c>
      <c r="M2893" s="128">
        <v>0</v>
      </c>
      <c r="N2893" s="127" t="s">
        <v>780</v>
      </c>
      <c r="O2893" s="127" t="s">
        <v>457</v>
      </c>
      <c r="P2893" s="128">
        <v>-73140</v>
      </c>
      <c r="Q2893" s="128">
        <v>0</v>
      </c>
      <c r="R2893" s="128">
        <v>0</v>
      </c>
      <c r="S2893" s="128">
        <v>0</v>
      </c>
      <c r="T2893" s="128">
        <v>-73140</v>
      </c>
      <c r="U2893" s="128">
        <v>0</v>
      </c>
      <c r="V2893" s="128">
        <v>-73140</v>
      </c>
      <c r="W2893" s="128">
        <v>0</v>
      </c>
      <c r="X2893" s="128">
        <v>0</v>
      </c>
      <c r="Y2893" s="128">
        <v>0</v>
      </c>
      <c r="Z2893" s="128">
        <v>-73140</v>
      </c>
      <c r="AA2893" s="128">
        <v>0</v>
      </c>
      <c r="AB2893" s="126">
        <f t="shared" si="296"/>
        <v>7.3140000000000002E-3</v>
      </c>
      <c r="AC2893" s="122" t="s">
        <v>1838</v>
      </c>
      <c r="AD2893" s="123">
        <f t="shared" si="297"/>
        <v>0.4706117179999999</v>
      </c>
    </row>
    <row r="2894" spans="1:30" ht="12.75" hidden="1" customHeight="1">
      <c r="A2894" s="125" t="str">
        <f t="shared" si="293"/>
        <v>LIC175Bank Charges</v>
      </c>
      <c r="B2894" s="125">
        <f>+IFERROR(VLOOKUP(L2894,'TB mapping'!A:D,4,0),0)</f>
        <v>0</v>
      </c>
      <c r="C2894" s="125">
        <f>+IFERROR(VLOOKUP(L2894,'TB mapping'!A:C,3,0),0)</f>
        <v>6.3</v>
      </c>
      <c r="D2894" s="125" t="str">
        <f t="shared" si="294"/>
        <v>LIC1750</v>
      </c>
      <c r="E2894" s="125" t="str">
        <f t="shared" si="295"/>
        <v>LIC1756.3</v>
      </c>
      <c r="F2894" s="158" t="str">
        <f>+VLOOKUP(H2894,'code mapping'!A:C,3,0)</f>
        <v>LIC175</v>
      </c>
      <c r="G2894" s="127" t="s">
        <v>453</v>
      </c>
      <c r="H2894" s="127" t="s">
        <v>784</v>
      </c>
      <c r="I2894" s="127" t="s">
        <v>785</v>
      </c>
      <c r="J2894" s="128">
        <v>550000</v>
      </c>
      <c r="K2894" s="127" t="s">
        <v>550</v>
      </c>
      <c r="L2894" s="151">
        <v>553141</v>
      </c>
      <c r="M2894" s="128">
        <v>0</v>
      </c>
      <c r="N2894" s="127" t="s">
        <v>556</v>
      </c>
      <c r="O2894" s="127" t="s">
        <v>457</v>
      </c>
      <c r="P2894" s="128">
        <v>-3065.9</v>
      </c>
      <c r="Q2894" s="128">
        <v>0</v>
      </c>
      <c r="R2894" s="128">
        <v>0</v>
      </c>
      <c r="S2894" s="128">
        <v>0</v>
      </c>
      <c r="T2894" s="128">
        <v>-3065.9</v>
      </c>
      <c r="U2894" s="128">
        <v>0</v>
      </c>
      <c r="V2894" s="128">
        <v>-3065.9</v>
      </c>
      <c r="W2894" s="128">
        <v>0</v>
      </c>
      <c r="X2894" s="128">
        <v>0</v>
      </c>
      <c r="Y2894" s="128">
        <v>0</v>
      </c>
      <c r="Z2894" s="128">
        <v>-3065.9</v>
      </c>
      <c r="AA2894" s="128">
        <v>0</v>
      </c>
      <c r="AB2894" s="126">
        <f t="shared" si="296"/>
        <v>3.0659000000000003E-4</v>
      </c>
      <c r="AC2894" s="122" t="s">
        <v>1838</v>
      </c>
      <c r="AD2894" s="123">
        <f t="shared" si="297"/>
        <v>0.4706117179999999</v>
      </c>
    </row>
    <row r="2895" spans="1:30" ht="12.75" hidden="1" customHeight="1">
      <c r="A2895" s="125" t="str">
        <f t="shared" si="293"/>
        <v>LIC175Investor Education Fund Exps</v>
      </c>
      <c r="B2895" s="125">
        <f>+IFERROR(VLOOKUP(L2895,'TB mapping'!A:D,4,0),0)</f>
        <v>0</v>
      </c>
      <c r="C2895" s="125">
        <f>+IFERROR(VLOOKUP(L2895,'TB mapping'!A:C,3,0),0)</f>
        <v>6.3</v>
      </c>
      <c r="D2895" s="125" t="str">
        <f t="shared" si="294"/>
        <v>LIC1750</v>
      </c>
      <c r="E2895" s="125" t="str">
        <f t="shared" si="295"/>
        <v>LIC1756.3</v>
      </c>
      <c r="F2895" s="158" t="str">
        <f>+VLOOKUP(H2895,'code mapping'!A:C,3,0)</f>
        <v>LIC175</v>
      </c>
      <c r="G2895" s="127" t="s">
        <v>453</v>
      </c>
      <c r="H2895" s="127" t="s">
        <v>784</v>
      </c>
      <c r="I2895" s="127" t="s">
        <v>785</v>
      </c>
      <c r="J2895" s="128">
        <v>550000</v>
      </c>
      <c r="K2895" s="127" t="s">
        <v>550</v>
      </c>
      <c r="L2895" s="151">
        <v>553171</v>
      </c>
      <c r="M2895" s="128">
        <v>0</v>
      </c>
      <c r="N2895" s="127" t="s">
        <v>557</v>
      </c>
      <c r="O2895" s="127" t="s">
        <v>457</v>
      </c>
      <c r="P2895" s="128">
        <v>-433193.24</v>
      </c>
      <c r="Q2895" s="128">
        <v>0</v>
      </c>
      <c r="R2895" s="128">
        <v>0</v>
      </c>
      <c r="S2895" s="128">
        <v>0</v>
      </c>
      <c r="T2895" s="128">
        <v>-433193.24</v>
      </c>
      <c r="U2895" s="128">
        <v>0</v>
      </c>
      <c r="V2895" s="128">
        <v>-433193.24</v>
      </c>
      <c r="W2895" s="128">
        <v>0</v>
      </c>
      <c r="X2895" s="128">
        <v>0</v>
      </c>
      <c r="Y2895" s="128">
        <v>0</v>
      </c>
      <c r="Z2895" s="128">
        <v>-433193.24</v>
      </c>
      <c r="AA2895" s="128">
        <v>0</v>
      </c>
      <c r="AB2895" s="126">
        <f t="shared" si="296"/>
        <v>4.3319323999999999E-2</v>
      </c>
      <c r="AC2895" s="122" t="s">
        <v>1838</v>
      </c>
      <c r="AD2895" s="123">
        <f t="shared" si="297"/>
        <v>0.4706117179999999</v>
      </c>
    </row>
    <row r="2896" spans="1:30" ht="12.75" hidden="1" customHeight="1">
      <c r="A2896" s="125" t="str">
        <f t="shared" si="293"/>
        <v>LIC175Service Tax on Management Fees</v>
      </c>
      <c r="B2896" s="125">
        <f>+IFERROR(VLOOKUP(L2896,'TB mapping'!A:D,4,0),0)</f>
        <v>6.1</v>
      </c>
      <c r="C2896" s="125">
        <f>+IFERROR(VLOOKUP(L2896,'TB mapping'!A:C,3,0),0)</f>
        <v>6.3</v>
      </c>
      <c r="D2896" s="125" t="str">
        <f t="shared" si="294"/>
        <v>LIC1756.1</v>
      </c>
      <c r="E2896" s="125" t="str">
        <f t="shared" si="295"/>
        <v>LIC1756.3</v>
      </c>
      <c r="F2896" s="158" t="str">
        <f>+VLOOKUP(H2896,'code mapping'!A:C,3,0)</f>
        <v>LIC175</v>
      </c>
      <c r="G2896" s="127" t="s">
        <v>453</v>
      </c>
      <c r="H2896" s="127" t="s">
        <v>784</v>
      </c>
      <c r="I2896" s="127" t="s">
        <v>785</v>
      </c>
      <c r="J2896" s="128">
        <v>550000</v>
      </c>
      <c r="K2896" s="127" t="s">
        <v>550</v>
      </c>
      <c r="L2896" s="151">
        <v>553172</v>
      </c>
      <c r="M2896" s="128">
        <v>0</v>
      </c>
      <c r="N2896" s="127" t="s">
        <v>558</v>
      </c>
      <c r="O2896" s="127" t="s">
        <v>457</v>
      </c>
      <c r="P2896" s="128">
        <v>-15088.25</v>
      </c>
      <c r="Q2896" s="128">
        <v>0</v>
      </c>
      <c r="R2896" s="128">
        <v>0</v>
      </c>
      <c r="S2896" s="128">
        <v>0</v>
      </c>
      <c r="T2896" s="128">
        <v>-15088.25</v>
      </c>
      <c r="U2896" s="128">
        <v>0</v>
      </c>
      <c r="V2896" s="128">
        <v>-15088.25</v>
      </c>
      <c r="W2896" s="128">
        <v>0</v>
      </c>
      <c r="X2896" s="128">
        <v>0</v>
      </c>
      <c r="Y2896" s="128">
        <v>0</v>
      </c>
      <c r="Z2896" s="128">
        <v>-15088.25</v>
      </c>
      <c r="AA2896" s="128">
        <v>0</v>
      </c>
      <c r="AB2896" s="126">
        <f t="shared" si="296"/>
        <v>1.5088250000000001E-3</v>
      </c>
      <c r="AC2896" s="122" t="s">
        <v>1838</v>
      </c>
      <c r="AD2896" s="123">
        <f t="shared" si="297"/>
        <v>0.4706117179999999</v>
      </c>
    </row>
    <row r="2897" spans="1:30" ht="12.75" hidden="1" customHeight="1">
      <c r="A2897" s="125" t="str">
        <f t="shared" si="293"/>
        <v>LIC175CCIL Expenses</v>
      </c>
      <c r="B2897" s="125">
        <f>+IFERROR(VLOOKUP(L2897,'TB mapping'!A:D,4,0),0)</f>
        <v>0</v>
      </c>
      <c r="C2897" s="125">
        <f>+IFERROR(VLOOKUP(L2897,'TB mapping'!A:C,3,0),0)</f>
        <v>6.3</v>
      </c>
      <c r="D2897" s="125" t="str">
        <f t="shared" si="294"/>
        <v>LIC1750</v>
      </c>
      <c r="E2897" s="125" t="str">
        <f t="shared" si="295"/>
        <v>LIC1756.3</v>
      </c>
      <c r="F2897" s="158" t="str">
        <f>+VLOOKUP(H2897,'code mapping'!A:C,3,0)</f>
        <v>LIC175</v>
      </c>
      <c r="G2897" s="127" t="s">
        <v>453</v>
      </c>
      <c r="H2897" s="127" t="s">
        <v>784</v>
      </c>
      <c r="I2897" s="127" t="s">
        <v>785</v>
      </c>
      <c r="J2897" s="128">
        <v>550000</v>
      </c>
      <c r="K2897" s="127" t="s">
        <v>550</v>
      </c>
      <c r="L2897" s="151">
        <v>553176</v>
      </c>
      <c r="M2897" s="128">
        <v>0</v>
      </c>
      <c r="N2897" s="127" t="s">
        <v>559</v>
      </c>
      <c r="O2897" s="127" t="s">
        <v>457</v>
      </c>
      <c r="P2897" s="128">
        <v>-2804.16</v>
      </c>
      <c r="Q2897" s="128">
        <v>0</v>
      </c>
      <c r="R2897" s="128">
        <v>0</v>
      </c>
      <c r="S2897" s="128">
        <v>0</v>
      </c>
      <c r="T2897" s="128">
        <v>-2804.16</v>
      </c>
      <c r="U2897" s="128">
        <v>0</v>
      </c>
      <c r="V2897" s="128">
        <v>-2804.16</v>
      </c>
      <c r="W2897" s="128">
        <v>0</v>
      </c>
      <c r="X2897" s="128">
        <v>0</v>
      </c>
      <c r="Y2897" s="128">
        <v>0</v>
      </c>
      <c r="Z2897" s="128">
        <v>-2804.16</v>
      </c>
      <c r="AA2897" s="128">
        <v>0</v>
      </c>
      <c r="AB2897" s="126">
        <f t="shared" si="296"/>
        <v>2.8041599999999997E-4</v>
      </c>
      <c r="AC2897" s="122" t="s">
        <v>1838</v>
      </c>
      <c r="AD2897" s="123">
        <f t="shared" si="297"/>
        <v>0.4706117179999999</v>
      </c>
    </row>
    <row r="2898" spans="1:30" ht="12.75" hidden="1" customHeight="1">
      <c r="A2898" s="125" t="str">
        <f t="shared" si="293"/>
        <v>LIC175Out of Pocket Expenses - R&amp;T</v>
      </c>
      <c r="B2898" s="125">
        <f>+IFERROR(VLOOKUP(L2898,'TB mapping'!A:D,4,0),0)</f>
        <v>0</v>
      </c>
      <c r="C2898" s="125">
        <f>+IFERROR(VLOOKUP(L2898,'TB mapping'!A:C,3,0),0)</f>
        <v>6.3</v>
      </c>
      <c r="D2898" s="125" t="str">
        <f t="shared" si="294"/>
        <v>LIC1750</v>
      </c>
      <c r="E2898" s="125" t="str">
        <f t="shared" si="295"/>
        <v>LIC1756.3</v>
      </c>
      <c r="F2898" s="158" t="str">
        <f>+VLOOKUP(H2898,'code mapping'!A:C,3,0)</f>
        <v>LIC175</v>
      </c>
      <c r="G2898" s="127" t="s">
        <v>453</v>
      </c>
      <c r="H2898" s="127" t="s">
        <v>784</v>
      </c>
      <c r="I2898" s="127" t="s">
        <v>785</v>
      </c>
      <c r="J2898" s="128">
        <v>550000</v>
      </c>
      <c r="K2898" s="127" t="s">
        <v>550</v>
      </c>
      <c r="L2898" s="151">
        <v>553180</v>
      </c>
      <c r="M2898" s="128">
        <v>0</v>
      </c>
      <c r="N2898" s="127" t="s">
        <v>560</v>
      </c>
      <c r="O2898" s="127" t="s">
        <v>457</v>
      </c>
      <c r="P2898" s="128">
        <v>-732.05</v>
      </c>
      <c r="Q2898" s="128">
        <v>0</v>
      </c>
      <c r="R2898" s="128">
        <v>0</v>
      </c>
      <c r="S2898" s="128">
        <v>0</v>
      </c>
      <c r="T2898" s="128">
        <v>-732.05</v>
      </c>
      <c r="U2898" s="128">
        <v>0</v>
      </c>
      <c r="V2898" s="128">
        <v>-732.05</v>
      </c>
      <c r="W2898" s="128">
        <v>0</v>
      </c>
      <c r="X2898" s="128">
        <v>0</v>
      </c>
      <c r="Y2898" s="128">
        <v>0</v>
      </c>
      <c r="Z2898" s="128">
        <v>-732.05</v>
      </c>
      <c r="AA2898" s="128">
        <v>0</v>
      </c>
      <c r="AB2898" s="126">
        <f t="shared" si="296"/>
        <v>7.3205000000000001E-5</v>
      </c>
      <c r="AC2898" s="122" t="s">
        <v>1838</v>
      </c>
      <c r="AD2898" s="123">
        <f t="shared" si="297"/>
        <v>0.4706117179999999</v>
      </c>
    </row>
    <row r="2899" spans="1:30" ht="12.75" hidden="1" customHeight="1">
      <c r="A2899" s="125" t="str">
        <f t="shared" si="293"/>
        <v>LIC175Other Expenses</v>
      </c>
      <c r="B2899" s="125">
        <f>+IFERROR(VLOOKUP(L2899,'TB mapping'!A:D,4,0),0)</f>
        <v>0</v>
      </c>
      <c r="C2899" s="125">
        <f>+IFERROR(VLOOKUP(L2899,'TB mapping'!A:C,3,0),0)</f>
        <v>6.3</v>
      </c>
      <c r="D2899" s="125" t="str">
        <f t="shared" si="294"/>
        <v>LIC1750</v>
      </c>
      <c r="E2899" s="125" t="str">
        <f t="shared" si="295"/>
        <v>LIC1756.3</v>
      </c>
      <c r="F2899" s="158" t="str">
        <f>+VLOOKUP(H2899,'code mapping'!A:C,3,0)</f>
        <v>LIC175</v>
      </c>
      <c r="G2899" s="127" t="s">
        <v>453</v>
      </c>
      <c r="H2899" s="127" t="s">
        <v>784</v>
      </c>
      <c r="I2899" s="127" t="s">
        <v>785</v>
      </c>
      <c r="J2899" s="128">
        <v>550000</v>
      </c>
      <c r="K2899" s="127" t="s">
        <v>550</v>
      </c>
      <c r="L2899" s="151">
        <v>553190</v>
      </c>
      <c r="M2899" s="128">
        <v>0</v>
      </c>
      <c r="N2899" s="127" t="s">
        <v>561</v>
      </c>
      <c r="O2899" s="127" t="s">
        <v>457</v>
      </c>
      <c r="P2899" s="128">
        <v>0</v>
      </c>
      <c r="Q2899" s="128">
        <v>774859.87</v>
      </c>
      <c r="R2899" s="128">
        <v>0</v>
      </c>
      <c r="S2899" s="128">
        <v>0</v>
      </c>
      <c r="T2899" s="128">
        <v>0</v>
      </c>
      <c r="U2899" s="128">
        <v>774859.87</v>
      </c>
      <c r="V2899" s="128">
        <v>0</v>
      </c>
      <c r="W2899" s="128">
        <v>774859.87</v>
      </c>
      <c r="X2899" s="128">
        <v>0</v>
      </c>
      <c r="Y2899" s="128">
        <v>0</v>
      </c>
      <c r="Z2899" s="128">
        <v>0</v>
      </c>
      <c r="AA2899" s="128">
        <v>774859.87</v>
      </c>
      <c r="AB2899" s="126">
        <f t="shared" si="296"/>
        <v>-7.7485987000000006E-2</v>
      </c>
      <c r="AC2899" s="122" t="s">
        <v>1838</v>
      </c>
      <c r="AD2899" s="123">
        <f t="shared" si="297"/>
        <v>0.4706117179999999</v>
      </c>
    </row>
    <row r="2900" spans="1:30" ht="12.75" hidden="1" customHeight="1">
      <c r="A2900" s="125" t="str">
        <f t="shared" si="293"/>
        <v>LIC175Other Exp - Brok - Indirect</v>
      </c>
      <c r="B2900" s="125">
        <f>+IFERROR(VLOOKUP(L2900,'TB mapping'!A:D,4,0),0)</f>
        <v>0</v>
      </c>
      <c r="C2900" s="125">
        <f>+IFERROR(VLOOKUP(L2900,'TB mapping'!A:C,3,0),0)</f>
        <v>6.3</v>
      </c>
      <c r="D2900" s="125" t="str">
        <f t="shared" si="294"/>
        <v>LIC1750</v>
      </c>
      <c r="E2900" s="125" t="str">
        <f t="shared" si="295"/>
        <v>LIC1756.3</v>
      </c>
      <c r="F2900" s="158" t="str">
        <f>+VLOOKUP(H2900,'code mapping'!A:C,3,0)</f>
        <v>LIC175</v>
      </c>
      <c r="G2900" s="127" t="s">
        <v>453</v>
      </c>
      <c r="H2900" s="127" t="s">
        <v>784</v>
      </c>
      <c r="I2900" s="127" t="s">
        <v>785</v>
      </c>
      <c r="J2900" s="128">
        <v>550000</v>
      </c>
      <c r="K2900" s="127" t="s">
        <v>550</v>
      </c>
      <c r="L2900" s="151">
        <v>553202</v>
      </c>
      <c r="M2900" s="128">
        <v>0</v>
      </c>
      <c r="N2900" s="127" t="s">
        <v>564</v>
      </c>
      <c r="O2900" s="127" t="s">
        <v>457</v>
      </c>
      <c r="P2900" s="128">
        <v>-331628.73</v>
      </c>
      <c r="Q2900" s="128">
        <v>0</v>
      </c>
      <c r="R2900" s="128">
        <v>0</v>
      </c>
      <c r="S2900" s="128">
        <v>0</v>
      </c>
      <c r="T2900" s="128">
        <v>-331628.73</v>
      </c>
      <c r="U2900" s="128">
        <v>0</v>
      </c>
      <c r="V2900" s="128">
        <v>-331628.73</v>
      </c>
      <c r="W2900" s="128">
        <v>0</v>
      </c>
      <c r="X2900" s="128">
        <v>0</v>
      </c>
      <c r="Y2900" s="128">
        <v>0</v>
      </c>
      <c r="Z2900" s="128">
        <v>-331628.73</v>
      </c>
      <c r="AA2900" s="128">
        <v>0</v>
      </c>
      <c r="AB2900" s="126">
        <f t="shared" si="296"/>
        <v>3.3162872999999995E-2</v>
      </c>
      <c r="AC2900" s="122" t="s">
        <v>1838</v>
      </c>
      <c r="AD2900" s="123">
        <f t="shared" si="297"/>
        <v>0.4706117179999999</v>
      </c>
    </row>
    <row r="2901" spans="1:30" ht="12.75" hidden="1" customHeight="1">
      <c r="A2901" s="125" t="str">
        <f t="shared" si="293"/>
        <v>LIC175Brokerage/Dist Exps</v>
      </c>
      <c r="B2901" s="125">
        <f>+IFERROR(VLOOKUP(L2901,'TB mapping'!A:D,4,0),0)</f>
        <v>0</v>
      </c>
      <c r="C2901" s="125">
        <f>+IFERROR(VLOOKUP(L2901,'TB mapping'!A:C,3,0),0)</f>
        <v>6.3</v>
      </c>
      <c r="D2901" s="125" t="str">
        <f t="shared" si="294"/>
        <v>LIC1750</v>
      </c>
      <c r="E2901" s="125" t="str">
        <f t="shared" si="295"/>
        <v>LIC1756.3</v>
      </c>
      <c r="F2901" s="158" t="str">
        <f>+VLOOKUP(H2901,'code mapping'!A:C,3,0)</f>
        <v>LIC175</v>
      </c>
      <c r="G2901" s="127" t="s">
        <v>453</v>
      </c>
      <c r="H2901" s="127" t="s">
        <v>784</v>
      </c>
      <c r="I2901" s="127" t="s">
        <v>785</v>
      </c>
      <c r="J2901" s="128">
        <v>550000</v>
      </c>
      <c r="K2901" s="127" t="s">
        <v>550</v>
      </c>
      <c r="L2901" s="151">
        <v>553208</v>
      </c>
      <c r="M2901" s="128">
        <v>0</v>
      </c>
      <c r="N2901" s="127" t="s">
        <v>565</v>
      </c>
      <c r="O2901" s="127" t="s">
        <v>457</v>
      </c>
      <c r="P2901" s="128">
        <v>0</v>
      </c>
      <c r="Q2901" s="128">
        <v>944.65</v>
      </c>
      <c r="R2901" s="128">
        <v>0</v>
      </c>
      <c r="S2901" s="128">
        <v>0</v>
      </c>
      <c r="T2901" s="128">
        <v>0</v>
      </c>
      <c r="U2901" s="128">
        <v>944.65</v>
      </c>
      <c r="V2901" s="128">
        <v>0</v>
      </c>
      <c r="W2901" s="128">
        <v>944.65</v>
      </c>
      <c r="X2901" s="128">
        <v>0</v>
      </c>
      <c r="Y2901" s="128">
        <v>0</v>
      </c>
      <c r="Z2901" s="128">
        <v>0</v>
      </c>
      <c r="AA2901" s="128">
        <v>944.65</v>
      </c>
      <c r="AB2901" s="126">
        <f t="shared" si="296"/>
        <v>-9.4464999999999998E-5</v>
      </c>
      <c r="AC2901" s="122" t="s">
        <v>1838</v>
      </c>
      <c r="AD2901" s="123">
        <f t="shared" si="297"/>
        <v>0.4706117179999999</v>
      </c>
    </row>
    <row r="2902" spans="1:30" ht="12.75" hidden="1" customHeight="1">
      <c r="A2902" s="125" t="str">
        <f t="shared" si="293"/>
        <v>LIC175Internal Audit Fee</v>
      </c>
      <c r="B2902" s="125">
        <f>+IFERROR(VLOOKUP(L2902,'TB mapping'!A:D,4,0),0)</f>
        <v>0</v>
      </c>
      <c r="C2902" s="125">
        <f>+IFERROR(VLOOKUP(L2902,'TB mapping'!A:C,3,0),0)</f>
        <v>6.3</v>
      </c>
      <c r="D2902" s="125" t="str">
        <f t="shared" si="294"/>
        <v>LIC1750</v>
      </c>
      <c r="E2902" s="125" t="str">
        <f t="shared" si="295"/>
        <v>LIC1756.3</v>
      </c>
      <c r="F2902" s="158" t="str">
        <f>+VLOOKUP(H2902,'code mapping'!A:C,3,0)</f>
        <v>LIC175</v>
      </c>
      <c r="G2902" s="127" t="s">
        <v>453</v>
      </c>
      <c r="H2902" s="127" t="s">
        <v>784</v>
      </c>
      <c r="I2902" s="127" t="s">
        <v>785</v>
      </c>
      <c r="J2902" s="128">
        <v>550000</v>
      </c>
      <c r="K2902" s="127" t="s">
        <v>550</v>
      </c>
      <c r="L2902" s="151">
        <v>553213</v>
      </c>
      <c r="M2902" s="128">
        <v>0</v>
      </c>
      <c r="N2902" s="127" t="s">
        <v>566</v>
      </c>
      <c r="O2902" s="127" t="s">
        <v>457</v>
      </c>
      <c r="P2902" s="128">
        <v>-22595</v>
      </c>
      <c r="Q2902" s="128">
        <v>0</v>
      </c>
      <c r="R2902" s="128">
        <v>0</v>
      </c>
      <c r="S2902" s="128">
        <v>0</v>
      </c>
      <c r="T2902" s="128">
        <v>-22595</v>
      </c>
      <c r="U2902" s="128">
        <v>0</v>
      </c>
      <c r="V2902" s="128">
        <v>-22595</v>
      </c>
      <c r="W2902" s="128">
        <v>0</v>
      </c>
      <c r="X2902" s="128">
        <v>0</v>
      </c>
      <c r="Y2902" s="128">
        <v>0</v>
      </c>
      <c r="Z2902" s="128">
        <v>-22595</v>
      </c>
      <c r="AA2902" s="128">
        <v>0</v>
      </c>
      <c r="AB2902" s="126">
        <f t="shared" si="296"/>
        <v>2.2594999999999998E-3</v>
      </c>
      <c r="AC2902" s="122" t="s">
        <v>1838</v>
      </c>
      <c r="AD2902" s="123">
        <f t="shared" si="297"/>
        <v>0.4706117179999999</v>
      </c>
    </row>
    <row r="2903" spans="1:30" ht="12.75" hidden="1" customHeight="1">
      <c r="A2903" s="125" t="str">
        <f t="shared" si="293"/>
        <v>LIC175Other Expenses - G</v>
      </c>
      <c r="B2903" s="125">
        <f>+IFERROR(VLOOKUP(L2903,'TB mapping'!A:D,4,0),0)</f>
        <v>0</v>
      </c>
      <c r="C2903" s="125">
        <f>+IFERROR(VLOOKUP(L2903,'TB mapping'!A:C,3,0),0)</f>
        <v>6.3</v>
      </c>
      <c r="D2903" s="125" t="str">
        <f t="shared" si="294"/>
        <v>LIC1750</v>
      </c>
      <c r="E2903" s="125" t="str">
        <f t="shared" si="295"/>
        <v>LIC1756.3</v>
      </c>
      <c r="F2903" s="158" t="str">
        <f>+VLOOKUP(H2903,'code mapping'!A:C,3,0)</f>
        <v>LIC175</v>
      </c>
      <c r="G2903" s="127" t="s">
        <v>453</v>
      </c>
      <c r="H2903" s="127" t="s">
        <v>784</v>
      </c>
      <c r="I2903" s="127" t="s">
        <v>785</v>
      </c>
      <c r="J2903" s="128">
        <v>550000</v>
      </c>
      <c r="K2903" s="127" t="s">
        <v>550</v>
      </c>
      <c r="L2903" s="151">
        <v>553273</v>
      </c>
      <c r="M2903" s="128">
        <v>0</v>
      </c>
      <c r="N2903" s="127" t="s">
        <v>621</v>
      </c>
      <c r="O2903" s="127" t="s">
        <v>457</v>
      </c>
      <c r="P2903" s="128">
        <v>-3127482.35</v>
      </c>
      <c r="Q2903" s="128">
        <v>0</v>
      </c>
      <c r="R2903" s="128">
        <v>0</v>
      </c>
      <c r="S2903" s="128">
        <v>0</v>
      </c>
      <c r="T2903" s="128">
        <v>-3127482.35</v>
      </c>
      <c r="U2903" s="128">
        <v>0</v>
      </c>
      <c r="V2903" s="128">
        <v>-3127482.35</v>
      </c>
      <c r="W2903" s="128">
        <v>0</v>
      </c>
      <c r="X2903" s="128">
        <v>0</v>
      </c>
      <c r="Y2903" s="128">
        <v>0</v>
      </c>
      <c r="Z2903" s="128">
        <v>-3127482.35</v>
      </c>
      <c r="AA2903" s="128">
        <v>0</v>
      </c>
      <c r="AB2903" s="126">
        <f t="shared" si="296"/>
        <v>0.31274823499999999</v>
      </c>
      <c r="AC2903" s="122" t="s">
        <v>1838</v>
      </c>
      <c r="AD2903" s="123">
        <f t="shared" si="297"/>
        <v>0.4706117179999999</v>
      </c>
    </row>
    <row r="2904" spans="1:30" ht="12.75" hidden="1" customHeight="1">
      <c r="A2904" s="125" t="str">
        <f t="shared" si="293"/>
        <v>LIC175Inv Educ Fund Expense - Amfi</v>
      </c>
      <c r="B2904" s="125">
        <f>+IFERROR(VLOOKUP(L2904,'TB mapping'!A:D,4,0),0)</f>
        <v>0</v>
      </c>
      <c r="C2904" s="125">
        <f>+IFERROR(VLOOKUP(L2904,'TB mapping'!A:C,3,0),0)</f>
        <v>6.3</v>
      </c>
      <c r="D2904" s="125" t="str">
        <f t="shared" si="294"/>
        <v>LIC1750</v>
      </c>
      <c r="E2904" s="125" t="str">
        <f t="shared" si="295"/>
        <v>LIC1756.3</v>
      </c>
      <c r="F2904" s="158" t="str">
        <f>+VLOOKUP(H2904,'code mapping'!A:C,3,0)</f>
        <v>LIC175</v>
      </c>
      <c r="G2904" s="127" t="s">
        <v>453</v>
      </c>
      <c r="H2904" s="127" t="s">
        <v>784</v>
      </c>
      <c r="I2904" s="127" t="s">
        <v>785</v>
      </c>
      <c r="J2904" s="128">
        <v>550000</v>
      </c>
      <c r="K2904" s="127" t="s">
        <v>550</v>
      </c>
      <c r="L2904" s="151">
        <v>554526</v>
      </c>
      <c r="M2904" s="128">
        <v>0</v>
      </c>
      <c r="N2904" s="127" t="s">
        <v>569</v>
      </c>
      <c r="O2904" s="127" t="s">
        <v>457</v>
      </c>
      <c r="P2904" s="128">
        <v>-433193.24</v>
      </c>
      <c r="Q2904" s="128">
        <v>0</v>
      </c>
      <c r="R2904" s="128">
        <v>0</v>
      </c>
      <c r="S2904" s="128">
        <v>0</v>
      </c>
      <c r="T2904" s="128">
        <v>-433193.24</v>
      </c>
      <c r="U2904" s="128">
        <v>0</v>
      </c>
      <c r="V2904" s="128">
        <v>-433193.24</v>
      </c>
      <c r="W2904" s="128">
        <v>0</v>
      </c>
      <c r="X2904" s="128">
        <v>0</v>
      </c>
      <c r="Y2904" s="128">
        <v>0</v>
      </c>
      <c r="Z2904" s="128">
        <v>-433193.24</v>
      </c>
      <c r="AA2904" s="128">
        <v>0</v>
      </c>
      <c r="AB2904" s="126">
        <f t="shared" si="296"/>
        <v>4.3319323999999999E-2</v>
      </c>
      <c r="AC2904" s="122" t="s">
        <v>1838</v>
      </c>
      <c r="AD2904" s="123">
        <f t="shared" si="297"/>
        <v>0.4706117179999999</v>
      </c>
    </row>
    <row r="2905" spans="1:30" ht="12.75" hidden="1" customHeight="1">
      <c r="A2905" s="125" t="str">
        <f t="shared" si="293"/>
        <v>LIC175Client Servicing Expenes</v>
      </c>
      <c r="B2905" s="125">
        <f>+IFERROR(VLOOKUP(L2905,'TB mapping'!A:D,4,0),0)</f>
        <v>0</v>
      </c>
      <c r="C2905" s="125">
        <f>+IFERROR(VLOOKUP(L2905,'TB mapping'!A:C,3,0),0)</f>
        <v>6.3</v>
      </c>
      <c r="D2905" s="125" t="str">
        <f t="shared" si="294"/>
        <v>LIC1750</v>
      </c>
      <c r="E2905" s="125" t="str">
        <f t="shared" si="295"/>
        <v>LIC1756.3</v>
      </c>
      <c r="F2905" s="158" t="str">
        <f>+VLOOKUP(H2905,'code mapping'!A:C,3,0)</f>
        <v>LIC175</v>
      </c>
      <c r="G2905" s="127" t="s">
        <v>453</v>
      </c>
      <c r="H2905" s="127" t="s">
        <v>784</v>
      </c>
      <c r="I2905" s="127" t="s">
        <v>785</v>
      </c>
      <c r="J2905" s="128">
        <v>550000</v>
      </c>
      <c r="K2905" s="127" t="s">
        <v>550</v>
      </c>
      <c r="L2905" s="151">
        <v>555157</v>
      </c>
      <c r="M2905" s="128">
        <v>0</v>
      </c>
      <c r="N2905" s="127" t="s">
        <v>571</v>
      </c>
      <c r="O2905" s="127" t="s">
        <v>457</v>
      </c>
      <c r="P2905" s="128">
        <v>-2509.16</v>
      </c>
      <c r="Q2905" s="128">
        <v>0</v>
      </c>
      <c r="R2905" s="128">
        <v>0</v>
      </c>
      <c r="S2905" s="128">
        <v>0</v>
      </c>
      <c r="T2905" s="128">
        <v>-2509.16</v>
      </c>
      <c r="U2905" s="128">
        <v>0</v>
      </c>
      <c r="V2905" s="128">
        <v>-2509.16</v>
      </c>
      <c r="W2905" s="128">
        <v>0</v>
      </c>
      <c r="X2905" s="128">
        <v>0</v>
      </c>
      <c r="Y2905" s="128">
        <v>0</v>
      </c>
      <c r="Z2905" s="128">
        <v>-2509.16</v>
      </c>
      <c r="AA2905" s="128">
        <v>0</v>
      </c>
      <c r="AB2905" s="126">
        <f t="shared" si="296"/>
        <v>2.5091600000000001E-4</v>
      </c>
      <c r="AC2905" s="122" t="s">
        <v>1838</v>
      </c>
      <c r="AD2905" s="123">
        <f t="shared" si="297"/>
        <v>0.4706117179999999</v>
      </c>
    </row>
    <row r="2906" spans="1:30" ht="12.75" hidden="1" customHeight="1">
      <c r="A2906" s="125" t="str">
        <f t="shared" si="293"/>
        <v>LIC175Management Fee-Reclassfication</v>
      </c>
      <c r="B2906" s="125">
        <f>+IFERROR(VLOOKUP(L2906,'TB mapping'!A:D,4,0),0)</f>
        <v>6.1</v>
      </c>
      <c r="C2906" s="125">
        <f>+IFERROR(VLOOKUP(L2906,'TB mapping'!A:C,3,0),0)</f>
        <v>6.3</v>
      </c>
      <c r="D2906" s="125" t="str">
        <f t="shared" si="294"/>
        <v>LIC1756.1</v>
      </c>
      <c r="E2906" s="125" t="str">
        <f t="shared" si="295"/>
        <v>LIC1756.3</v>
      </c>
      <c r="F2906" s="158" t="str">
        <f>+VLOOKUP(H2906,'code mapping'!A:C,3,0)</f>
        <v>LIC175</v>
      </c>
      <c r="G2906" s="127" t="s">
        <v>453</v>
      </c>
      <c r="H2906" s="127" t="s">
        <v>784</v>
      </c>
      <c r="I2906" s="127" t="s">
        <v>785</v>
      </c>
      <c r="J2906" s="128">
        <v>550000</v>
      </c>
      <c r="K2906" s="127" t="s">
        <v>550</v>
      </c>
      <c r="L2906" s="151">
        <v>555274</v>
      </c>
      <c r="M2906" s="128">
        <v>0</v>
      </c>
      <c r="N2906" s="127" t="s">
        <v>583</v>
      </c>
      <c r="O2906" s="127" t="s">
        <v>457</v>
      </c>
      <c r="P2906" s="128">
        <v>-1313559.5</v>
      </c>
      <c r="Q2906" s="128">
        <v>0</v>
      </c>
      <c r="R2906" s="128">
        <v>0</v>
      </c>
      <c r="S2906" s="128">
        <v>0</v>
      </c>
      <c r="T2906" s="128">
        <v>-1313559.5</v>
      </c>
      <c r="U2906" s="128">
        <v>0</v>
      </c>
      <c r="V2906" s="128">
        <v>-1313559.5</v>
      </c>
      <c r="W2906" s="128">
        <v>0</v>
      </c>
      <c r="X2906" s="128">
        <v>0</v>
      </c>
      <c r="Y2906" s="128">
        <v>0</v>
      </c>
      <c r="Z2906" s="128">
        <v>-1313559.5</v>
      </c>
      <c r="AA2906" s="128">
        <v>0</v>
      </c>
      <c r="AB2906" s="126">
        <f t="shared" si="296"/>
        <v>0.13135595</v>
      </c>
      <c r="AC2906" s="122" t="s">
        <v>1838</v>
      </c>
      <c r="AD2906" s="123">
        <f t="shared" si="297"/>
        <v>0.4706117179999999</v>
      </c>
    </row>
    <row r="2907" spans="1:30" ht="12.75" hidden="1" customHeight="1">
      <c r="A2907" s="125" t="str">
        <f t="shared" si="293"/>
        <v>LIC175Brokerage_Indirect_Reclassify</v>
      </c>
      <c r="B2907" s="125">
        <f>+IFERROR(VLOOKUP(L2907,'TB mapping'!A:D,4,0),0)</f>
        <v>0</v>
      </c>
      <c r="C2907" s="125">
        <f>+IFERROR(VLOOKUP(L2907,'TB mapping'!A:C,3,0),0)</f>
        <v>6.3</v>
      </c>
      <c r="D2907" s="125" t="str">
        <f t="shared" si="294"/>
        <v>LIC1750</v>
      </c>
      <c r="E2907" s="125" t="str">
        <f t="shared" si="295"/>
        <v>LIC1756.3</v>
      </c>
      <c r="F2907" s="158" t="str">
        <f>+VLOOKUP(H2907,'code mapping'!A:C,3,0)</f>
        <v>LIC175</v>
      </c>
      <c r="G2907" s="127" t="s">
        <v>453</v>
      </c>
      <c r="H2907" s="127" t="s">
        <v>784</v>
      </c>
      <c r="I2907" s="127" t="s">
        <v>785</v>
      </c>
      <c r="J2907" s="128">
        <v>550000</v>
      </c>
      <c r="K2907" s="127" t="s">
        <v>550</v>
      </c>
      <c r="L2907" s="151">
        <v>555275</v>
      </c>
      <c r="M2907" s="128">
        <v>0</v>
      </c>
      <c r="N2907" s="127" t="s">
        <v>600</v>
      </c>
      <c r="O2907" s="127" t="s">
        <v>457</v>
      </c>
      <c r="P2907" s="128">
        <v>0</v>
      </c>
      <c r="Q2907" s="128">
        <v>250000</v>
      </c>
      <c r="R2907" s="128">
        <v>0</v>
      </c>
      <c r="S2907" s="128">
        <v>0</v>
      </c>
      <c r="T2907" s="128">
        <v>0</v>
      </c>
      <c r="U2907" s="128">
        <v>250000</v>
      </c>
      <c r="V2907" s="128">
        <v>0</v>
      </c>
      <c r="W2907" s="128">
        <v>250000</v>
      </c>
      <c r="X2907" s="128">
        <v>0</v>
      </c>
      <c r="Y2907" s="128">
        <v>0</v>
      </c>
      <c r="Z2907" s="128">
        <v>0</v>
      </c>
      <c r="AA2907" s="128">
        <v>250000</v>
      </c>
      <c r="AB2907" s="126">
        <f t="shared" si="296"/>
        <v>-2.5000000000000001E-2</v>
      </c>
      <c r="AC2907" s="122" t="s">
        <v>1838</v>
      </c>
      <c r="AD2907" s="123">
        <f t="shared" si="297"/>
        <v>0.4706117179999999</v>
      </c>
    </row>
    <row r="2908" spans="1:30" ht="12.75" hidden="1" customHeight="1">
      <c r="A2908" s="125" t="str">
        <f t="shared" si="293"/>
        <v>LIC175CGST on Reclassify of Exp</v>
      </c>
      <c r="B2908" s="125">
        <f>+IFERROR(VLOOKUP(L2908,'TB mapping'!A:D,4,0),0)</f>
        <v>0</v>
      </c>
      <c r="C2908" s="125">
        <f>+IFERROR(VLOOKUP(L2908,'TB mapping'!A:C,3,0),0)</f>
        <v>6.3</v>
      </c>
      <c r="D2908" s="125" t="str">
        <f t="shared" si="294"/>
        <v>LIC1750</v>
      </c>
      <c r="E2908" s="125" t="str">
        <f t="shared" si="295"/>
        <v>LIC1756.3</v>
      </c>
      <c r="F2908" s="158" t="str">
        <f>+VLOOKUP(H2908,'code mapping'!A:C,3,0)</f>
        <v>LIC175</v>
      </c>
      <c r="G2908" s="127" t="s">
        <v>453</v>
      </c>
      <c r="H2908" s="127" t="s">
        <v>784</v>
      </c>
      <c r="I2908" s="127" t="s">
        <v>785</v>
      </c>
      <c r="J2908" s="128">
        <v>550000</v>
      </c>
      <c r="K2908" s="127" t="s">
        <v>550</v>
      </c>
      <c r="L2908" s="151">
        <v>555276</v>
      </c>
      <c r="M2908" s="128">
        <v>0</v>
      </c>
      <c r="N2908" s="127" t="s">
        <v>572</v>
      </c>
      <c r="O2908" s="127" t="s">
        <v>457</v>
      </c>
      <c r="P2908" s="128">
        <v>-64830.52</v>
      </c>
      <c r="Q2908" s="128">
        <v>0</v>
      </c>
      <c r="R2908" s="128">
        <v>0</v>
      </c>
      <c r="S2908" s="128">
        <v>0</v>
      </c>
      <c r="T2908" s="128">
        <v>-64830.52</v>
      </c>
      <c r="U2908" s="128">
        <v>0</v>
      </c>
      <c r="V2908" s="128">
        <v>-64830.52</v>
      </c>
      <c r="W2908" s="128">
        <v>0</v>
      </c>
      <c r="X2908" s="128">
        <v>0</v>
      </c>
      <c r="Y2908" s="128">
        <v>0</v>
      </c>
      <c r="Z2908" s="128">
        <v>-64830.52</v>
      </c>
      <c r="AA2908" s="128">
        <v>0</v>
      </c>
      <c r="AB2908" s="126">
        <f t="shared" si="296"/>
        <v>6.4830519999999996E-3</v>
      </c>
      <c r="AC2908" s="122" t="s">
        <v>1838</v>
      </c>
      <c r="AD2908" s="123">
        <f t="shared" si="297"/>
        <v>0.4706117179999999</v>
      </c>
    </row>
    <row r="2909" spans="1:30" ht="12.75" hidden="1" customHeight="1">
      <c r="A2909" s="125" t="str">
        <f t="shared" si="293"/>
        <v>LIC175SGST on Reclassify of Exp</v>
      </c>
      <c r="B2909" s="125">
        <f>+IFERROR(VLOOKUP(L2909,'TB mapping'!A:D,4,0),0)</f>
        <v>0</v>
      </c>
      <c r="C2909" s="125">
        <f>+IFERROR(VLOOKUP(L2909,'TB mapping'!A:C,3,0),0)</f>
        <v>6.3</v>
      </c>
      <c r="D2909" s="125" t="str">
        <f t="shared" si="294"/>
        <v>LIC1750</v>
      </c>
      <c r="E2909" s="125" t="str">
        <f t="shared" si="295"/>
        <v>LIC1756.3</v>
      </c>
      <c r="F2909" s="158" t="str">
        <f>+VLOOKUP(H2909,'code mapping'!A:C,3,0)</f>
        <v>LIC175</v>
      </c>
      <c r="G2909" s="127" t="s">
        <v>453</v>
      </c>
      <c r="H2909" s="127" t="s">
        <v>784</v>
      </c>
      <c r="I2909" s="127" t="s">
        <v>785</v>
      </c>
      <c r="J2909" s="128">
        <v>550000</v>
      </c>
      <c r="K2909" s="127" t="s">
        <v>550</v>
      </c>
      <c r="L2909" s="151">
        <v>555277</v>
      </c>
      <c r="M2909" s="128">
        <v>0</v>
      </c>
      <c r="N2909" s="127" t="s">
        <v>573</v>
      </c>
      <c r="O2909" s="127" t="s">
        <v>457</v>
      </c>
      <c r="P2909" s="128">
        <v>-64830.52</v>
      </c>
      <c r="Q2909" s="128">
        <v>0</v>
      </c>
      <c r="R2909" s="128">
        <v>0</v>
      </c>
      <c r="S2909" s="128">
        <v>0</v>
      </c>
      <c r="T2909" s="128">
        <v>-64830.52</v>
      </c>
      <c r="U2909" s="128">
        <v>0</v>
      </c>
      <c r="V2909" s="128">
        <v>-64830.52</v>
      </c>
      <c r="W2909" s="128">
        <v>0</v>
      </c>
      <c r="X2909" s="128">
        <v>0</v>
      </c>
      <c r="Y2909" s="128">
        <v>0</v>
      </c>
      <c r="Z2909" s="128">
        <v>-64830.52</v>
      </c>
      <c r="AA2909" s="128">
        <v>0</v>
      </c>
      <c r="AB2909" s="126">
        <f t="shared" si="296"/>
        <v>6.4830519999999996E-3</v>
      </c>
      <c r="AC2909" s="122" t="s">
        <v>1838</v>
      </c>
      <c r="AD2909" s="123">
        <f t="shared" si="297"/>
        <v>0.4706117179999999</v>
      </c>
    </row>
    <row r="2910" spans="1:30" ht="12.75" hidden="1" customHeight="1">
      <c r="A2910" s="125" t="str">
        <f t="shared" si="293"/>
        <v>LIC175Other Expense-Reclassfication</v>
      </c>
      <c r="B2910" s="125">
        <f>+IFERROR(VLOOKUP(L2910,'TB mapping'!A:D,4,0),0)</f>
        <v>0</v>
      </c>
      <c r="C2910" s="125">
        <f>+IFERROR(VLOOKUP(L2910,'TB mapping'!A:C,3,0),0)</f>
        <v>0</v>
      </c>
      <c r="D2910" s="125" t="str">
        <f t="shared" si="294"/>
        <v>LIC1750</v>
      </c>
      <c r="E2910" s="125" t="str">
        <f t="shared" si="295"/>
        <v>LIC1750</v>
      </c>
      <c r="F2910" s="158" t="str">
        <f>+VLOOKUP(H2910,'code mapping'!A:C,3,0)</f>
        <v>LIC175</v>
      </c>
      <c r="G2910" s="127" t="s">
        <v>453</v>
      </c>
      <c r="H2910" s="127" t="s">
        <v>784</v>
      </c>
      <c r="I2910" s="127" t="s">
        <v>785</v>
      </c>
      <c r="J2910" s="128">
        <v>550000</v>
      </c>
      <c r="K2910" s="127" t="s">
        <v>550</v>
      </c>
      <c r="L2910" s="151">
        <v>555280</v>
      </c>
      <c r="M2910" s="128">
        <v>0</v>
      </c>
      <c r="N2910" s="127" t="s">
        <v>1590</v>
      </c>
      <c r="O2910" s="127" t="s">
        <v>457</v>
      </c>
      <c r="P2910" s="128">
        <v>0</v>
      </c>
      <c r="Q2910" s="128">
        <v>300000.01</v>
      </c>
      <c r="R2910" s="128">
        <v>0</v>
      </c>
      <c r="S2910" s="128">
        <v>0</v>
      </c>
      <c r="T2910" s="128">
        <v>0</v>
      </c>
      <c r="U2910" s="128">
        <v>300000.01</v>
      </c>
      <c r="V2910" s="128">
        <v>0</v>
      </c>
      <c r="W2910" s="128">
        <v>300000.01</v>
      </c>
      <c r="X2910" s="128">
        <v>0</v>
      </c>
      <c r="Y2910" s="128">
        <v>0</v>
      </c>
      <c r="Z2910" s="128">
        <v>0</v>
      </c>
      <c r="AA2910" s="128">
        <v>300000.01</v>
      </c>
      <c r="AB2910" s="126">
        <f t="shared" si="296"/>
        <v>-3.0000001000000002E-2</v>
      </c>
      <c r="AC2910" s="122" t="s">
        <v>1838</v>
      </c>
      <c r="AD2910" s="123">
        <f>SUMIF(C:C,C2910,AB:AB)</f>
        <v>1983.9723217250009</v>
      </c>
    </row>
    <row r="2911" spans="1:30" ht="12.75" hidden="1" customHeight="1">
      <c r="A2911" s="125" t="str">
        <f t="shared" si="293"/>
        <v>LIC175CGST on Mfees</v>
      </c>
      <c r="B2911" s="125">
        <f>+IFERROR(VLOOKUP(L2911,'TB mapping'!A:D,4,0),0)</f>
        <v>6.1</v>
      </c>
      <c r="C2911" s="125">
        <f>+IFERROR(VLOOKUP(L2911,'TB mapping'!A:C,3,0),0)</f>
        <v>6.3</v>
      </c>
      <c r="D2911" s="125" t="str">
        <f t="shared" si="294"/>
        <v>LIC1756.1</v>
      </c>
      <c r="E2911" s="125" t="str">
        <f t="shared" si="295"/>
        <v>LIC1756.3</v>
      </c>
      <c r="F2911" s="158" t="str">
        <f>+VLOOKUP(H2911,'code mapping'!A:C,3,0)</f>
        <v>LIC175</v>
      </c>
      <c r="G2911" s="127" t="s">
        <v>453</v>
      </c>
      <c r="H2911" s="127" t="s">
        <v>784</v>
      </c>
      <c r="I2911" s="127" t="s">
        <v>785</v>
      </c>
      <c r="J2911" s="128">
        <v>550000</v>
      </c>
      <c r="K2911" s="127" t="s">
        <v>550</v>
      </c>
      <c r="L2911" s="151">
        <v>555597</v>
      </c>
      <c r="M2911" s="128">
        <v>0</v>
      </c>
      <c r="N2911" s="127" t="s">
        <v>574</v>
      </c>
      <c r="O2911" s="127" t="s">
        <v>457</v>
      </c>
      <c r="P2911" s="128">
        <v>-83288</v>
      </c>
      <c r="Q2911" s="128">
        <v>0</v>
      </c>
      <c r="R2911" s="128">
        <v>0</v>
      </c>
      <c r="S2911" s="128">
        <v>0</v>
      </c>
      <c r="T2911" s="128">
        <v>-83288</v>
      </c>
      <c r="U2911" s="128">
        <v>0</v>
      </c>
      <c r="V2911" s="128">
        <v>-83288</v>
      </c>
      <c r="W2911" s="128">
        <v>0</v>
      </c>
      <c r="X2911" s="128">
        <v>0</v>
      </c>
      <c r="Y2911" s="128">
        <v>0</v>
      </c>
      <c r="Z2911" s="128">
        <v>-83288</v>
      </c>
      <c r="AA2911" s="128">
        <v>0</v>
      </c>
      <c r="AB2911" s="126">
        <f t="shared" si="296"/>
        <v>8.3288000000000008E-3</v>
      </c>
      <c r="AC2911" s="122" t="s">
        <v>1838</v>
      </c>
      <c r="AD2911" s="123">
        <f t="shared" ref="AD2911:AD2917" si="298">SUMIF(E:E,E2911,AB:AB)</f>
        <v>0.4706117179999999</v>
      </c>
    </row>
    <row r="2912" spans="1:30" ht="12.75" hidden="1" customHeight="1">
      <c r="A2912" s="125" t="str">
        <f t="shared" si="293"/>
        <v>LIC175SGST on Mfees</v>
      </c>
      <c r="B2912" s="125">
        <f>+IFERROR(VLOOKUP(L2912,'TB mapping'!A:D,4,0),0)</f>
        <v>6.1</v>
      </c>
      <c r="C2912" s="125">
        <f>+IFERROR(VLOOKUP(L2912,'TB mapping'!A:C,3,0),0)</f>
        <v>6.3</v>
      </c>
      <c r="D2912" s="125" t="str">
        <f t="shared" si="294"/>
        <v>LIC1756.1</v>
      </c>
      <c r="E2912" s="125" t="str">
        <f t="shared" si="295"/>
        <v>LIC1756.3</v>
      </c>
      <c r="F2912" s="158" t="str">
        <f>+VLOOKUP(H2912,'code mapping'!A:C,3,0)</f>
        <v>LIC175</v>
      </c>
      <c r="G2912" s="127" t="s">
        <v>453</v>
      </c>
      <c r="H2912" s="127" t="s">
        <v>784</v>
      </c>
      <c r="I2912" s="127" t="s">
        <v>785</v>
      </c>
      <c r="J2912" s="128">
        <v>550000</v>
      </c>
      <c r="K2912" s="127" t="s">
        <v>550</v>
      </c>
      <c r="L2912" s="151">
        <v>555598</v>
      </c>
      <c r="M2912" s="128">
        <v>0</v>
      </c>
      <c r="N2912" s="127" t="s">
        <v>575</v>
      </c>
      <c r="O2912" s="127" t="s">
        <v>457</v>
      </c>
      <c r="P2912" s="128">
        <v>-83288</v>
      </c>
      <c r="Q2912" s="128">
        <v>0</v>
      </c>
      <c r="R2912" s="128">
        <v>0</v>
      </c>
      <c r="S2912" s="128">
        <v>0</v>
      </c>
      <c r="T2912" s="128">
        <v>-83288</v>
      </c>
      <c r="U2912" s="128">
        <v>0</v>
      </c>
      <c r="V2912" s="128">
        <v>-83288</v>
      </c>
      <c r="W2912" s="128">
        <v>0</v>
      </c>
      <c r="X2912" s="128">
        <v>0</v>
      </c>
      <c r="Y2912" s="128">
        <v>0</v>
      </c>
      <c r="Z2912" s="128">
        <v>-83288</v>
      </c>
      <c r="AA2912" s="128">
        <v>0</v>
      </c>
      <c r="AB2912" s="126">
        <f t="shared" si="296"/>
        <v>8.3288000000000008E-3</v>
      </c>
      <c r="AC2912" s="122" t="s">
        <v>1838</v>
      </c>
      <c r="AD2912" s="123">
        <f t="shared" si="298"/>
        <v>0.4706117179999999</v>
      </c>
    </row>
    <row r="2913" spans="1:30" ht="12.75" hidden="1" customHeight="1">
      <c r="A2913" s="125" t="str">
        <f t="shared" si="293"/>
        <v>LIC175CGST on Mfees -G</v>
      </c>
      <c r="B2913" s="125">
        <f>+IFERROR(VLOOKUP(L2913,'TB mapping'!A:D,4,0),0)</f>
        <v>6.1</v>
      </c>
      <c r="C2913" s="125">
        <f>+IFERROR(VLOOKUP(L2913,'TB mapping'!A:C,3,0),0)</f>
        <v>6.3</v>
      </c>
      <c r="D2913" s="125" t="str">
        <f t="shared" si="294"/>
        <v>LIC1756.1</v>
      </c>
      <c r="E2913" s="125" t="str">
        <f t="shared" si="295"/>
        <v>LIC1756.3</v>
      </c>
      <c r="F2913" s="158" t="str">
        <f>+VLOOKUP(H2913,'code mapping'!A:C,3,0)</f>
        <v>LIC175</v>
      </c>
      <c r="G2913" s="127" t="s">
        <v>453</v>
      </c>
      <c r="H2913" s="127" t="s">
        <v>784</v>
      </c>
      <c r="I2913" s="127" t="s">
        <v>785</v>
      </c>
      <c r="J2913" s="128">
        <v>550000</v>
      </c>
      <c r="K2913" s="127" t="s">
        <v>550</v>
      </c>
      <c r="L2913" s="151">
        <v>555619</v>
      </c>
      <c r="M2913" s="128">
        <v>0</v>
      </c>
      <c r="N2913" s="127" t="s">
        <v>781</v>
      </c>
      <c r="O2913" s="127" t="s">
        <v>457</v>
      </c>
      <c r="P2913" s="128">
        <v>0</v>
      </c>
      <c r="Q2913" s="128">
        <v>22.82</v>
      </c>
      <c r="R2913" s="128">
        <v>0</v>
      </c>
      <c r="S2913" s="128">
        <v>0</v>
      </c>
      <c r="T2913" s="128">
        <v>0</v>
      </c>
      <c r="U2913" s="128">
        <v>22.82</v>
      </c>
      <c r="V2913" s="128">
        <v>0</v>
      </c>
      <c r="W2913" s="128">
        <v>22.82</v>
      </c>
      <c r="X2913" s="128">
        <v>0</v>
      </c>
      <c r="Y2913" s="128">
        <v>0</v>
      </c>
      <c r="Z2913" s="128">
        <v>0</v>
      </c>
      <c r="AA2913" s="128">
        <v>22.82</v>
      </c>
      <c r="AB2913" s="126">
        <f t="shared" si="296"/>
        <v>-2.2819999999999999E-6</v>
      </c>
      <c r="AC2913" s="122" t="s">
        <v>1838</v>
      </c>
      <c r="AD2913" s="123">
        <f t="shared" si="298"/>
        <v>0.4706117179999999</v>
      </c>
    </row>
    <row r="2914" spans="1:30" ht="12.75" hidden="1" customHeight="1">
      <c r="A2914" s="125" t="str">
        <f t="shared" si="293"/>
        <v>LIC175SGST on Mfees -G</v>
      </c>
      <c r="B2914" s="125">
        <f>+IFERROR(VLOOKUP(L2914,'TB mapping'!A:D,4,0),0)</f>
        <v>6.1</v>
      </c>
      <c r="C2914" s="125">
        <f>+IFERROR(VLOOKUP(L2914,'TB mapping'!A:C,3,0),0)</f>
        <v>6.3</v>
      </c>
      <c r="D2914" s="125" t="str">
        <f t="shared" si="294"/>
        <v>LIC1756.1</v>
      </c>
      <c r="E2914" s="125" t="str">
        <f t="shared" si="295"/>
        <v>LIC1756.3</v>
      </c>
      <c r="F2914" s="158" t="str">
        <f>+VLOOKUP(H2914,'code mapping'!A:C,3,0)</f>
        <v>LIC175</v>
      </c>
      <c r="G2914" s="127" t="s">
        <v>453</v>
      </c>
      <c r="H2914" s="127" t="s">
        <v>784</v>
      </c>
      <c r="I2914" s="127" t="s">
        <v>785</v>
      </c>
      <c r="J2914" s="128">
        <v>550000</v>
      </c>
      <c r="K2914" s="127" t="s">
        <v>550</v>
      </c>
      <c r="L2914" s="151">
        <v>555620</v>
      </c>
      <c r="M2914" s="128">
        <v>0</v>
      </c>
      <c r="N2914" s="127" t="s">
        <v>782</v>
      </c>
      <c r="O2914" s="127" t="s">
        <v>457</v>
      </c>
      <c r="P2914" s="128">
        <v>0</v>
      </c>
      <c r="Q2914" s="128">
        <v>22.82</v>
      </c>
      <c r="R2914" s="128">
        <v>0</v>
      </c>
      <c r="S2914" s="128">
        <v>0</v>
      </c>
      <c r="T2914" s="128">
        <v>0</v>
      </c>
      <c r="U2914" s="128">
        <v>22.82</v>
      </c>
      <c r="V2914" s="128">
        <v>0</v>
      </c>
      <c r="W2914" s="128">
        <v>22.82</v>
      </c>
      <c r="X2914" s="128">
        <v>0</v>
      </c>
      <c r="Y2914" s="128">
        <v>0</v>
      </c>
      <c r="Z2914" s="128">
        <v>0</v>
      </c>
      <c r="AA2914" s="128">
        <v>22.82</v>
      </c>
      <c r="AB2914" s="126">
        <f t="shared" si="296"/>
        <v>-2.2819999999999999E-6</v>
      </c>
      <c r="AC2914" s="122" t="s">
        <v>1838</v>
      </c>
      <c r="AD2914" s="123">
        <f t="shared" si="298"/>
        <v>0.4706117179999999</v>
      </c>
    </row>
    <row r="2915" spans="1:30" ht="12.75" hidden="1" customHeight="1">
      <c r="A2915" s="125" t="str">
        <f t="shared" si="293"/>
        <v>LIC175Operating Expenses</v>
      </c>
      <c r="B2915" s="125">
        <f>+IFERROR(VLOOKUP(L2915,'TB mapping'!A:D,4,0),0)</f>
        <v>0</v>
      </c>
      <c r="C2915" s="125">
        <f>+IFERROR(VLOOKUP(L2915,'TB mapping'!A:C,3,0),0)</f>
        <v>6.3</v>
      </c>
      <c r="D2915" s="125" t="str">
        <f t="shared" si="294"/>
        <v>LIC1750</v>
      </c>
      <c r="E2915" s="125" t="str">
        <f t="shared" si="295"/>
        <v>LIC1756.3</v>
      </c>
      <c r="F2915" s="158" t="str">
        <f>+VLOOKUP(H2915,'code mapping'!A:C,3,0)</f>
        <v>LIC175</v>
      </c>
      <c r="G2915" s="127" t="s">
        <v>453</v>
      </c>
      <c r="H2915" s="127" t="s">
        <v>784</v>
      </c>
      <c r="I2915" s="127" t="s">
        <v>785</v>
      </c>
      <c r="J2915" s="128">
        <v>550000</v>
      </c>
      <c r="K2915" s="127" t="s">
        <v>550</v>
      </c>
      <c r="L2915" s="151">
        <v>556421</v>
      </c>
      <c r="M2915" s="128">
        <v>0</v>
      </c>
      <c r="N2915" s="127" t="s">
        <v>578</v>
      </c>
      <c r="O2915" s="127" t="s">
        <v>457</v>
      </c>
      <c r="P2915" s="128">
        <v>-6557.08</v>
      </c>
      <c r="Q2915" s="128">
        <v>0</v>
      </c>
      <c r="R2915" s="128">
        <v>0</v>
      </c>
      <c r="S2915" s="128">
        <v>0</v>
      </c>
      <c r="T2915" s="128">
        <v>-6557.08</v>
      </c>
      <c r="U2915" s="128">
        <v>0</v>
      </c>
      <c r="V2915" s="128">
        <v>-6557.08</v>
      </c>
      <c r="W2915" s="128">
        <v>0</v>
      </c>
      <c r="X2915" s="128">
        <v>0</v>
      </c>
      <c r="Y2915" s="128">
        <v>0</v>
      </c>
      <c r="Z2915" s="128">
        <v>-6557.08</v>
      </c>
      <c r="AA2915" s="128">
        <v>0</v>
      </c>
      <c r="AB2915" s="126">
        <f t="shared" si="296"/>
        <v>6.5570799999999996E-4</v>
      </c>
      <c r="AC2915" s="122" t="s">
        <v>1838</v>
      </c>
      <c r="AD2915" s="123">
        <f t="shared" si="298"/>
        <v>0.4706117179999999</v>
      </c>
    </row>
    <row r="2916" spans="1:30" ht="12.75" hidden="1" customHeight="1">
      <c r="A2916" s="125" t="str">
        <f t="shared" si="293"/>
        <v>LIC175Management Fee</v>
      </c>
      <c r="B2916" s="125">
        <f>+IFERROR(VLOOKUP(L2916,'TB mapping'!A:D,4,0),0)</f>
        <v>6.1</v>
      </c>
      <c r="C2916" s="125">
        <f>+IFERROR(VLOOKUP(L2916,'TB mapping'!A:C,3,0),0)</f>
        <v>6.3</v>
      </c>
      <c r="D2916" s="125" t="str">
        <f t="shared" si="294"/>
        <v>LIC1756.1</v>
      </c>
      <c r="E2916" s="125" t="str">
        <f t="shared" si="295"/>
        <v>LIC1756.3</v>
      </c>
      <c r="F2916" s="158" t="str">
        <f>+VLOOKUP(H2916,'code mapping'!A:C,3,0)</f>
        <v>LIC175</v>
      </c>
      <c r="G2916" s="127" t="s">
        <v>453</v>
      </c>
      <c r="H2916" s="127" t="s">
        <v>784</v>
      </c>
      <c r="I2916" s="127" t="s">
        <v>785</v>
      </c>
      <c r="J2916" s="128">
        <v>555100</v>
      </c>
      <c r="K2916" s="127" t="s">
        <v>579</v>
      </c>
      <c r="L2916" s="151">
        <v>555100</v>
      </c>
      <c r="M2916" s="128">
        <v>0</v>
      </c>
      <c r="N2916" s="127" t="s">
        <v>580</v>
      </c>
      <c r="O2916" s="127" t="s">
        <v>457</v>
      </c>
      <c r="P2916" s="128">
        <v>0</v>
      </c>
      <c r="Q2916" s="128">
        <v>0.06</v>
      </c>
      <c r="R2916" s="128">
        <v>0</v>
      </c>
      <c r="S2916" s="128">
        <v>0</v>
      </c>
      <c r="T2916" s="128">
        <v>0</v>
      </c>
      <c r="U2916" s="128">
        <v>0.06</v>
      </c>
      <c r="V2916" s="128">
        <v>0</v>
      </c>
      <c r="W2916" s="128">
        <v>0.06</v>
      </c>
      <c r="X2916" s="128">
        <v>0</v>
      </c>
      <c r="Y2916" s="128">
        <v>0</v>
      </c>
      <c r="Z2916" s="128">
        <v>0</v>
      </c>
      <c r="AA2916" s="128">
        <v>0.06</v>
      </c>
      <c r="AB2916" s="126">
        <f t="shared" si="296"/>
        <v>-6E-9</v>
      </c>
      <c r="AC2916" s="122" t="s">
        <v>1838</v>
      </c>
      <c r="AD2916" s="123">
        <f t="shared" si="298"/>
        <v>0.4706117179999999</v>
      </c>
    </row>
    <row r="2917" spans="1:30" ht="12.75" hidden="1" customHeight="1">
      <c r="A2917" s="125" t="str">
        <f t="shared" si="293"/>
        <v>LIC175Management Fees-G</v>
      </c>
      <c r="B2917" s="125">
        <f>+IFERROR(VLOOKUP(L2917,'TB mapping'!A:D,4,0),0)</f>
        <v>6.1</v>
      </c>
      <c r="C2917" s="125">
        <f>+IFERROR(VLOOKUP(L2917,'TB mapping'!A:C,3,0),0)</f>
        <v>6.3</v>
      </c>
      <c r="D2917" s="125" t="str">
        <f t="shared" si="294"/>
        <v>LIC1756.1</v>
      </c>
      <c r="E2917" s="125" t="str">
        <f t="shared" si="295"/>
        <v>LIC1756.3</v>
      </c>
      <c r="F2917" s="158" t="str">
        <f>+VLOOKUP(H2917,'code mapping'!A:C,3,0)</f>
        <v>LIC175</v>
      </c>
      <c r="G2917" s="127" t="s">
        <v>453</v>
      </c>
      <c r="H2917" s="127" t="s">
        <v>784</v>
      </c>
      <c r="I2917" s="127" t="s">
        <v>785</v>
      </c>
      <c r="J2917" s="128">
        <v>555100</v>
      </c>
      <c r="K2917" s="127" t="s">
        <v>579</v>
      </c>
      <c r="L2917" s="151">
        <v>555190</v>
      </c>
      <c r="M2917" s="128">
        <v>0</v>
      </c>
      <c r="N2917" s="127" t="s">
        <v>622</v>
      </c>
      <c r="O2917" s="127" t="s">
        <v>457</v>
      </c>
      <c r="P2917" s="128">
        <v>-432543.93</v>
      </c>
      <c r="Q2917" s="128">
        <v>0</v>
      </c>
      <c r="R2917" s="128">
        <v>0</v>
      </c>
      <c r="S2917" s="128">
        <v>0</v>
      </c>
      <c r="T2917" s="128">
        <v>-432543.93</v>
      </c>
      <c r="U2917" s="128">
        <v>0</v>
      </c>
      <c r="V2917" s="128">
        <v>-432543.93</v>
      </c>
      <c r="W2917" s="128">
        <v>0</v>
      </c>
      <c r="X2917" s="128">
        <v>0</v>
      </c>
      <c r="Y2917" s="128">
        <v>0</v>
      </c>
      <c r="Z2917" s="128">
        <v>-432543.93</v>
      </c>
      <c r="AA2917" s="128">
        <v>0</v>
      </c>
      <c r="AB2917" s="126">
        <f t="shared" si="296"/>
        <v>4.3254393000000002E-2</v>
      </c>
      <c r="AC2917" s="122" t="s">
        <v>1838</v>
      </c>
      <c r="AD2917" s="123">
        <f t="shared" si="298"/>
        <v>0.4706117179999999</v>
      </c>
    </row>
    <row r="2918" spans="1:30" ht="12.75" hidden="1" customHeight="1">
      <c r="A2918" s="125" t="str">
        <f t="shared" si="293"/>
        <v>LIC176Investment - Equities</v>
      </c>
      <c r="B2918" s="125">
        <f>+IFERROR(VLOOKUP(L2918,'TB mapping'!A:D,4,0),0)</f>
        <v>0</v>
      </c>
      <c r="C2918" s="125">
        <f>+IFERROR(VLOOKUP(L2918,'TB mapping'!A:C,3,0),0)</f>
        <v>0</v>
      </c>
      <c r="D2918" s="125" t="str">
        <f t="shared" si="294"/>
        <v>LIC1760</v>
      </c>
      <c r="E2918" s="125" t="str">
        <f t="shared" si="295"/>
        <v>LIC1760</v>
      </c>
      <c r="F2918" s="158" t="str">
        <f>+VLOOKUP(H2918,'code mapping'!A:C,3,0)</f>
        <v>LIC176</v>
      </c>
      <c r="G2918" s="127" t="s">
        <v>453</v>
      </c>
      <c r="H2918" s="127" t="s">
        <v>786</v>
      </c>
      <c r="I2918" s="127" t="s">
        <v>787</v>
      </c>
      <c r="J2918" s="128">
        <v>101000</v>
      </c>
      <c r="K2918" s="127" t="s">
        <v>591</v>
      </c>
      <c r="L2918" s="151">
        <v>101100</v>
      </c>
      <c r="M2918" s="128">
        <v>0</v>
      </c>
      <c r="N2918" s="127" t="s">
        <v>592</v>
      </c>
      <c r="O2918" s="127" t="s">
        <v>457</v>
      </c>
      <c r="P2918" s="128">
        <v>-2618847890.1100001</v>
      </c>
      <c r="Q2918" s="128">
        <v>0</v>
      </c>
      <c r="R2918" s="128">
        <v>0</v>
      </c>
      <c r="S2918" s="128">
        <v>0</v>
      </c>
      <c r="T2918" s="128">
        <v>-2618847890.1100001</v>
      </c>
      <c r="U2918" s="128">
        <v>0</v>
      </c>
      <c r="V2918" s="128">
        <v>-2618847890.1100001</v>
      </c>
      <c r="W2918" s="128">
        <v>0</v>
      </c>
      <c r="X2918" s="128">
        <v>0</v>
      </c>
      <c r="Y2918" s="128">
        <v>0</v>
      </c>
      <c r="Z2918" s="128">
        <v>-2618847890.1100001</v>
      </c>
      <c r="AA2918" s="128">
        <v>0</v>
      </c>
      <c r="AB2918" s="126">
        <f t="shared" si="296"/>
        <v>261.88478901100001</v>
      </c>
      <c r="AC2918" s="122" t="s">
        <v>1838</v>
      </c>
      <c r="AD2918" s="123">
        <f t="shared" ref="AD2918:AD2936" si="299">SUMIF(C:C,C2918,AB:AB)</f>
        <v>1983.9723217250009</v>
      </c>
    </row>
    <row r="2919" spans="1:30" ht="12.75" hidden="1" customHeight="1">
      <c r="A2919" s="125" t="str">
        <f t="shared" si="293"/>
        <v>LIC176Investment - CBLO</v>
      </c>
      <c r="B2919" s="125">
        <f>+IFERROR(VLOOKUP(L2919,'TB mapping'!A:D,4,0),0)</f>
        <v>0</v>
      </c>
      <c r="C2919" s="125">
        <f>+IFERROR(VLOOKUP(L2919,'TB mapping'!A:C,3,0),0)</f>
        <v>0</v>
      </c>
      <c r="D2919" s="125" t="str">
        <f t="shared" si="294"/>
        <v>LIC1760</v>
      </c>
      <c r="E2919" s="125" t="str">
        <f t="shared" si="295"/>
        <v>LIC1760</v>
      </c>
      <c r="F2919" s="158" t="str">
        <f>+VLOOKUP(H2919,'code mapping'!A:C,3,0)</f>
        <v>LIC176</v>
      </c>
      <c r="G2919" s="127" t="s">
        <v>453</v>
      </c>
      <c r="H2919" s="127" t="s">
        <v>786</v>
      </c>
      <c r="I2919" s="127" t="s">
        <v>787</v>
      </c>
      <c r="J2919" s="128">
        <v>110000</v>
      </c>
      <c r="K2919" s="127" t="s">
        <v>462</v>
      </c>
      <c r="L2919" s="151">
        <v>110100</v>
      </c>
      <c r="M2919" s="128">
        <v>0</v>
      </c>
      <c r="N2919" s="127" t="s">
        <v>463</v>
      </c>
      <c r="O2919" s="127" t="s">
        <v>457</v>
      </c>
      <c r="P2919" s="128">
        <v>-6956841.1799999997</v>
      </c>
      <c r="Q2919" s="128">
        <v>0</v>
      </c>
      <c r="R2919" s="128">
        <v>0</v>
      </c>
      <c r="S2919" s="128">
        <v>0</v>
      </c>
      <c r="T2919" s="128">
        <v>-6956841.1799999997</v>
      </c>
      <c r="U2919" s="128">
        <v>0</v>
      </c>
      <c r="V2919" s="128">
        <v>-6956841.1799999997</v>
      </c>
      <c r="W2919" s="128">
        <v>0</v>
      </c>
      <c r="X2919" s="128">
        <v>0</v>
      </c>
      <c r="Y2919" s="128">
        <v>0</v>
      </c>
      <c r="Z2919" s="128">
        <v>-6956841.1799999997</v>
      </c>
      <c r="AA2919" s="128">
        <v>0</v>
      </c>
      <c r="AB2919" s="126">
        <f t="shared" si="296"/>
        <v>0.69568411799999996</v>
      </c>
      <c r="AC2919" s="122" t="s">
        <v>1838</v>
      </c>
      <c r="AD2919" s="123">
        <f t="shared" si="299"/>
        <v>1983.9723217250009</v>
      </c>
    </row>
    <row r="2920" spans="1:30" ht="12.75" hidden="1" customHeight="1">
      <c r="A2920" s="125" t="str">
        <f t="shared" si="293"/>
        <v>LIC176Dividend Receivable</v>
      </c>
      <c r="B2920" s="125">
        <f>+IFERROR(VLOOKUP(L2920,'TB mapping'!A:D,4,0),0)</f>
        <v>0</v>
      </c>
      <c r="C2920" s="125">
        <f>+IFERROR(VLOOKUP(L2920,'TB mapping'!A:C,3,0),0)</f>
        <v>0</v>
      </c>
      <c r="D2920" s="125" t="str">
        <f t="shared" si="294"/>
        <v>LIC1760</v>
      </c>
      <c r="E2920" s="125" t="str">
        <f t="shared" si="295"/>
        <v>LIC1760</v>
      </c>
      <c r="F2920" s="158" t="str">
        <f>+VLOOKUP(H2920,'code mapping'!A:C,3,0)</f>
        <v>LIC176</v>
      </c>
      <c r="G2920" s="127" t="s">
        <v>453</v>
      </c>
      <c r="H2920" s="127" t="s">
        <v>786</v>
      </c>
      <c r="I2920" s="127" t="s">
        <v>787</v>
      </c>
      <c r="J2920" s="128">
        <v>132000</v>
      </c>
      <c r="K2920" s="127" t="s">
        <v>466</v>
      </c>
      <c r="L2920" s="151">
        <v>132100</v>
      </c>
      <c r="M2920" s="128">
        <v>0</v>
      </c>
      <c r="N2920" s="127" t="s">
        <v>593</v>
      </c>
      <c r="O2920" s="127" t="s">
        <v>457</v>
      </c>
      <c r="P2920" s="128">
        <v>-583989</v>
      </c>
      <c r="Q2920" s="128">
        <v>0</v>
      </c>
      <c r="R2920" s="128">
        <v>0</v>
      </c>
      <c r="S2920" s="128">
        <v>0</v>
      </c>
      <c r="T2920" s="128">
        <v>-583989</v>
      </c>
      <c r="U2920" s="128">
        <v>0</v>
      </c>
      <c r="V2920" s="128">
        <v>-583989</v>
      </c>
      <c r="W2920" s="128">
        <v>0</v>
      </c>
      <c r="X2920" s="128">
        <v>0</v>
      </c>
      <c r="Y2920" s="128">
        <v>0</v>
      </c>
      <c r="Z2920" s="128">
        <v>-583989</v>
      </c>
      <c r="AA2920" s="128">
        <v>0</v>
      </c>
      <c r="AB2920" s="126">
        <f t="shared" si="296"/>
        <v>5.8398899999999997E-2</v>
      </c>
      <c r="AC2920" s="122" t="s">
        <v>1838</v>
      </c>
      <c r="AD2920" s="123">
        <f t="shared" si="299"/>
        <v>1983.9723217250009</v>
      </c>
    </row>
    <row r="2921" spans="1:30" ht="12.75" hidden="1" customHeight="1">
      <c r="A2921" s="125" t="str">
        <f t="shared" si="293"/>
        <v>LIC176Receivable from AMC</v>
      </c>
      <c r="B2921" s="125">
        <f>+IFERROR(VLOOKUP(L2921,'TB mapping'!A:D,4,0),0)</f>
        <v>0</v>
      </c>
      <c r="C2921" s="125">
        <f>+IFERROR(VLOOKUP(L2921,'TB mapping'!A:C,3,0),0)</f>
        <v>0</v>
      </c>
      <c r="D2921" s="125" t="str">
        <f t="shared" si="294"/>
        <v>LIC1760</v>
      </c>
      <c r="E2921" s="125" t="str">
        <f t="shared" si="295"/>
        <v>LIC1760</v>
      </c>
      <c r="F2921" s="158" t="str">
        <f>+VLOOKUP(H2921,'code mapping'!A:C,3,0)</f>
        <v>LIC176</v>
      </c>
      <c r="G2921" s="127" t="s">
        <v>453</v>
      </c>
      <c r="H2921" s="127" t="s">
        <v>786</v>
      </c>
      <c r="I2921" s="127" t="s">
        <v>787</v>
      </c>
      <c r="J2921" s="128">
        <v>132000</v>
      </c>
      <c r="K2921" s="127" t="s">
        <v>466</v>
      </c>
      <c r="L2921" s="151">
        <v>152400</v>
      </c>
      <c r="M2921" s="128">
        <v>0</v>
      </c>
      <c r="N2921" s="127" t="s">
        <v>471</v>
      </c>
      <c r="O2921" s="127" t="s">
        <v>457</v>
      </c>
      <c r="P2921" s="128">
        <v>-818.7</v>
      </c>
      <c r="Q2921" s="128">
        <v>0</v>
      </c>
      <c r="R2921" s="128">
        <v>0</v>
      </c>
      <c r="S2921" s="128">
        <v>0</v>
      </c>
      <c r="T2921" s="128">
        <v>-818.7</v>
      </c>
      <c r="U2921" s="128">
        <v>0</v>
      </c>
      <c r="V2921" s="128">
        <v>-818.7</v>
      </c>
      <c r="W2921" s="128">
        <v>0</v>
      </c>
      <c r="X2921" s="128">
        <v>0</v>
      </c>
      <c r="Y2921" s="128">
        <v>0</v>
      </c>
      <c r="Z2921" s="128">
        <v>-818.7</v>
      </c>
      <c r="AA2921" s="128">
        <v>0</v>
      </c>
      <c r="AB2921" s="126">
        <f t="shared" si="296"/>
        <v>8.187E-5</v>
      </c>
      <c r="AC2921" s="122" t="s">
        <v>1838</v>
      </c>
      <c r="AD2921" s="123">
        <f t="shared" si="299"/>
        <v>1983.9723217250009</v>
      </c>
    </row>
    <row r="2922" spans="1:30" ht="12.75" hidden="1" customHeight="1">
      <c r="A2922" s="125" t="str">
        <f t="shared" si="293"/>
        <v>LIC176HDFC Current Account</v>
      </c>
      <c r="B2922" s="125">
        <f>+IFERROR(VLOOKUP(L2922,'TB mapping'!A:D,4,0),0)</f>
        <v>0</v>
      </c>
      <c r="C2922" s="125">
        <f>+IFERROR(VLOOKUP(L2922,'TB mapping'!A:C,3,0),0)</f>
        <v>0</v>
      </c>
      <c r="D2922" s="125" t="str">
        <f t="shared" si="294"/>
        <v>LIC1760</v>
      </c>
      <c r="E2922" s="125" t="str">
        <f t="shared" si="295"/>
        <v>LIC1760</v>
      </c>
      <c r="F2922" s="158" t="str">
        <f>+VLOOKUP(H2922,'code mapping'!A:C,3,0)</f>
        <v>LIC176</v>
      </c>
      <c r="G2922" s="127" t="s">
        <v>453</v>
      </c>
      <c r="H2922" s="127" t="s">
        <v>786</v>
      </c>
      <c r="I2922" s="127" t="s">
        <v>787</v>
      </c>
      <c r="J2922" s="128">
        <v>140000</v>
      </c>
      <c r="K2922" s="127" t="s">
        <v>472</v>
      </c>
      <c r="L2922" s="151">
        <v>140330</v>
      </c>
      <c r="M2922" s="128">
        <v>0</v>
      </c>
      <c r="N2922" s="127" t="s">
        <v>475</v>
      </c>
      <c r="O2922" s="127" t="s">
        <v>457</v>
      </c>
      <c r="P2922" s="128">
        <v>0</v>
      </c>
      <c r="Q2922" s="128">
        <v>0.03</v>
      </c>
      <c r="R2922" s="128">
        <v>0</v>
      </c>
      <c r="S2922" s="128">
        <v>0</v>
      </c>
      <c r="T2922" s="128">
        <v>0</v>
      </c>
      <c r="U2922" s="128">
        <v>0.03</v>
      </c>
      <c r="V2922" s="128">
        <v>0</v>
      </c>
      <c r="W2922" s="128">
        <v>0.03</v>
      </c>
      <c r="X2922" s="128">
        <v>0</v>
      </c>
      <c r="Y2922" s="128">
        <v>0</v>
      </c>
      <c r="Z2922" s="128">
        <v>0</v>
      </c>
      <c r="AA2922" s="128">
        <v>0.03</v>
      </c>
      <c r="AB2922" s="126">
        <f t="shared" si="296"/>
        <v>-3E-9</v>
      </c>
      <c r="AC2922" s="122" t="s">
        <v>1838</v>
      </c>
      <c r="AD2922" s="123">
        <f t="shared" si="299"/>
        <v>1983.9723217250009</v>
      </c>
    </row>
    <row r="2923" spans="1:30" ht="12.75" hidden="1" customHeight="1">
      <c r="A2923" s="125" t="str">
        <f t="shared" si="293"/>
        <v>LIC176HDFC Bank Ltd</v>
      </c>
      <c r="B2923" s="125">
        <f>+IFERROR(VLOOKUP(L2923,'TB mapping'!A:D,4,0),0)</f>
        <v>0</v>
      </c>
      <c r="C2923" s="125">
        <f>+IFERROR(VLOOKUP(L2923,'TB mapping'!A:C,3,0),0)</f>
        <v>0</v>
      </c>
      <c r="D2923" s="125" t="str">
        <f t="shared" si="294"/>
        <v>LIC1760</v>
      </c>
      <c r="E2923" s="125" t="str">
        <f t="shared" si="295"/>
        <v>LIC1760</v>
      </c>
      <c r="F2923" s="158" t="str">
        <f>+VLOOKUP(H2923,'code mapping'!A:C,3,0)</f>
        <v>LIC176</v>
      </c>
      <c r="G2923" s="127" t="s">
        <v>453</v>
      </c>
      <c r="H2923" s="127" t="s">
        <v>786</v>
      </c>
      <c r="I2923" s="127" t="s">
        <v>787</v>
      </c>
      <c r="J2923" s="128">
        <v>140000</v>
      </c>
      <c r="K2923" s="127" t="s">
        <v>472</v>
      </c>
      <c r="L2923" s="151">
        <v>140372</v>
      </c>
      <c r="M2923" s="128">
        <v>0</v>
      </c>
      <c r="N2923" s="127" t="s">
        <v>476</v>
      </c>
      <c r="O2923" s="127" t="s">
        <v>457</v>
      </c>
      <c r="P2923" s="128">
        <v>0</v>
      </c>
      <c r="Q2923" s="128">
        <v>1.98</v>
      </c>
      <c r="R2923" s="128">
        <v>0</v>
      </c>
      <c r="S2923" s="128">
        <v>0</v>
      </c>
      <c r="T2923" s="128">
        <v>0</v>
      </c>
      <c r="U2923" s="128">
        <v>1.98</v>
      </c>
      <c r="V2923" s="128">
        <v>0</v>
      </c>
      <c r="W2923" s="128">
        <v>1.98</v>
      </c>
      <c r="X2923" s="128">
        <v>0</v>
      </c>
      <c r="Y2923" s="128">
        <v>0</v>
      </c>
      <c r="Z2923" s="128">
        <v>0</v>
      </c>
      <c r="AA2923" s="128">
        <v>1.98</v>
      </c>
      <c r="AB2923" s="126">
        <f t="shared" si="296"/>
        <v>-1.98E-7</v>
      </c>
      <c r="AC2923" s="122" t="s">
        <v>1838</v>
      </c>
      <c r="AD2923" s="123">
        <f t="shared" si="299"/>
        <v>1983.9723217250009</v>
      </c>
    </row>
    <row r="2924" spans="1:30" ht="12.75" hidden="1" customHeight="1">
      <c r="A2924" s="125" t="str">
        <f t="shared" si="293"/>
        <v>LIC176Standard Chartered Bank- India</v>
      </c>
      <c r="B2924" s="125">
        <f>+IFERROR(VLOOKUP(L2924,'TB mapping'!A:D,4,0),0)</f>
        <v>0</v>
      </c>
      <c r="C2924" s="125">
        <f>+IFERROR(VLOOKUP(L2924,'TB mapping'!A:C,3,0),0)</f>
        <v>0</v>
      </c>
      <c r="D2924" s="125" t="str">
        <f t="shared" si="294"/>
        <v>LIC1760</v>
      </c>
      <c r="E2924" s="125" t="str">
        <f t="shared" si="295"/>
        <v>LIC1760</v>
      </c>
      <c r="F2924" s="158" t="str">
        <f>+VLOOKUP(H2924,'code mapping'!A:C,3,0)</f>
        <v>LIC176</v>
      </c>
      <c r="G2924" s="127" t="s">
        <v>453</v>
      </c>
      <c r="H2924" s="127" t="s">
        <v>786</v>
      </c>
      <c r="I2924" s="127" t="s">
        <v>787</v>
      </c>
      <c r="J2924" s="128">
        <v>140000</v>
      </c>
      <c r="K2924" s="127" t="s">
        <v>472</v>
      </c>
      <c r="L2924" s="151">
        <v>140500</v>
      </c>
      <c r="M2924" s="128">
        <v>0</v>
      </c>
      <c r="N2924" s="127" t="s">
        <v>477</v>
      </c>
      <c r="O2924" s="127" t="s">
        <v>457</v>
      </c>
      <c r="P2924" s="128">
        <v>-4670.43</v>
      </c>
      <c r="Q2924" s="128">
        <v>0</v>
      </c>
      <c r="R2924" s="128">
        <v>0</v>
      </c>
      <c r="S2924" s="128">
        <v>0</v>
      </c>
      <c r="T2924" s="128">
        <v>-4670.43</v>
      </c>
      <c r="U2924" s="128">
        <v>0</v>
      </c>
      <c r="V2924" s="128">
        <v>-4670.43</v>
      </c>
      <c r="W2924" s="128">
        <v>0</v>
      </c>
      <c r="X2924" s="128">
        <v>0</v>
      </c>
      <c r="Y2924" s="128">
        <v>0</v>
      </c>
      <c r="Z2924" s="128">
        <v>-4670.43</v>
      </c>
      <c r="AA2924" s="128">
        <v>0</v>
      </c>
      <c r="AB2924" s="126">
        <f t="shared" si="296"/>
        <v>4.6704300000000005E-4</v>
      </c>
      <c r="AC2924" s="122" t="s">
        <v>1838</v>
      </c>
      <c r="AD2924" s="123">
        <f t="shared" si="299"/>
        <v>1983.9723217250009</v>
      </c>
    </row>
    <row r="2925" spans="1:30" ht="12.75" hidden="1" customHeight="1">
      <c r="A2925" s="125" t="str">
        <f t="shared" si="293"/>
        <v>LIC176Amort Receivable - CBLO</v>
      </c>
      <c r="B2925" s="125">
        <f>+IFERROR(VLOOKUP(L2925,'TB mapping'!A:D,4,0),0)</f>
        <v>0</v>
      </c>
      <c r="C2925" s="125">
        <f>+IFERROR(VLOOKUP(L2925,'TB mapping'!A:C,3,0),0)</f>
        <v>0</v>
      </c>
      <c r="D2925" s="125" t="str">
        <f t="shared" si="294"/>
        <v>LIC1760</v>
      </c>
      <c r="E2925" s="125" t="str">
        <f t="shared" si="295"/>
        <v>LIC1760</v>
      </c>
      <c r="F2925" s="158" t="str">
        <f>+VLOOKUP(H2925,'code mapping'!A:C,3,0)</f>
        <v>LIC176</v>
      </c>
      <c r="G2925" s="127" t="s">
        <v>453</v>
      </c>
      <c r="H2925" s="127" t="s">
        <v>786</v>
      </c>
      <c r="I2925" s="127" t="s">
        <v>787</v>
      </c>
      <c r="J2925" s="128">
        <v>152000</v>
      </c>
      <c r="K2925" s="127" t="s">
        <v>478</v>
      </c>
      <c r="L2925" s="151">
        <v>152232</v>
      </c>
      <c r="M2925" s="128">
        <v>0</v>
      </c>
      <c r="N2925" s="127" t="s">
        <v>482</v>
      </c>
      <c r="O2925" s="127" t="s">
        <v>457</v>
      </c>
      <c r="P2925" s="128">
        <v>-3112.34</v>
      </c>
      <c r="Q2925" s="128">
        <v>0</v>
      </c>
      <c r="R2925" s="128">
        <v>0</v>
      </c>
      <c r="S2925" s="128">
        <v>0</v>
      </c>
      <c r="T2925" s="128">
        <v>-3112.34</v>
      </c>
      <c r="U2925" s="128">
        <v>0</v>
      </c>
      <c r="V2925" s="128">
        <v>-3112.34</v>
      </c>
      <c r="W2925" s="128">
        <v>0</v>
      </c>
      <c r="X2925" s="128">
        <v>0</v>
      </c>
      <c r="Y2925" s="128">
        <v>0</v>
      </c>
      <c r="Z2925" s="128">
        <v>-3112.34</v>
      </c>
      <c r="AA2925" s="128">
        <v>0</v>
      </c>
      <c r="AB2925" s="126">
        <f t="shared" si="296"/>
        <v>3.1123400000000002E-4</v>
      </c>
      <c r="AC2925" s="122" t="s">
        <v>1838</v>
      </c>
      <c r="AD2925" s="123">
        <f t="shared" si="299"/>
        <v>1983.9723217250009</v>
      </c>
    </row>
    <row r="2926" spans="1:30" ht="12.75" hidden="1" customHeight="1">
      <c r="A2926" s="125" t="str">
        <f t="shared" si="293"/>
        <v>LIC176Prov Unr P/L - Equities</v>
      </c>
      <c r="B2926" s="125">
        <f>+IFERROR(VLOOKUP(L2926,'TB mapping'!A:D,4,0),0)</f>
        <v>0</v>
      </c>
      <c r="C2926" s="125">
        <f>+IFERROR(VLOOKUP(L2926,'TB mapping'!A:C,3,0),0)</f>
        <v>0</v>
      </c>
      <c r="D2926" s="125" t="str">
        <f t="shared" si="294"/>
        <v>LIC1760</v>
      </c>
      <c r="E2926" s="125" t="str">
        <f t="shared" si="295"/>
        <v>LIC1760</v>
      </c>
      <c r="F2926" s="158" t="str">
        <f>+VLOOKUP(H2926,'code mapping'!A:C,3,0)</f>
        <v>LIC176</v>
      </c>
      <c r="G2926" s="127" t="s">
        <v>453</v>
      </c>
      <c r="H2926" s="127" t="s">
        <v>786</v>
      </c>
      <c r="I2926" s="127" t="s">
        <v>787</v>
      </c>
      <c r="J2926" s="128">
        <v>160000</v>
      </c>
      <c r="K2926" s="127" t="s">
        <v>483</v>
      </c>
      <c r="L2926" s="151">
        <v>161100</v>
      </c>
      <c r="M2926" s="128">
        <v>0</v>
      </c>
      <c r="N2926" s="127" t="s">
        <v>595</v>
      </c>
      <c r="O2926" s="127" t="s">
        <v>457</v>
      </c>
      <c r="P2926" s="128">
        <v>-642169516.13999999</v>
      </c>
      <c r="Q2926" s="128">
        <v>0</v>
      </c>
      <c r="R2926" s="128">
        <v>0</v>
      </c>
      <c r="S2926" s="128">
        <v>0</v>
      </c>
      <c r="T2926" s="128">
        <v>-642169516.13999999</v>
      </c>
      <c r="U2926" s="128">
        <v>0</v>
      </c>
      <c r="V2926" s="128">
        <v>-642169516.13999999</v>
      </c>
      <c r="W2926" s="128">
        <v>0</v>
      </c>
      <c r="X2926" s="128">
        <v>0</v>
      </c>
      <c r="Y2926" s="128">
        <v>0</v>
      </c>
      <c r="Z2926" s="128">
        <v>-642169516.13999999</v>
      </c>
      <c r="AA2926" s="128">
        <v>0</v>
      </c>
      <c r="AB2926" s="126">
        <f t="shared" si="296"/>
        <v>64.216951613999996</v>
      </c>
      <c r="AC2926" s="122" t="s">
        <v>1838</v>
      </c>
      <c r="AD2926" s="123">
        <f t="shared" si="299"/>
        <v>1983.9723217250009</v>
      </c>
    </row>
    <row r="2927" spans="1:30" ht="12.75" hidden="1" customHeight="1">
      <c r="A2927" s="125" t="str">
        <f t="shared" si="293"/>
        <v>LIC176Audit Fee-Payable</v>
      </c>
      <c r="B2927" s="125">
        <f>+IFERROR(VLOOKUP(L2927,'TB mapping'!A:D,4,0),0)</f>
        <v>0</v>
      </c>
      <c r="C2927" s="125">
        <f>+IFERROR(VLOOKUP(L2927,'TB mapping'!A:C,3,0),0)</f>
        <v>0</v>
      </c>
      <c r="D2927" s="125" t="str">
        <f t="shared" si="294"/>
        <v>LIC1760</v>
      </c>
      <c r="E2927" s="125" t="str">
        <f t="shared" si="295"/>
        <v>LIC1760</v>
      </c>
      <c r="F2927" s="158" t="str">
        <f>+VLOOKUP(H2927,'code mapping'!A:C,3,0)</f>
        <v>LIC176</v>
      </c>
      <c r="G2927" s="127" t="s">
        <v>453</v>
      </c>
      <c r="H2927" s="127" t="s">
        <v>786</v>
      </c>
      <c r="I2927" s="127" t="s">
        <v>787</v>
      </c>
      <c r="J2927" s="128">
        <v>212000</v>
      </c>
      <c r="K2927" s="127" t="s">
        <v>487</v>
      </c>
      <c r="L2927" s="151">
        <v>212194</v>
      </c>
      <c r="M2927" s="128">
        <v>0</v>
      </c>
      <c r="N2927" s="127" t="s">
        <v>496</v>
      </c>
      <c r="O2927" s="127" t="s">
        <v>457</v>
      </c>
      <c r="P2927" s="128">
        <v>-77.38</v>
      </c>
      <c r="Q2927" s="128">
        <v>0</v>
      </c>
      <c r="R2927" s="128">
        <v>0</v>
      </c>
      <c r="S2927" s="128">
        <v>0</v>
      </c>
      <c r="T2927" s="128">
        <v>-77.38</v>
      </c>
      <c r="U2927" s="128">
        <v>0</v>
      </c>
      <c r="V2927" s="128">
        <v>-77.38</v>
      </c>
      <c r="W2927" s="128">
        <v>0</v>
      </c>
      <c r="X2927" s="128">
        <v>0</v>
      </c>
      <c r="Y2927" s="128">
        <v>0</v>
      </c>
      <c r="Z2927" s="128">
        <v>-77.38</v>
      </c>
      <c r="AA2927" s="128">
        <v>0</v>
      </c>
      <c r="AB2927" s="126">
        <f t="shared" si="296"/>
        <v>7.7379999999999994E-6</v>
      </c>
      <c r="AC2927" s="122" t="s">
        <v>1838</v>
      </c>
      <c r="AD2927" s="123">
        <f t="shared" si="299"/>
        <v>1983.9723217250009</v>
      </c>
    </row>
    <row r="2928" spans="1:30" ht="12.75" hidden="1" customHeight="1">
      <c r="A2928" s="125" t="str">
        <f t="shared" si="293"/>
        <v>LIC176Other Exp- Payable</v>
      </c>
      <c r="B2928" s="125">
        <f>+IFERROR(VLOOKUP(L2928,'TB mapping'!A:D,4,0),0)</f>
        <v>0</v>
      </c>
      <c r="C2928" s="125">
        <f>+IFERROR(VLOOKUP(L2928,'TB mapping'!A:C,3,0),0)</f>
        <v>0</v>
      </c>
      <c r="D2928" s="125" t="str">
        <f t="shared" si="294"/>
        <v>LIC1760</v>
      </c>
      <c r="E2928" s="125" t="str">
        <f t="shared" si="295"/>
        <v>LIC1760</v>
      </c>
      <c r="F2928" s="158" t="str">
        <f>+VLOOKUP(H2928,'code mapping'!A:C,3,0)</f>
        <v>LIC176</v>
      </c>
      <c r="G2928" s="127" t="s">
        <v>453</v>
      </c>
      <c r="H2928" s="127" t="s">
        <v>786</v>
      </c>
      <c r="I2928" s="127" t="s">
        <v>787</v>
      </c>
      <c r="J2928" s="128">
        <v>212000</v>
      </c>
      <c r="K2928" s="127" t="s">
        <v>487</v>
      </c>
      <c r="L2928" s="151">
        <v>212220</v>
      </c>
      <c r="M2928" s="128">
        <v>0</v>
      </c>
      <c r="N2928" s="127" t="s">
        <v>497</v>
      </c>
      <c r="O2928" s="127" t="s">
        <v>457</v>
      </c>
      <c r="P2928" s="128">
        <v>0</v>
      </c>
      <c r="Q2928" s="128">
        <v>1616663.61</v>
      </c>
      <c r="R2928" s="128">
        <v>0</v>
      </c>
      <c r="S2928" s="128">
        <v>0</v>
      </c>
      <c r="T2928" s="128">
        <v>0</v>
      </c>
      <c r="U2928" s="128">
        <v>1616663.61</v>
      </c>
      <c r="V2928" s="128">
        <v>0</v>
      </c>
      <c r="W2928" s="128">
        <v>1616663.61</v>
      </c>
      <c r="X2928" s="128">
        <v>0</v>
      </c>
      <c r="Y2928" s="128">
        <v>0</v>
      </c>
      <c r="Z2928" s="128">
        <v>0</v>
      </c>
      <c r="AA2928" s="128">
        <v>1616663.61</v>
      </c>
      <c r="AB2928" s="126">
        <f t="shared" si="296"/>
        <v>-0.16166636100000001</v>
      </c>
      <c r="AC2928" s="122" t="s">
        <v>1838</v>
      </c>
      <c r="AD2928" s="123">
        <f t="shared" si="299"/>
        <v>1983.9723217250009</v>
      </c>
    </row>
    <row r="2929" spans="1:30" ht="12.75" hidden="1" customHeight="1">
      <c r="A2929" s="125" t="str">
        <f t="shared" si="293"/>
        <v>LIC176Expense Allocation-Liab'ity Ac</v>
      </c>
      <c r="B2929" s="125">
        <f>+IFERROR(VLOOKUP(L2929,'TB mapping'!A:D,4,0),0)</f>
        <v>0</v>
      </c>
      <c r="C2929" s="125">
        <f>+IFERROR(VLOOKUP(L2929,'TB mapping'!A:C,3,0),0)</f>
        <v>0</v>
      </c>
      <c r="D2929" s="125" t="str">
        <f t="shared" si="294"/>
        <v>LIC1760</v>
      </c>
      <c r="E2929" s="125" t="str">
        <f t="shared" si="295"/>
        <v>LIC1760</v>
      </c>
      <c r="F2929" s="158" t="str">
        <f>+VLOOKUP(H2929,'code mapping'!A:C,3,0)</f>
        <v>LIC176</v>
      </c>
      <c r="G2929" s="127" t="s">
        <v>453</v>
      </c>
      <c r="H2929" s="127" t="s">
        <v>786</v>
      </c>
      <c r="I2929" s="127" t="s">
        <v>787</v>
      </c>
      <c r="J2929" s="128">
        <v>212000</v>
      </c>
      <c r="K2929" s="127" t="s">
        <v>487</v>
      </c>
      <c r="L2929" s="151">
        <v>212223</v>
      </c>
      <c r="M2929" s="128">
        <v>0</v>
      </c>
      <c r="N2929" s="127" t="s">
        <v>498</v>
      </c>
      <c r="O2929" s="127" t="s">
        <v>457</v>
      </c>
      <c r="P2929" s="128">
        <v>-1021372.88</v>
      </c>
      <c r="Q2929" s="128">
        <v>0</v>
      </c>
      <c r="R2929" s="128">
        <v>0</v>
      </c>
      <c r="S2929" s="128">
        <v>0</v>
      </c>
      <c r="T2929" s="128">
        <v>-1021372.88</v>
      </c>
      <c r="U2929" s="128">
        <v>0</v>
      </c>
      <c r="V2929" s="128">
        <v>-1021372.88</v>
      </c>
      <c r="W2929" s="128">
        <v>0</v>
      </c>
      <c r="X2929" s="128">
        <v>0</v>
      </c>
      <c r="Y2929" s="128">
        <v>0</v>
      </c>
      <c r="Z2929" s="128">
        <v>-1021372.88</v>
      </c>
      <c r="AA2929" s="128">
        <v>0</v>
      </c>
      <c r="AB2929" s="126">
        <f t="shared" si="296"/>
        <v>0.10213728800000001</v>
      </c>
      <c r="AC2929" s="122" t="s">
        <v>1838</v>
      </c>
      <c r="AD2929" s="123">
        <f t="shared" si="299"/>
        <v>1983.9723217250009</v>
      </c>
    </row>
    <row r="2930" spans="1:30" ht="12.75" hidden="1" customHeight="1">
      <c r="A2930" s="125" t="str">
        <f t="shared" si="293"/>
        <v>LIC176Investor Education Payable</v>
      </c>
      <c r="B2930" s="125">
        <f>+IFERROR(VLOOKUP(L2930,'TB mapping'!A:D,4,0),0)</f>
        <v>0</v>
      </c>
      <c r="C2930" s="125">
        <f>+IFERROR(VLOOKUP(L2930,'TB mapping'!A:C,3,0),0)</f>
        <v>0</v>
      </c>
      <c r="D2930" s="125" t="str">
        <f t="shared" si="294"/>
        <v>LIC1760</v>
      </c>
      <c r="E2930" s="125" t="str">
        <f t="shared" si="295"/>
        <v>LIC1760</v>
      </c>
      <c r="F2930" s="158" t="str">
        <f>+VLOOKUP(H2930,'code mapping'!A:C,3,0)</f>
        <v>LIC176</v>
      </c>
      <c r="G2930" s="127" t="s">
        <v>453</v>
      </c>
      <c r="H2930" s="127" t="s">
        <v>786</v>
      </c>
      <c r="I2930" s="127" t="s">
        <v>787</v>
      </c>
      <c r="J2930" s="128">
        <v>212000</v>
      </c>
      <c r="K2930" s="127" t="s">
        <v>487</v>
      </c>
      <c r="L2930" s="151">
        <v>212240</v>
      </c>
      <c r="M2930" s="128">
        <v>0</v>
      </c>
      <c r="N2930" s="127" t="s">
        <v>500</v>
      </c>
      <c r="O2930" s="127" t="s">
        <v>457</v>
      </c>
      <c r="P2930" s="128">
        <v>0</v>
      </c>
      <c r="Q2930" s="128">
        <v>28020.34</v>
      </c>
      <c r="R2930" s="128">
        <v>0</v>
      </c>
      <c r="S2930" s="128">
        <v>0</v>
      </c>
      <c r="T2930" s="128">
        <v>0</v>
      </c>
      <c r="U2930" s="128">
        <v>28020.34</v>
      </c>
      <c r="V2930" s="128">
        <v>0</v>
      </c>
      <c r="W2930" s="128">
        <v>28020.34</v>
      </c>
      <c r="X2930" s="128">
        <v>0</v>
      </c>
      <c r="Y2930" s="128">
        <v>0</v>
      </c>
      <c r="Z2930" s="128">
        <v>0</v>
      </c>
      <c r="AA2930" s="128">
        <v>28020.34</v>
      </c>
      <c r="AB2930" s="126">
        <f t="shared" si="296"/>
        <v>-2.8020340000000001E-3</v>
      </c>
      <c r="AC2930" s="122" t="s">
        <v>1838</v>
      </c>
      <c r="AD2930" s="123">
        <f t="shared" si="299"/>
        <v>1983.9723217250009</v>
      </c>
    </row>
    <row r="2931" spans="1:30" ht="12.75" hidden="1" customHeight="1">
      <c r="A2931" s="125" t="str">
        <f t="shared" si="293"/>
        <v>LIC176Brokerage &amp; Dist Exp Payable</v>
      </c>
      <c r="B2931" s="125">
        <f>+IFERROR(VLOOKUP(L2931,'TB mapping'!A:D,4,0),0)</f>
        <v>0</v>
      </c>
      <c r="C2931" s="125">
        <f>+IFERROR(VLOOKUP(L2931,'TB mapping'!A:C,3,0),0)</f>
        <v>0</v>
      </c>
      <c r="D2931" s="125" t="str">
        <f t="shared" si="294"/>
        <v>LIC1760</v>
      </c>
      <c r="E2931" s="125" t="str">
        <f t="shared" si="295"/>
        <v>LIC1760</v>
      </c>
      <c r="F2931" s="158" t="str">
        <f>+VLOOKUP(H2931,'code mapping'!A:C,3,0)</f>
        <v>LIC176</v>
      </c>
      <c r="G2931" s="127" t="s">
        <v>453</v>
      </c>
      <c r="H2931" s="127" t="s">
        <v>786</v>
      </c>
      <c r="I2931" s="127" t="s">
        <v>787</v>
      </c>
      <c r="J2931" s="128">
        <v>212000</v>
      </c>
      <c r="K2931" s="127" t="s">
        <v>487</v>
      </c>
      <c r="L2931" s="151">
        <v>212255</v>
      </c>
      <c r="M2931" s="128">
        <v>0</v>
      </c>
      <c r="N2931" s="127" t="s">
        <v>503</v>
      </c>
      <c r="O2931" s="127" t="s">
        <v>457</v>
      </c>
      <c r="P2931" s="128">
        <v>0</v>
      </c>
      <c r="Q2931" s="128">
        <v>88747.76</v>
      </c>
      <c r="R2931" s="128">
        <v>0</v>
      </c>
      <c r="S2931" s="128">
        <v>0</v>
      </c>
      <c r="T2931" s="128">
        <v>0</v>
      </c>
      <c r="U2931" s="128">
        <v>88747.76</v>
      </c>
      <c r="V2931" s="128">
        <v>0</v>
      </c>
      <c r="W2931" s="128">
        <v>88747.76</v>
      </c>
      <c r="X2931" s="128">
        <v>0</v>
      </c>
      <c r="Y2931" s="128">
        <v>0</v>
      </c>
      <c r="Z2931" s="128">
        <v>0</v>
      </c>
      <c r="AA2931" s="128">
        <v>88747.76</v>
      </c>
      <c r="AB2931" s="126">
        <f t="shared" si="296"/>
        <v>-8.8747759999999992E-3</v>
      </c>
      <c r="AC2931" s="122" t="s">
        <v>1838</v>
      </c>
      <c r="AD2931" s="123">
        <f t="shared" si="299"/>
        <v>1983.9723217250009</v>
      </c>
    </row>
    <row r="2932" spans="1:30" ht="12.75" hidden="1" customHeight="1">
      <c r="A2932" s="125" t="str">
        <f t="shared" si="293"/>
        <v>LIC176Payable -Inv Educ Fund-AMFI</v>
      </c>
      <c r="B2932" s="125">
        <f>+IFERROR(VLOOKUP(L2932,'TB mapping'!A:D,4,0),0)</f>
        <v>0</v>
      </c>
      <c r="C2932" s="125">
        <f>+IFERROR(VLOOKUP(L2932,'TB mapping'!A:C,3,0),0)</f>
        <v>0</v>
      </c>
      <c r="D2932" s="125" t="str">
        <f t="shared" si="294"/>
        <v>LIC1760</v>
      </c>
      <c r="E2932" s="125" t="str">
        <f t="shared" si="295"/>
        <v>LIC1760</v>
      </c>
      <c r="F2932" s="158" t="str">
        <f>+VLOOKUP(H2932,'code mapping'!A:C,3,0)</f>
        <v>LIC176</v>
      </c>
      <c r="G2932" s="127" t="s">
        <v>453</v>
      </c>
      <c r="H2932" s="127" t="s">
        <v>786</v>
      </c>
      <c r="I2932" s="127" t="s">
        <v>787</v>
      </c>
      <c r="J2932" s="128">
        <v>212000</v>
      </c>
      <c r="K2932" s="127" t="s">
        <v>487</v>
      </c>
      <c r="L2932" s="151">
        <v>213166</v>
      </c>
      <c r="M2932" s="128">
        <v>0</v>
      </c>
      <c r="N2932" s="127" t="s">
        <v>507</v>
      </c>
      <c r="O2932" s="127" t="s">
        <v>457</v>
      </c>
      <c r="P2932" s="128">
        <v>0</v>
      </c>
      <c r="Q2932" s="128">
        <v>28020.34</v>
      </c>
      <c r="R2932" s="128">
        <v>0</v>
      </c>
      <c r="S2932" s="128">
        <v>0</v>
      </c>
      <c r="T2932" s="128">
        <v>0</v>
      </c>
      <c r="U2932" s="128">
        <v>28020.34</v>
      </c>
      <c r="V2932" s="128">
        <v>0</v>
      </c>
      <c r="W2932" s="128">
        <v>28020.34</v>
      </c>
      <c r="X2932" s="128">
        <v>0</v>
      </c>
      <c r="Y2932" s="128">
        <v>0</v>
      </c>
      <c r="Z2932" s="128">
        <v>0</v>
      </c>
      <c r="AA2932" s="128">
        <v>28020.34</v>
      </c>
      <c r="AB2932" s="126">
        <f t="shared" si="296"/>
        <v>-2.8020340000000001E-3</v>
      </c>
      <c r="AC2932" s="122" t="s">
        <v>1838</v>
      </c>
      <c r="AD2932" s="123">
        <f t="shared" si="299"/>
        <v>1983.9723217250009</v>
      </c>
    </row>
    <row r="2933" spans="1:30" ht="12.75" hidden="1" customHeight="1">
      <c r="A2933" s="125" t="str">
        <f t="shared" si="293"/>
        <v>LIC176Other Adjustment A/c.</v>
      </c>
      <c r="B2933" s="125">
        <f>+IFERROR(VLOOKUP(L2933,'TB mapping'!A:D,4,0),0)</f>
        <v>0</v>
      </c>
      <c r="C2933" s="125">
        <f>+IFERROR(VLOOKUP(L2933,'TB mapping'!A:C,3,0),0)</f>
        <v>0</v>
      </c>
      <c r="D2933" s="125" t="str">
        <f t="shared" si="294"/>
        <v>LIC1760</v>
      </c>
      <c r="E2933" s="125" t="str">
        <f t="shared" si="295"/>
        <v>LIC1760</v>
      </c>
      <c r="F2933" s="158" t="str">
        <f>+VLOOKUP(H2933,'code mapping'!A:C,3,0)</f>
        <v>LIC176</v>
      </c>
      <c r="G2933" s="127" t="s">
        <v>453</v>
      </c>
      <c r="H2933" s="127" t="s">
        <v>786</v>
      </c>
      <c r="I2933" s="127" t="s">
        <v>787</v>
      </c>
      <c r="J2933" s="128">
        <v>220000</v>
      </c>
      <c r="K2933" s="127" t="s">
        <v>510</v>
      </c>
      <c r="L2933" s="151">
        <v>190000</v>
      </c>
      <c r="M2933" s="128">
        <v>0</v>
      </c>
      <c r="N2933" s="127" t="s">
        <v>511</v>
      </c>
      <c r="O2933" s="127" t="s">
        <v>457</v>
      </c>
      <c r="P2933" s="128">
        <v>0</v>
      </c>
      <c r="Q2933" s="128">
        <v>1.6</v>
      </c>
      <c r="R2933" s="128">
        <v>0</v>
      </c>
      <c r="S2933" s="128">
        <v>0</v>
      </c>
      <c r="T2933" s="128">
        <v>0</v>
      </c>
      <c r="U2933" s="128">
        <v>1.6</v>
      </c>
      <c r="V2933" s="128">
        <v>0</v>
      </c>
      <c r="W2933" s="128">
        <v>1.6</v>
      </c>
      <c r="X2933" s="128">
        <v>0</v>
      </c>
      <c r="Y2933" s="128">
        <v>0</v>
      </c>
      <c r="Z2933" s="128">
        <v>0</v>
      </c>
      <c r="AA2933" s="128">
        <v>1.6</v>
      </c>
      <c r="AB2933" s="126">
        <f t="shared" si="296"/>
        <v>-1.6E-7</v>
      </c>
      <c r="AC2933" s="122" t="s">
        <v>1838</v>
      </c>
      <c r="AD2933" s="123">
        <f t="shared" si="299"/>
        <v>1983.9723217250009</v>
      </c>
    </row>
    <row r="2934" spans="1:30" ht="12.75" hidden="1" customHeight="1">
      <c r="A2934" s="125" t="str">
        <f t="shared" si="293"/>
        <v>LIC176Unit Capital</v>
      </c>
      <c r="B2934" s="125">
        <f>+IFERROR(VLOOKUP(L2934,'TB mapping'!A:D,4,0),0)</f>
        <v>0</v>
      </c>
      <c r="C2934" s="125">
        <f>+IFERROR(VLOOKUP(L2934,'TB mapping'!A:C,3,0),0)</f>
        <v>0</v>
      </c>
      <c r="D2934" s="125" t="str">
        <f t="shared" si="294"/>
        <v>LIC1760</v>
      </c>
      <c r="E2934" s="125" t="str">
        <f t="shared" si="295"/>
        <v>LIC1760</v>
      </c>
      <c r="F2934" s="158" t="str">
        <f>+VLOOKUP(H2934,'code mapping'!A:C,3,0)</f>
        <v>LIC176</v>
      </c>
      <c r="G2934" s="127" t="s">
        <v>453</v>
      </c>
      <c r="H2934" s="127" t="s">
        <v>786</v>
      </c>
      <c r="I2934" s="127" t="s">
        <v>787</v>
      </c>
      <c r="J2934" s="128">
        <v>301000</v>
      </c>
      <c r="K2934" s="127" t="s">
        <v>514</v>
      </c>
      <c r="L2934" s="151">
        <v>310000</v>
      </c>
      <c r="M2934" s="128">
        <v>0</v>
      </c>
      <c r="N2934" s="127" t="s">
        <v>515</v>
      </c>
      <c r="O2934" s="127" t="s">
        <v>457</v>
      </c>
      <c r="P2934" s="128">
        <v>0</v>
      </c>
      <c r="Q2934" s="128">
        <v>96365130</v>
      </c>
      <c r="R2934" s="128">
        <v>0</v>
      </c>
      <c r="S2934" s="128">
        <v>0</v>
      </c>
      <c r="T2934" s="128">
        <v>0</v>
      </c>
      <c r="U2934" s="128">
        <v>96365130</v>
      </c>
      <c r="V2934" s="128">
        <v>0</v>
      </c>
      <c r="W2934" s="128">
        <v>96365130</v>
      </c>
      <c r="X2934" s="128">
        <v>0</v>
      </c>
      <c r="Y2934" s="128">
        <v>0</v>
      </c>
      <c r="Z2934" s="128">
        <v>0</v>
      </c>
      <c r="AA2934" s="128">
        <v>96365130</v>
      </c>
      <c r="AB2934" s="126">
        <f t="shared" si="296"/>
        <v>-9.6365130000000008</v>
      </c>
      <c r="AC2934" s="122" t="s">
        <v>1838</v>
      </c>
      <c r="AD2934" s="123">
        <f t="shared" si="299"/>
        <v>1983.9723217250009</v>
      </c>
    </row>
    <row r="2935" spans="1:30" ht="12.75" hidden="1" customHeight="1">
      <c r="A2935" s="125" t="str">
        <f t="shared" si="293"/>
        <v>LIC176Unit Premium Reserve- G</v>
      </c>
      <c r="B2935" s="125">
        <f>+IFERROR(VLOOKUP(L2935,'TB mapping'!A:D,4,0),0)</f>
        <v>0</v>
      </c>
      <c r="C2935" s="125">
        <f>+IFERROR(VLOOKUP(L2935,'TB mapping'!A:C,3,0),0)</f>
        <v>0</v>
      </c>
      <c r="D2935" s="125" t="str">
        <f t="shared" si="294"/>
        <v>LIC1760</v>
      </c>
      <c r="E2935" s="125" t="str">
        <f t="shared" si="295"/>
        <v>LIC1760</v>
      </c>
      <c r="F2935" s="158" t="str">
        <f>+VLOOKUP(H2935,'code mapping'!A:C,3,0)</f>
        <v>LIC176</v>
      </c>
      <c r="G2935" s="127" t="s">
        <v>453</v>
      </c>
      <c r="H2935" s="127" t="s">
        <v>786</v>
      </c>
      <c r="I2935" s="127" t="s">
        <v>787</v>
      </c>
      <c r="J2935" s="128">
        <v>303000</v>
      </c>
      <c r="K2935" s="127" t="s">
        <v>516</v>
      </c>
      <c r="L2935" s="151">
        <v>303207</v>
      </c>
      <c r="M2935" s="128">
        <v>0</v>
      </c>
      <c r="N2935" s="127" t="s">
        <v>620</v>
      </c>
      <c r="O2935" s="127" t="s">
        <v>457</v>
      </c>
      <c r="P2935" s="128">
        <v>0</v>
      </c>
      <c r="Q2935" s="128">
        <v>2423071093.4899998</v>
      </c>
      <c r="R2935" s="128">
        <v>0</v>
      </c>
      <c r="S2935" s="128">
        <v>0</v>
      </c>
      <c r="T2935" s="128">
        <v>0</v>
      </c>
      <c r="U2935" s="128">
        <v>2423071093.4899998</v>
      </c>
      <c r="V2935" s="128">
        <v>0</v>
      </c>
      <c r="W2935" s="128">
        <v>2423071093.4899998</v>
      </c>
      <c r="X2935" s="128">
        <v>0</v>
      </c>
      <c r="Y2935" s="128">
        <v>0</v>
      </c>
      <c r="Z2935" s="128">
        <v>0</v>
      </c>
      <c r="AA2935" s="128">
        <v>2423071093.4899998</v>
      </c>
      <c r="AB2935" s="126">
        <f t="shared" si="296"/>
        <v>-242.30710934899997</v>
      </c>
      <c r="AC2935" s="122" t="s">
        <v>1838</v>
      </c>
      <c r="AD2935" s="123">
        <f t="shared" si="299"/>
        <v>1983.9723217250009</v>
      </c>
    </row>
    <row r="2936" spans="1:30" ht="12.75" hidden="1" customHeight="1">
      <c r="A2936" s="125" t="str">
        <f t="shared" si="293"/>
        <v>LIC176Net Earnings</v>
      </c>
      <c r="B2936" s="125">
        <f>+IFERROR(VLOOKUP(L2936,'TB mapping'!A:D,4,0),0)</f>
        <v>0</v>
      </c>
      <c r="C2936" s="125">
        <f>+IFERROR(VLOOKUP(L2936,'TB mapping'!A:C,3,0),0)</f>
        <v>0</v>
      </c>
      <c r="D2936" s="125" t="str">
        <f t="shared" si="294"/>
        <v>LIC1760</v>
      </c>
      <c r="E2936" s="125" t="str">
        <f t="shared" si="295"/>
        <v>LIC1760</v>
      </c>
      <c r="F2936" s="158" t="str">
        <f>+VLOOKUP(H2936,'code mapping'!A:C,3,0)</f>
        <v>LIC176</v>
      </c>
      <c r="G2936" s="127" t="s">
        <v>453</v>
      </c>
      <c r="H2936" s="127" t="s">
        <v>786</v>
      </c>
      <c r="I2936" s="127" t="s">
        <v>787</v>
      </c>
      <c r="J2936" s="128">
        <v>303000</v>
      </c>
      <c r="K2936" s="127" t="s">
        <v>516</v>
      </c>
      <c r="L2936" s="151">
        <v>390000</v>
      </c>
      <c r="M2936" s="128">
        <v>0</v>
      </c>
      <c r="N2936" s="127" t="s">
        <v>521</v>
      </c>
      <c r="O2936" s="127" t="s">
        <v>457</v>
      </c>
      <c r="P2936" s="128">
        <v>0</v>
      </c>
      <c r="Q2936" s="128">
        <v>41606919.420000002</v>
      </c>
      <c r="R2936" s="128">
        <v>0</v>
      </c>
      <c r="S2936" s="128">
        <v>0</v>
      </c>
      <c r="T2936" s="128">
        <v>0</v>
      </c>
      <c r="U2936" s="128">
        <v>41606919.420000002</v>
      </c>
      <c r="V2936" s="128">
        <v>0</v>
      </c>
      <c r="W2936" s="128">
        <v>41606919.420000002</v>
      </c>
      <c r="X2936" s="128">
        <v>0</v>
      </c>
      <c r="Y2936" s="128">
        <v>0</v>
      </c>
      <c r="Z2936" s="128">
        <v>0</v>
      </c>
      <c r="AA2936" s="128">
        <v>41606919.420000002</v>
      </c>
      <c r="AB2936" s="126">
        <f t="shared" si="296"/>
        <v>-4.1606919420000006</v>
      </c>
      <c r="AC2936" s="122" t="s">
        <v>1838</v>
      </c>
      <c r="AD2936" s="123">
        <f t="shared" si="299"/>
        <v>1983.9723217250009</v>
      </c>
    </row>
    <row r="2937" spans="1:30" ht="12.75" hidden="1" customHeight="1">
      <c r="A2937" s="125" t="str">
        <f t="shared" ref="A2937:A3000" si="300">+F2937&amp;N2937</f>
        <v>LIC176R/L G/P - Equities</v>
      </c>
      <c r="B2937" s="125">
        <f>+IFERROR(VLOOKUP(L2937,'TB mapping'!A:D,4,0),0)</f>
        <v>0</v>
      </c>
      <c r="C2937" s="125">
        <f>+IFERROR(VLOOKUP(L2937,'TB mapping'!A:C,3,0),0)</f>
        <v>5.3</v>
      </c>
      <c r="D2937" s="125" t="str">
        <f t="shared" ref="D2937:D3000" si="301">+F2937&amp;B2937</f>
        <v>LIC1760</v>
      </c>
      <c r="E2937" s="125" t="str">
        <f t="shared" ref="E2937:E3000" si="302">+F2937&amp;C2937</f>
        <v>LIC1765.3</v>
      </c>
      <c r="F2937" s="158" t="str">
        <f>+VLOOKUP(H2937,'code mapping'!A:C,3,0)</f>
        <v>LIC176</v>
      </c>
      <c r="G2937" s="127" t="s">
        <v>453</v>
      </c>
      <c r="H2937" s="127" t="s">
        <v>786</v>
      </c>
      <c r="I2937" s="127" t="s">
        <v>787</v>
      </c>
      <c r="J2937" s="128">
        <v>410000</v>
      </c>
      <c r="K2937" s="127" t="s">
        <v>522</v>
      </c>
      <c r="L2937" s="151">
        <v>411100</v>
      </c>
      <c r="M2937" s="128">
        <v>0</v>
      </c>
      <c r="N2937" s="127" t="s">
        <v>596</v>
      </c>
      <c r="O2937" s="127" t="s">
        <v>457</v>
      </c>
      <c r="P2937" s="128">
        <v>0</v>
      </c>
      <c r="Q2937" s="128">
        <v>60097513.759999998</v>
      </c>
      <c r="R2937" s="128">
        <v>0</v>
      </c>
      <c r="S2937" s="128">
        <v>0</v>
      </c>
      <c r="T2937" s="128">
        <v>0</v>
      </c>
      <c r="U2937" s="128">
        <v>60097513.759999998</v>
      </c>
      <c r="V2937" s="128">
        <v>0</v>
      </c>
      <c r="W2937" s="128">
        <v>60097513.759999998</v>
      </c>
      <c r="X2937" s="128">
        <v>0</v>
      </c>
      <c r="Y2937" s="128">
        <v>0</v>
      </c>
      <c r="Z2937" s="128">
        <v>0</v>
      </c>
      <c r="AA2937" s="128">
        <v>60097513.759999998</v>
      </c>
      <c r="AB2937" s="126">
        <f t="shared" ref="AB2937:AB3000" si="303">SUM(-Z2937-AA2937)/10^7</f>
        <v>-6.0097513759999996</v>
      </c>
      <c r="AC2937" s="122" t="s">
        <v>1838</v>
      </c>
      <c r="AD2937" s="123">
        <f>SUMIF(E:E,E2937,AB:AB)</f>
        <v>-2.7913024069999994</v>
      </c>
    </row>
    <row r="2938" spans="1:30" ht="12.75" hidden="1" customHeight="1">
      <c r="A2938" s="125" t="str">
        <f t="shared" si="300"/>
        <v>LIC176R/L G/P - Rights</v>
      </c>
      <c r="B2938" s="125">
        <f>+IFERROR(VLOOKUP(L2938,'TB mapping'!A:D,4,0),0)</f>
        <v>0</v>
      </c>
      <c r="C2938" s="125">
        <f>+IFERROR(VLOOKUP(L2938,'TB mapping'!A:C,3,0),0)</f>
        <v>5.3</v>
      </c>
      <c r="D2938" s="125" t="str">
        <f t="shared" si="301"/>
        <v>LIC1760</v>
      </c>
      <c r="E2938" s="125" t="str">
        <f t="shared" si="302"/>
        <v>LIC1765.3</v>
      </c>
      <c r="F2938" s="158" t="str">
        <f>+VLOOKUP(H2938,'code mapping'!A:C,3,0)</f>
        <v>LIC176</v>
      </c>
      <c r="G2938" s="127" t="s">
        <v>453</v>
      </c>
      <c r="H2938" s="127" t="s">
        <v>786</v>
      </c>
      <c r="I2938" s="127" t="s">
        <v>787</v>
      </c>
      <c r="J2938" s="128">
        <v>410000</v>
      </c>
      <c r="K2938" s="127" t="s">
        <v>522</v>
      </c>
      <c r="L2938" s="151">
        <v>411120</v>
      </c>
      <c r="M2938" s="128">
        <v>0</v>
      </c>
      <c r="N2938" s="127" t="s">
        <v>705</v>
      </c>
      <c r="O2938" s="127" t="s">
        <v>457</v>
      </c>
      <c r="P2938" s="128">
        <v>0</v>
      </c>
      <c r="Q2938" s="128">
        <v>73907.520000000004</v>
      </c>
      <c r="R2938" s="128">
        <v>0</v>
      </c>
      <c r="S2938" s="128">
        <v>0</v>
      </c>
      <c r="T2938" s="128">
        <v>0</v>
      </c>
      <c r="U2938" s="128">
        <v>73907.520000000004</v>
      </c>
      <c r="V2938" s="128">
        <v>0</v>
      </c>
      <c r="W2938" s="128">
        <v>73907.520000000004</v>
      </c>
      <c r="X2938" s="128">
        <v>0</v>
      </c>
      <c r="Y2938" s="128">
        <v>0</v>
      </c>
      <c r="Z2938" s="128">
        <v>0</v>
      </c>
      <c r="AA2938" s="128">
        <v>73907.520000000004</v>
      </c>
      <c r="AB2938" s="126">
        <f t="shared" si="303"/>
        <v>-7.3907520000000004E-3</v>
      </c>
      <c r="AC2938" s="122" t="s">
        <v>1838</v>
      </c>
      <c r="AD2938" s="123">
        <f>SUMIF(E:E,E2938,AB:AB)</f>
        <v>-2.7913024069999994</v>
      </c>
    </row>
    <row r="2939" spans="1:30" ht="12.75" hidden="1" customHeight="1">
      <c r="A2939" s="125" t="str">
        <f t="shared" si="300"/>
        <v>LIC176UR/L G/P - Equities</v>
      </c>
      <c r="B2939" s="125">
        <f>+IFERROR(VLOOKUP(L2939,'TB mapping'!A:D,4,0),0)</f>
        <v>0</v>
      </c>
      <c r="C2939" s="125" t="str">
        <f>+IFERROR(VLOOKUP(L2939,'TB mapping'!A:C,3,0),0)</f>
        <v>Ignore</v>
      </c>
      <c r="D2939" s="125" t="str">
        <f t="shared" si="301"/>
        <v>LIC1760</v>
      </c>
      <c r="E2939" s="125" t="str">
        <f t="shared" si="302"/>
        <v>LIC176Ignore</v>
      </c>
      <c r="F2939" s="158" t="str">
        <f>+VLOOKUP(H2939,'code mapping'!A:C,3,0)</f>
        <v>LIC176</v>
      </c>
      <c r="G2939" s="127" t="s">
        <v>453</v>
      </c>
      <c r="H2939" s="127" t="s">
        <v>786</v>
      </c>
      <c r="I2939" s="127" t="s">
        <v>787</v>
      </c>
      <c r="J2939" s="128">
        <v>430000</v>
      </c>
      <c r="K2939" s="127" t="s">
        <v>528</v>
      </c>
      <c r="L2939" s="151">
        <v>431100</v>
      </c>
      <c r="M2939" s="128">
        <v>0</v>
      </c>
      <c r="N2939" s="127" t="s">
        <v>597</v>
      </c>
      <c r="O2939" s="127" t="s">
        <v>457</v>
      </c>
      <c r="P2939" s="128">
        <v>0</v>
      </c>
      <c r="Q2939" s="128">
        <v>642169516.13999999</v>
      </c>
      <c r="R2939" s="128">
        <v>0</v>
      </c>
      <c r="S2939" s="128">
        <v>0</v>
      </c>
      <c r="T2939" s="128">
        <v>0</v>
      </c>
      <c r="U2939" s="128">
        <v>642169516.13999999</v>
      </c>
      <c r="V2939" s="128">
        <v>0</v>
      </c>
      <c r="W2939" s="128">
        <v>642169516.13999999</v>
      </c>
      <c r="X2939" s="128">
        <v>0</v>
      </c>
      <c r="Y2939" s="128">
        <v>0</v>
      </c>
      <c r="Z2939" s="128">
        <v>0</v>
      </c>
      <c r="AA2939" s="128">
        <v>642169516.13999999</v>
      </c>
      <c r="AB2939" s="126">
        <f t="shared" si="303"/>
        <v>-64.216951613999996</v>
      </c>
      <c r="AC2939" s="122" t="s">
        <v>1838</v>
      </c>
      <c r="AD2939" s="123">
        <f>SUMIF(C:C,C2939,AB:AB)</f>
        <v>-291.7660984179999</v>
      </c>
    </row>
    <row r="2940" spans="1:30" ht="12.75" hidden="1" customHeight="1">
      <c r="A2940" s="125" t="str">
        <f t="shared" si="300"/>
        <v>LIC176Dividend Income - Equities</v>
      </c>
      <c r="B2940" s="125">
        <f>+IFERROR(VLOOKUP(L2940,'TB mapping'!A:D,4,0),0)</f>
        <v>0</v>
      </c>
      <c r="C2940" s="125">
        <f>+IFERROR(VLOOKUP(L2940,'TB mapping'!A:C,3,0),0)</f>
        <v>5.0999999999999996</v>
      </c>
      <c r="D2940" s="125" t="str">
        <f t="shared" si="301"/>
        <v>LIC1760</v>
      </c>
      <c r="E2940" s="125" t="str">
        <f t="shared" si="302"/>
        <v>LIC1765.1</v>
      </c>
      <c r="F2940" s="158" t="str">
        <f>+VLOOKUP(H2940,'code mapping'!A:C,3,0)</f>
        <v>LIC176</v>
      </c>
      <c r="G2940" s="127" t="s">
        <v>453</v>
      </c>
      <c r="H2940" s="127" t="s">
        <v>786</v>
      </c>
      <c r="I2940" s="127" t="s">
        <v>787</v>
      </c>
      <c r="J2940" s="128">
        <v>450000</v>
      </c>
      <c r="K2940" s="127" t="s">
        <v>532</v>
      </c>
      <c r="L2940" s="151">
        <v>451100</v>
      </c>
      <c r="M2940" s="128">
        <v>0</v>
      </c>
      <c r="N2940" s="127" t="s">
        <v>598</v>
      </c>
      <c r="O2940" s="127" t="s">
        <v>457</v>
      </c>
      <c r="P2940" s="128">
        <v>0</v>
      </c>
      <c r="Q2940" s="128">
        <v>39469150.109999999</v>
      </c>
      <c r="R2940" s="128">
        <v>0</v>
      </c>
      <c r="S2940" s="128">
        <v>0</v>
      </c>
      <c r="T2940" s="128">
        <v>0</v>
      </c>
      <c r="U2940" s="128">
        <v>39469150.109999999</v>
      </c>
      <c r="V2940" s="128">
        <v>0</v>
      </c>
      <c r="W2940" s="128">
        <v>39469150.109999999</v>
      </c>
      <c r="X2940" s="128">
        <v>0</v>
      </c>
      <c r="Y2940" s="128">
        <v>0</v>
      </c>
      <c r="Z2940" s="128">
        <v>0</v>
      </c>
      <c r="AA2940" s="128">
        <v>39469150.109999999</v>
      </c>
      <c r="AB2940" s="126">
        <f t="shared" si="303"/>
        <v>-3.9469150109999998</v>
      </c>
      <c r="AC2940" s="122" t="s">
        <v>1838</v>
      </c>
      <c r="AD2940" s="123">
        <f t="shared" ref="AD2940:AD2965" si="304">SUMIF(E:E,E2940,AB:AB)</f>
        <v>-3.9469150109999998</v>
      </c>
    </row>
    <row r="2941" spans="1:30" ht="12.75" hidden="1" customHeight="1">
      <c r="A2941" s="125" t="str">
        <f t="shared" si="300"/>
        <v>LIC176Amort. Income - CBLO</v>
      </c>
      <c r="B2941" s="125">
        <f>+IFERROR(VLOOKUP(L2941,'TB mapping'!A:D,4,0),0)</f>
        <v>0</v>
      </c>
      <c r="C2941" s="125">
        <f>+IFERROR(VLOOKUP(L2941,'TB mapping'!A:C,3,0),0)</f>
        <v>5.2</v>
      </c>
      <c r="D2941" s="125" t="str">
        <f t="shared" si="301"/>
        <v>LIC1760</v>
      </c>
      <c r="E2941" s="125" t="str">
        <f t="shared" si="302"/>
        <v>LIC1765.2</v>
      </c>
      <c r="F2941" s="158" t="str">
        <f>+VLOOKUP(H2941,'code mapping'!A:C,3,0)</f>
        <v>LIC176</v>
      </c>
      <c r="G2941" s="127" t="s">
        <v>453</v>
      </c>
      <c r="H2941" s="127" t="s">
        <v>786</v>
      </c>
      <c r="I2941" s="127" t="s">
        <v>787</v>
      </c>
      <c r="J2941" s="128">
        <v>450000</v>
      </c>
      <c r="K2941" s="127" t="s">
        <v>532</v>
      </c>
      <c r="L2941" s="151">
        <v>452228</v>
      </c>
      <c r="M2941" s="128">
        <v>0</v>
      </c>
      <c r="N2941" s="127" t="s">
        <v>537</v>
      </c>
      <c r="O2941" s="127" t="s">
        <v>457</v>
      </c>
      <c r="P2941" s="128">
        <v>0</v>
      </c>
      <c r="Q2941" s="128">
        <v>420567.21</v>
      </c>
      <c r="R2941" s="128">
        <v>0</v>
      </c>
      <c r="S2941" s="128">
        <v>0</v>
      </c>
      <c r="T2941" s="128">
        <v>0</v>
      </c>
      <c r="U2941" s="128">
        <v>420567.21</v>
      </c>
      <c r="V2941" s="128">
        <v>0</v>
      </c>
      <c r="W2941" s="128">
        <v>420567.21</v>
      </c>
      <c r="X2941" s="128">
        <v>0</v>
      </c>
      <c r="Y2941" s="128">
        <v>0</v>
      </c>
      <c r="Z2941" s="128">
        <v>0</v>
      </c>
      <c r="AA2941" s="128">
        <v>420567.21</v>
      </c>
      <c r="AB2941" s="126">
        <f t="shared" si="303"/>
        <v>-4.2056721000000005E-2</v>
      </c>
      <c r="AC2941" s="122" t="s">
        <v>1838</v>
      </c>
      <c r="AD2941" s="123">
        <f t="shared" si="304"/>
        <v>-4.2056721000000005E-2</v>
      </c>
    </row>
    <row r="2942" spans="1:30" ht="12.75" hidden="1" customHeight="1">
      <c r="A2942" s="125" t="str">
        <f t="shared" si="300"/>
        <v>LIC176Misc Income</v>
      </c>
      <c r="B2942" s="125">
        <f>+IFERROR(VLOOKUP(L2942,'TB mapping'!A:D,4,0),0)</f>
        <v>0</v>
      </c>
      <c r="C2942" s="125">
        <f>+IFERROR(VLOOKUP(L2942,'TB mapping'!A:C,3,0),0)</f>
        <v>5.5</v>
      </c>
      <c r="D2942" s="125" t="str">
        <f t="shared" si="301"/>
        <v>LIC1760</v>
      </c>
      <c r="E2942" s="125" t="str">
        <f t="shared" si="302"/>
        <v>LIC1765.5</v>
      </c>
      <c r="F2942" s="158" t="str">
        <f>+VLOOKUP(H2942,'code mapping'!A:C,3,0)</f>
        <v>LIC176</v>
      </c>
      <c r="G2942" s="127" t="s">
        <v>453</v>
      </c>
      <c r="H2942" s="127" t="s">
        <v>786</v>
      </c>
      <c r="I2942" s="127" t="s">
        <v>787</v>
      </c>
      <c r="J2942" s="128">
        <v>460000</v>
      </c>
      <c r="K2942" s="127" t="s">
        <v>539</v>
      </c>
      <c r="L2942" s="151">
        <v>452233</v>
      </c>
      <c r="M2942" s="128">
        <v>0</v>
      </c>
      <c r="N2942" s="127" t="s">
        <v>706</v>
      </c>
      <c r="O2942" s="127" t="s">
        <v>457</v>
      </c>
      <c r="P2942" s="128">
        <v>0</v>
      </c>
      <c r="Q2942" s="128">
        <v>818.7</v>
      </c>
      <c r="R2942" s="128">
        <v>0</v>
      </c>
      <c r="S2942" s="128">
        <v>0</v>
      </c>
      <c r="T2942" s="128">
        <v>0</v>
      </c>
      <c r="U2942" s="128">
        <v>818.7</v>
      </c>
      <c r="V2942" s="128">
        <v>0</v>
      </c>
      <c r="W2942" s="128">
        <v>818.7</v>
      </c>
      <c r="X2942" s="128">
        <v>0</v>
      </c>
      <c r="Y2942" s="128">
        <v>0</v>
      </c>
      <c r="Z2942" s="128">
        <v>0</v>
      </c>
      <c r="AA2942" s="128">
        <v>818.7</v>
      </c>
      <c r="AB2942" s="126">
        <f t="shared" si="303"/>
        <v>-8.187E-5</v>
      </c>
      <c r="AC2942" s="122" t="s">
        <v>1838</v>
      </c>
      <c r="AD2942" s="123">
        <f t="shared" si="304"/>
        <v>-5.3397299999999998E-4</v>
      </c>
    </row>
    <row r="2943" spans="1:30" ht="12.75" hidden="1" customHeight="1">
      <c r="A2943" s="125" t="str">
        <f t="shared" si="300"/>
        <v>LIC176Other Income</v>
      </c>
      <c r="B2943" s="125">
        <f>+IFERROR(VLOOKUP(L2943,'TB mapping'!A:D,4,0),0)</f>
        <v>0</v>
      </c>
      <c r="C2943" s="125">
        <f>+IFERROR(VLOOKUP(L2943,'TB mapping'!A:C,3,0),0)</f>
        <v>5.5</v>
      </c>
      <c r="D2943" s="125" t="str">
        <f t="shared" si="301"/>
        <v>LIC1760</v>
      </c>
      <c r="E2943" s="125" t="str">
        <f t="shared" si="302"/>
        <v>LIC1765.5</v>
      </c>
      <c r="F2943" s="158" t="str">
        <f>+VLOOKUP(H2943,'code mapping'!A:C,3,0)</f>
        <v>LIC176</v>
      </c>
      <c r="G2943" s="127" t="s">
        <v>453</v>
      </c>
      <c r="H2943" s="127" t="s">
        <v>786</v>
      </c>
      <c r="I2943" s="127" t="s">
        <v>787</v>
      </c>
      <c r="J2943" s="128">
        <v>460000</v>
      </c>
      <c r="K2943" s="127" t="s">
        <v>539</v>
      </c>
      <c r="L2943" s="151">
        <v>460000</v>
      </c>
      <c r="M2943" s="128">
        <v>0</v>
      </c>
      <c r="N2943" s="127" t="s">
        <v>541</v>
      </c>
      <c r="O2943" s="127" t="s">
        <v>457</v>
      </c>
      <c r="P2943" s="128">
        <v>0</v>
      </c>
      <c r="Q2943" s="128">
        <v>4521.03</v>
      </c>
      <c r="R2943" s="128">
        <v>0</v>
      </c>
      <c r="S2943" s="128">
        <v>0</v>
      </c>
      <c r="T2943" s="128">
        <v>0</v>
      </c>
      <c r="U2943" s="128">
        <v>4521.03</v>
      </c>
      <c r="V2943" s="128">
        <v>0</v>
      </c>
      <c r="W2943" s="128">
        <v>4521.03</v>
      </c>
      <c r="X2943" s="128">
        <v>0</v>
      </c>
      <c r="Y2943" s="128">
        <v>0</v>
      </c>
      <c r="Z2943" s="128">
        <v>0</v>
      </c>
      <c r="AA2943" s="128">
        <v>4521.03</v>
      </c>
      <c r="AB2943" s="126">
        <f t="shared" si="303"/>
        <v>-4.5210299999999998E-4</v>
      </c>
      <c r="AC2943" s="122" t="s">
        <v>1838</v>
      </c>
      <c r="AD2943" s="123">
        <f t="shared" si="304"/>
        <v>-5.3397299999999998E-4</v>
      </c>
    </row>
    <row r="2944" spans="1:30" ht="12.75" hidden="1" customHeight="1">
      <c r="A2944" s="125" t="str">
        <f t="shared" si="300"/>
        <v>LIC176R/L L/P - Equities</v>
      </c>
      <c r="B2944" s="125">
        <f>+IFERROR(VLOOKUP(L2944,'TB mapping'!A:D,4,0),0)</f>
        <v>0</v>
      </c>
      <c r="C2944" s="125">
        <f>+IFERROR(VLOOKUP(L2944,'TB mapping'!A:C,3,0),0)</f>
        <v>5.3</v>
      </c>
      <c r="D2944" s="125" t="str">
        <f t="shared" si="301"/>
        <v>LIC1760</v>
      </c>
      <c r="E2944" s="125" t="str">
        <f t="shared" si="302"/>
        <v>LIC1765.3</v>
      </c>
      <c r="F2944" s="158" t="str">
        <f>+VLOOKUP(H2944,'code mapping'!A:C,3,0)</f>
        <v>LIC176</v>
      </c>
      <c r="G2944" s="127" t="s">
        <v>453</v>
      </c>
      <c r="H2944" s="127" t="s">
        <v>786</v>
      </c>
      <c r="I2944" s="127" t="s">
        <v>787</v>
      </c>
      <c r="J2944" s="128">
        <v>510000</v>
      </c>
      <c r="K2944" s="127" t="s">
        <v>546</v>
      </c>
      <c r="L2944" s="151">
        <v>511100</v>
      </c>
      <c r="M2944" s="128">
        <v>0</v>
      </c>
      <c r="N2944" s="127" t="s">
        <v>599</v>
      </c>
      <c r="O2944" s="127" t="s">
        <v>457</v>
      </c>
      <c r="P2944" s="128">
        <v>-32258397.210000001</v>
      </c>
      <c r="Q2944" s="128">
        <v>0</v>
      </c>
      <c r="R2944" s="128">
        <v>0</v>
      </c>
      <c r="S2944" s="128">
        <v>0</v>
      </c>
      <c r="T2944" s="128">
        <v>-32258397.210000001</v>
      </c>
      <c r="U2944" s="128">
        <v>0</v>
      </c>
      <c r="V2944" s="128">
        <v>-32258397.210000001</v>
      </c>
      <c r="W2944" s="128">
        <v>0</v>
      </c>
      <c r="X2944" s="128">
        <v>0</v>
      </c>
      <c r="Y2944" s="128">
        <v>0</v>
      </c>
      <c r="Z2944" s="128">
        <v>-32258397.210000001</v>
      </c>
      <c r="AA2944" s="128">
        <v>0</v>
      </c>
      <c r="AB2944" s="126">
        <f t="shared" si="303"/>
        <v>3.2258397210000003</v>
      </c>
      <c r="AC2944" s="122" t="s">
        <v>1838</v>
      </c>
      <c r="AD2944" s="123">
        <f t="shared" si="304"/>
        <v>-2.7913024069999994</v>
      </c>
    </row>
    <row r="2945" spans="1:30" ht="12.75" hidden="1" customHeight="1">
      <c r="A2945" s="125" t="str">
        <f t="shared" si="300"/>
        <v>LIC176SEBI Fees</v>
      </c>
      <c r="B2945" s="125">
        <f>+IFERROR(VLOOKUP(L2945,'TB mapping'!A:D,4,0),0)</f>
        <v>0</v>
      </c>
      <c r="C2945" s="125">
        <f>+IFERROR(VLOOKUP(L2945,'TB mapping'!A:C,3,0),0)</f>
        <v>6.3</v>
      </c>
      <c r="D2945" s="125" t="str">
        <f t="shared" si="301"/>
        <v>LIC1760</v>
      </c>
      <c r="E2945" s="125" t="str">
        <f t="shared" si="302"/>
        <v>LIC1766.3</v>
      </c>
      <c r="F2945" s="158" t="str">
        <f>+VLOOKUP(H2945,'code mapping'!A:C,3,0)</f>
        <v>LIC176</v>
      </c>
      <c r="G2945" s="127" t="s">
        <v>453</v>
      </c>
      <c r="H2945" s="127" t="s">
        <v>786</v>
      </c>
      <c r="I2945" s="127" t="s">
        <v>787</v>
      </c>
      <c r="J2945" s="128">
        <v>550000</v>
      </c>
      <c r="K2945" s="127" t="s">
        <v>550</v>
      </c>
      <c r="L2945" s="151">
        <v>553007</v>
      </c>
      <c r="M2945" s="128">
        <v>0</v>
      </c>
      <c r="N2945" s="127" t="s">
        <v>551</v>
      </c>
      <c r="O2945" s="127" t="s">
        <v>457</v>
      </c>
      <c r="P2945" s="128">
        <v>-34523.370000000003</v>
      </c>
      <c r="Q2945" s="128">
        <v>0</v>
      </c>
      <c r="R2945" s="128">
        <v>0</v>
      </c>
      <c r="S2945" s="128">
        <v>0</v>
      </c>
      <c r="T2945" s="128">
        <v>-34523.370000000003</v>
      </c>
      <c r="U2945" s="128">
        <v>0</v>
      </c>
      <c r="V2945" s="128">
        <v>-34523.370000000003</v>
      </c>
      <c r="W2945" s="128">
        <v>0</v>
      </c>
      <c r="X2945" s="128">
        <v>0</v>
      </c>
      <c r="Y2945" s="128">
        <v>0</v>
      </c>
      <c r="Z2945" s="128">
        <v>-34523.370000000003</v>
      </c>
      <c r="AA2945" s="128">
        <v>0</v>
      </c>
      <c r="AB2945" s="126">
        <f t="shared" si="303"/>
        <v>3.4523370000000002E-3</v>
      </c>
      <c r="AC2945" s="122" t="s">
        <v>1838</v>
      </c>
      <c r="AD2945" s="123">
        <f t="shared" si="304"/>
        <v>0.33939076800000001</v>
      </c>
    </row>
    <row r="2946" spans="1:30" ht="12.75" hidden="1" customHeight="1">
      <c r="A2946" s="125" t="str">
        <f t="shared" si="300"/>
        <v>LIC176Audit Fee</v>
      </c>
      <c r="B2946" s="125">
        <f>+IFERROR(VLOOKUP(L2946,'TB mapping'!A:D,4,0),0)</f>
        <v>0</v>
      </c>
      <c r="C2946" s="125">
        <f>+IFERROR(VLOOKUP(L2946,'TB mapping'!A:C,3,0),0)</f>
        <v>6.3</v>
      </c>
      <c r="D2946" s="125" t="str">
        <f t="shared" si="301"/>
        <v>LIC1760</v>
      </c>
      <c r="E2946" s="125" t="str">
        <f t="shared" si="302"/>
        <v>LIC1766.3</v>
      </c>
      <c r="F2946" s="158" t="str">
        <f>+VLOOKUP(H2946,'code mapping'!A:C,3,0)</f>
        <v>LIC176</v>
      </c>
      <c r="G2946" s="127" t="s">
        <v>453</v>
      </c>
      <c r="H2946" s="127" t="s">
        <v>786</v>
      </c>
      <c r="I2946" s="127" t="s">
        <v>787</v>
      </c>
      <c r="J2946" s="128">
        <v>550000</v>
      </c>
      <c r="K2946" s="127" t="s">
        <v>550</v>
      </c>
      <c r="L2946" s="151">
        <v>553105</v>
      </c>
      <c r="M2946" s="128">
        <v>0</v>
      </c>
      <c r="N2946" s="127" t="s">
        <v>552</v>
      </c>
      <c r="O2946" s="127" t="s">
        <v>457</v>
      </c>
      <c r="P2946" s="128">
        <v>0</v>
      </c>
      <c r="Q2946" s="128">
        <v>2814.28</v>
      </c>
      <c r="R2946" s="128">
        <v>0</v>
      </c>
      <c r="S2946" s="128">
        <v>0</v>
      </c>
      <c r="T2946" s="128">
        <v>0</v>
      </c>
      <c r="U2946" s="128">
        <v>2814.28</v>
      </c>
      <c r="V2946" s="128">
        <v>0</v>
      </c>
      <c r="W2946" s="128">
        <v>2814.28</v>
      </c>
      <c r="X2946" s="128">
        <v>0</v>
      </c>
      <c r="Y2946" s="128">
        <v>0</v>
      </c>
      <c r="Z2946" s="128">
        <v>0</v>
      </c>
      <c r="AA2946" s="128">
        <v>2814.28</v>
      </c>
      <c r="AB2946" s="126">
        <f t="shared" si="303"/>
        <v>-2.8142800000000002E-4</v>
      </c>
      <c r="AC2946" s="122" t="s">
        <v>1838</v>
      </c>
      <c r="AD2946" s="123">
        <f t="shared" si="304"/>
        <v>0.33939076800000001</v>
      </c>
    </row>
    <row r="2947" spans="1:30" ht="12.75" hidden="1" customHeight="1">
      <c r="A2947" s="125" t="str">
        <f t="shared" si="300"/>
        <v>LIC176Custody Fee</v>
      </c>
      <c r="B2947" s="125">
        <f>+IFERROR(VLOOKUP(L2947,'TB mapping'!A:D,4,0),0)</f>
        <v>0</v>
      </c>
      <c r="C2947" s="125">
        <f>+IFERROR(VLOOKUP(L2947,'TB mapping'!A:C,3,0),0)</f>
        <v>6.3</v>
      </c>
      <c r="D2947" s="125" t="str">
        <f t="shared" si="301"/>
        <v>LIC1760</v>
      </c>
      <c r="E2947" s="125" t="str">
        <f t="shared" si="302"/>
        <v>LIC1766.3</v>
      </c>
      <c r="F2947" s="158" t="str">
        <f>+VLOOKUP(H2947,'code mapping'!A:C,3,0)</f>
        <v>LIC176</v>
      </c>
      <c r="G2947" s="127" t="s">
        <v>453</v>
      </c>
      <c r="H2947" s="127" t="s">
        <v>786</v>
      </c>
      <c r="I2947" s="127" t="s">
        <v>787</v>
      </c>
      <c r="J2947" s="128">
        <v>550000</v>
      </c>
      <c r="K2947" s="127" t="s">
        <v>550</v>
      </c>
      <c r="L2947" s="151">
        <v>553107</v>
      </c>
      <c r="M2947" s="128">
        <v>0</v>
      </c>
      <c r="N2947" s="127" t="s">
        <v>553</v>
      </c>
      <c r="O2947" s="127" t="s">
        <v>457</v>
      </c>
      <c r="P2947" s="128">
        <v>-416498.82</v>
      </c>
      <c r="Q2947" s="128">
        <v>0</v>
      </c>
      <c r="R2947" s="128">
        <v>0</v>
      </c>
      <c r="S2947" s="128">
        <v>0</v>
      </c>
      <c r="T2947" s="128">
        <v>-416498.82</v>
      </c>
      <c r="U2947" s="128">
        <v>0</v>
      </c>
      <c r="V2947" s="128">
        <v>-416498.82</v>
      </c>
      <c r="W2947" s="128">
        <v>0</v>
      </c>
      <c r="X2947" s="128">
        <v>0</v>
      </c>
      <c r="Y2947" s="128">
        <v>0</v>
      </c>
      <c r="Z2947" s="128">
        <v>-416498.82</v>
      </c>
      <c r="AA2947" s="128">
        <v>0</v>
      </c>
      <c r="AB2947" s="126">
        <f t="shared" si="303"/>
        <v>4.1649881999999999E-2</v>
      </c>
      <c r="AC2947" s="122" t="s">
        <v>1838</v>
      </c>
      <c r="AD2947" s="123">
        <f t="shared" si="304"/>
        <v>0.33939076800000001</v>
      </c>
    </row>
    <row r="2948" spans="1:30" ht="12.75" hidden="1" customHeight="1">
      <c r="A2948" s="125" t="str">
        <f t="shared" si="300"/>
        <v>LIC176Expense Allocation Account</v>
      </c>
      <c r="B2948" s="125">
        <f>+IFERROR(VLOOKUP(L2948,'TB mapping'!A:D,4,0),0)</f>
        <v>0</v>
      </c>
      <c r="C2948" s="125">
        <f>+IFERROR(VLOOKUP(L2948,'TB mapping'!A:C,3,0),0)</f>
        <v>6.3</v>
      </c>
      <c r="D2948" s="125" t="str">
        <f t="shared" si="301"/>
        <v>LIC1760</v>
      </c>
      <c r="E2948" s="125" t="str">
        <f t="shared" si="302"/>
        <v>LIC1766.3</v>
      </c>
      <c r="F2948" s="158" t="str">
        <f>+VLOOKUP(H2948,'code mapping'!A:C,3,0)</f>
        <v>LIC176</v>
      </c>
      <c r="G2948" s="127" t="s">
        <v>453</v>
      </c>
      <c r="H2948" s="127" t="s">
        <v>786</v>
      </c>
      <c r="I2948" s="127" t="s">
        <v>787</v>
      </c>
      <c r="J2948" s="128">
        <v>550000</v>
      </c>
      <c r="K2948" s="127" t="s">
        <v>550</v>
      </c>
      <c r="L2948" s="151">
        <v>553111</v>
      </c>
      <c r="M2948" s="128">
        <v>0</v>
      </c>
      <c r="N2948" s="127" t="s">
        <v>554</v>
      </c>
      <c r="O2948" s="127" t="s">
        <v>457</v>
      </c>
      <c r="P2948" s="128">
        <v>0</v>
      </c>
      <c r="Q2948" s="128">
        <v>1021373.91</v>
      </c>
      <c r="R2948" s="128">
        <v>0</v>
      </c>
      <c r="S2948" s="128">
        <v>0</v>
      </c>
      <c r="T2948" s="128">
        <v>0</v>
      </c>
      <c r="U2948" s="128">
        <v>1021373.91</v>
      </c>
      <c r="V2948" s="128">
        <v>0</v>
      </c>
      <c r="W2948" s="128">
        <v>1021373.91</v>
      </c>
      <c r="X2948" s="128">
        <v>0</v>
      </c>
      <c r="Y2948" s="128">
        <v>0</v>
      </c>
      <c r="Z2948" s="128">
        <v>0</v>
      </c>
      <c r="AA2948" s="128">
        <v>1021373.91</v>
      </c>
      <c r="AB2948" s="126">
        <f t="shared" si="303"/>
        <v>-0.10213739100000001</v>
      </c>
      <c r="AC2948" s="122" t="s">
        <v>1838</v>
      </c>
      <c r="AD2948" s="123">
        <f t="shared" si="304"/>
        <v>0.33939076800000001</v>
      </c>
    </row>
    <row r="2949" spans="1:30" ht="12.75" hidden="1" customHeight="1">
      <c r="A2949" s="125" t="str">
        <f t="shared" si="300"/>
        <v>LIC176Trustee Fee</v>
      </c>
      <c r="B2949" s="125">
        <f>+IFERROR(VLOOKUP(L2949,'TB mapping'!A:D,4,0),0)</f>
        <v>6.2</v>
      </c>
      <c r="C2949" s="125">
        <f>+IFERROR(VLOOKUP(L2949,'TB mapping'!A:C,3,0),0)</f>
        <v>6.3</v>
      </c>
      <c r="D2949" s="125" t="str">
        <f t="shared" si="301"/>
        <v>LIC1766.2</v>
      </c>
      <c r="E2949" s="125" t="str">
        <f t="shared" si="302"/>
        <v>LIC1766.3</v>
      </c>
      <c r="F2949" s="158" t="str">
        <f>+VLOOKUP(H2949,'code mapping'!A:C,3,0)</f>
        <v>LIC176</v>
      </c>
      <c r="G2949" s="127" t="s">
        <v>453</v>
      </c>
      <c r="H2949" s="127" t="s">
        <v>786</v>
      </c>
      <c r="I2949" s="127" t="s">
        <v>787</v>
      </c>
      <c r="J2949" s="128">
        <v>550000</v>
      </c>
      <c r="K2949" s="127" t="s">
        <v>550</v>
      </c>
      <c r="L2949" s="151">
        <v>553131</v>
      </c>
      <c r="M2949" s="128">
        <v>0</v>
      </c>
      <c r="N2949" s="127" t="s">
        <v>555</v>
      </c>
      <c r="O2949" s="127" t="s">
        <v>457</v>
      </c>
      <c r="P2949" s="128">
        <v>-30765.53</v>
      </c>
      <c r="Q2949" s="128">
        <v>0</v>
      </c>
      <c r="R2949" s="128">
        <v>0</v>
      </c>
      <c r="S2949" s="128">
        <v>0</v>
      </c>
      <c r="T2949" s="128">
        <v>-30765.53</v>
      </c>
      <c r="U2949" s="128">
        <v>0</v>
      </c>
      <c r="V2949" s="128">
        <v>-30765.53</v>
      </c>
      <c r="W2949" s="128">
        <v>0</v>
      </c>
      <c r="X2949" s="128">
        <v>0</v>
      </c>
      <c r="Y2949" s="128">
        <v>0</v>
      </c>
      <c r="Z2949" s="128">
        <v>-30765.53</v>
      </c>
      <c r="AA2949" s="128">
        <v>0</v>
      </c>
      <c r="AB2949" s="126">
        <f t="shared" si="303"/>
        <v>3.0765530000000001E-3</v>
      </c>
      <c r="AC2949" s="122" t="s">
        <v>1838</v>
      </c>
      <c r="AD2949" s="123">
        <f t="shared" si="304"/>
        <v>0.33939076800000001</v>
      </c>
    </row>
    <row r="2950" spans="1:30" ht="12.75" hidden="1" customHeight="1">
      <c r="A2950" s="125" t="str">
        <f t="shared" si="300"/>
        <v>LIC176Listing Expenses</v>
      </c>
      <c r="B2950" s="125">
        <f>+IFERROR(VLOOKUP(L2950,'TB mapping'!A:D,4,0),0)</f>
        <v>0</v>
      </c>
      <c r="C2950" s="125">
        <f>+IFERROR(VLOOKUP(L2950,'TB mapping'!A:C,3,0),0)</f>
        <v>6.3</v>
      </c>
      <c r="D2950" s="125" t="str">
        <f t="shared" si="301"/>
        <v>LIC1760</v>
      </c>
      <c r="E2950" s="125" t="str">
        <f t="shared" si="302"/>
        <v>LIC1766.3</v>
      </c>
      <c r="F2950" s="158" t="str">
        <f>+VLOOKUP(H2950,'code mapping'!A:C,3,0)</f>
        <v>LIC176</v>
      </c>
      <c r="G2950" s="127" t="s">
        <v>453</v>
      </c>
      <c r="H2950" s="127" t="s">
        <v>786</v>
      </c>
      <c r="I2950" s="127" t="s">
        <v>787</v>
      </c>
      <c r="J2950" s="128">
        <v>550000</v>
      </c>
      <c r="K2950" s="127" t="s">
        <v>550</v>
      </c>
      <c r="L2950" s="151">
        <v>553135</v>
      </c>
      <c r="M2950" s="128">
        <v>0</v>
      </c>
      <c r="N2950" s="127" t="s">
        <v>780</v>
      </c>
      <c r="O2950" s="127" t="s">
        <v>457</v>
      </c>
      <c r="P2950" s="128">
        <v>-38640</v>
      </c>
      <c r="Q2950" s="128">
        <v>0</v>
      </c>
      <c r="R2950" s="128">
        <v>0</v>
      </c>
      <c r="S2950" s="128">
        <v>0</v>
      </c>
      <c r="T2950" s="128">
        <v>-38640</v>
      </c>
      <c r="U2950" s="128">
        <v>0</v>
      </c>
      <c r="V2950" s="128">
        <v>-38640</v>
      </c>
      <c r="W2950" s="128">
        <v>0</v>
      </c>
      <c r="X2950" s="128">
        <v>0</v>
      </c>
      <c r="Y2950" s="128">
        <v>0</v>
      </c>
      <c r="Z2950" s="128">
        <v>-38640</v>
      </c>
      <c r="AA2950" s="128">
        <v>0</v>
      </c>
      <c r="AB2950" s="126">
        <f t="shared" si="303"/>
        <v>3.8639999999999998E-3</v>
      </c>
      <c r="AC2950" s="122" t="s">
        <v>1838</v>
      </c>
      <c r="AD2950" s="123">
        <f t="shared" si="304"/>
        <v>0.33939076800000001</v>
      </c>
    </row>
    <row r="2951" spans="1:30" ht="12.75" hidden="1" customHeight="1">
      <c r="A2951" s="125" t="str">
        <f t="shared" si="300"/>
        <v>LIC176Bank Charges</v>
      </c>
      <c r="B2951" s="125">
        <f>+IFERROR(VLOOKUP(L2951,'TB mapping'!A:D,4,0),0)</f>
        <v>0</v>
      </c>
      <c r="C2951" s="125">
        <f>+IFERROR(VLOOKUP(L2951,'TB mapping'!A:C,3,0),0)</f>
        <v>6.3</v>
      </c>
      <c r="D2951" s="125" t="str">
        <f t="shared" si="301"/>
        <v>LIC1760</v>
      </c>
      <c r="E2951" s="125" t="str">
        <f t="shared" si="302"/>
        <v>LIC1766.3</v>
      </c>
      <c r="F2951" s="158" t="str">
        <f>+VLOOKUP(H2951,'code mapping'!A:C,3,0)</f>
        <v>LIC176</v>
      </c>
      <c r="G2951" s="127" t="s">
        <v>453</v>
      </c>
      <c r="H2951" s="127" t="s">
        <v>786</v>
      </c>
      <c r="I2951" s="127" t="s">
        <v>787</v>
      </c>
      <c r="J2951" s="128">
        <v>550000</v>
      </c>
      <c r="K2951" s="127" t="s">
        <v>550</v>
      </c>
      <c r="L2951" s="151">
        <v>553141</v>
      </c>
      <c r="M2951" s="128">
        <v>0</v>
      </c>
      <c r="N2951" s="127" t="s">
        <v>556</v>
      </c>
      <c r="O2951" s="127" t="s">
        <v>457</v>
      </c>
      <c r="P2951" s="128">
        <v>-2264.9500000000003</v>
      </c>
      <c r="Q2951" s="128">
        <v>0</v>
      </c>
      <c r="R2951" s="128">
        <v>0</v>
      </c>
      <c r="S2951" s="128">
        <v>0</v>
      </c>
      <c r="T2951" s="128">
        <v>-2264.9500000000003</v>
      </c>
      <c r="U2951" s="128">
        <v>0</v>
      </c>
      <c r="V2951" s="128">
        <v>-2264.9500000000003</v>
      </c>
      <c r="W2951" s="128">
        <v>0</v>
      </c>
      <c r="X2951" s="128">
        <v>0</v>
      </c>
      <c r="Y2951" s="128">
        <v>0</v>
      </c>
      <c r="Z2951" s="128">
        <v>-2264.9500000000003</v>
      </c>
      <c r="AA2951" s="128">
        <v>0</v>
      </c>
      <c r="AB2951" s="126">
        <f t="shared" si="303"/>
        <v>2.2649500000000003E-4</v>
      </c>
      <c r="AC2951" s="122" t="s">
        <v>1838</v>
      </c>
      <c r="AD2951" s="123">
        <f t="shared" si="304"/>
        <v>0.33939076800000001</v>
      </c>
    </row>
    <row r="2952" spans="1:30" ht="12.75" hidden="1" customHeight="1">
      <c r="A2952" s="125" t="str">
        <f t="shared" si="300"/>
        <v>LIC176Investor Education Fund Exps</v>
      </c>
      <c r="B2952" s="125">
        <f>+IFERROR(VLOOKUP(L2952,'TB mapping'!A:D,4,0),0)</f>
        <v>0</v>
      </c>
      <c r="C2952" s="125">
        <f>+IFERROR(VLOOKUP(L2952,'TB mapping'!A:C,3,0),0)</f>
        <v>6.3</v>
      </c>
      <c r="D2952" s="125" t="str">
        <f t="shared" si="301"/>
        <v>LIC1760</v>
      </c>
      <c r="E2952" s="125" t="str">
        <f t="shared" si="302"/>
        <v>LIC1766.3</v>
      </c>
      <c r="F2952" s="158" t="str">
        <f>+VLOOKUP(H2952,'code mapping'!A:C,3,0)</f>
        <v>LIC176</v>
      </c>
      <c r="G2952" s="127" t="s">
        <v>453</v>
      </c>
      <c r="H2952" s="127" t="s">
        <v>786</v>
      </c>
      <c r="I2952" s="127" t="s">
        <v>787</v>
      </c>
      <c r="J2952" s="128">
        <v>550000</v>
      </c>
      <c r="K2952" s="127" t="s">
        <v>550</v>
      </c>
      <c r="L2952" s="151">
        <v>553171</v>
      </c>
      <c r="M2952" s="128">
        <v>0</v>
      </c>
      <c r="N2952" s="127" t="s">
        <v>557</v>
      </c>
      <c r="O2952" s="127" t="s">
        <v>457</v>
      </c>
      <c r="P2952" s="128">
        <v>-319391.24</v>
      </c>
      <c r="Q2952" s="128">
        <v>0</v>
      </c>
      <c r="R2952" s="128">
        <v>0</v>
      </c>
      <c r="S2952" s="128">
        <v>0</v>
      </c>
      <c r="T2952" s="128">
        <v>-319391.24</v>
      </c>
      <c r="U2952" s="128">
        <v>0</v>
      </c>
      <c r="V2952" s="128">
        <v>-319391.24</v>
      </c>
      <c r="W2952" s="128">
        <v>0</v>
      </c>
      <c r="X2952" s="128">
        <v>0</v>
      </c>
      <c r="Y2952" s="128">
        <v>0</v>
      </c>
      <c r="Z2952" s="128">
        <v>-319391.24</v>
      </c>
      <c r="AA2952" s="128">
        <v>0</v>
      </c>
      <c r="AB2952" s="126">
        <f t="shared" si="303"/>
        <v>3.1939123999999999E-2</v>
      </c>
      <c r="AC2952" s="122" t="s">
        <v>1838</v>
      </c>
      <c r="AD2952" s="123">
        <f t="shared" si="304"/>
        <v>0.33939076800000001</v>
      </c>
    </row>
    <row r="2953" spans="1:30" ht="12.75" hidden="1" customHeight="1">
      <c r="A2953" s="125" t="str">
        <f t="shared" si="300"/>
        <v>LIC176CCIL Expenses</v>
      </c>
      <c r="B2953" s="125">
        <f>+IFERROR(VLOOKUP(L2953,'TB mapping'!A:D,4,0),0)</f>
        <v>0</v>
      </c>
      <c r="C2953" s="125">
        <f>+IFERROR(VLOOKUP(L2953,'TB mapping'!A:C,3,0),0)</f>
        <v>6.3</v>
      </c>
      <c r="D2953" s="125" t="str">
        <f t="shared" si="301"/>
        <v>LIC1760</v>
      </c>
      <c r="E2953" s="125" t="str">
        <f t="shared" si="302"/>
        <v>LIC1766.3</v>
      </c>
      <c r="F2953" s="158" t="str">
        <f>+VLOOKUP(H2953,'code mapping'!A:C,3,0)</f>
        <v>LIC176</v>
      </c>
      <c r="G2953" s="127" t="s">
        <v>453</v>
      </c>
      <c r="H2953" s="127" t="s">
        <v>786</v>
      </c>
      <c r="I2953" s="127" t="s">
        <v>787</v>
      </c>
      <c r="J2953" s="128">
        <v>550000</v>
      </c>
      <c r="K2953" s="127" t="s">
        <v>550</v>
      </c>
      <c r="L2953" s="151">
        <v>553176</v>
      </c>
      <c r="M2953" s="128">
        <v>0</v>
      </c>
      <c r="N2953" s="127" t="s">
        <v>559</v>
      </c>
      <c r="O2953" s="127" t="s">
        <v>457</v>
      </c>
      <c r="P2953" s="128">
        <v>-2124.44</v>
      </c>
      <c r="Q2953" s="128">
        <v>0</v>
      </c>
      <c r="R2953" s="128">
        <v>0</v>
      </c>
      <c r="S2953" s="128">
        <v>0</v>
      </c>
      <c r="T2953" s="128">
        <v>-2124.44</v>
      </c>
      <c r="U2953" s="128">
        <v>0</v>
      </c>
      <c r="V2953" s="128">
        <v>-2124.44</v>
      </c>
      <c r="W2953" s="128">
        <v>0</v>
      </c>
      <c r="X2953" s="128">
        <v>0</v>
      </c>
      <c r="Y2953" s="128">
        <v>0</v>
      </c>
      <c r="Z2953" s="128">
        <v>-2124.44</v>
      </c>
      <c r="AA2953" s="128">
        <v>0</v>
      </c>
      <c r="AB2953" s="126">
        <f t="shared" si="303"/>
        <v>2.12444E-4</v>
      </c>
      <c r="AC2953" s="122" t="s">
        <v>1838</v>
      </c>
      <c r="AD2953" s="123">
        <f t="shared" si="304"/>
        <v>0.33939076800000001</v>
      </c>
    </row>
    <row r="2954" spans="1:30" ht="12.75" hidden="1" customHeight="1">
      <c r="A2954" s="125" t="str">
        <f t="shared" si="300"/>
        <v>LIC176Out of Pocket Expenses - R&amp;T</v>
      </c>
      <c r="B2954" s="125">
        <f>+IFERROR(VLOOKUP(L2954,'TB mapping'!A:D,4,0),0)</f>
        <v>0</v>
      </c>
      <c r="C2954" s="125">
        <f>+IFERROR(VLOOKUP(L2954,'TB mapping'!A:C,3,0),0)</f>
        <v>6.3</v>
      </c>
      <c r="D2954" s="125" t="str">
        <f t="shared" si="301"/>
        <v>LIC1760</v>
      </c>
      <c r="E2954" s="125" t="str">
        <f t="shared" si="302"/>
        <v>LIC1766.3</v>
      </c>
      <c r="F2954" s="158" t="str">
        <f>+VLOOKUP(H2954,'code mapping'!A:C,3,0)</f>
        <v>LIC176</v>
      </c>
      <c r="G2954" s="127" t="s">
        <v>453</v>
      </c>
      <c r="H2954" s="127" t="s">
        <v>786</v>
      </c>
      <c r="I2954" s="127" t="s">
        <v>787</v>
      </c>
      <c r="J2954" s="128">
        <v>550000</v>
      </c>
      <c r="K2954" s="127" t="s">
        <v>550</v>
      </c>
      <c r="L2954" s="151">
        <v>553180</v>
      </c>
      <c r="M2954" s="128">
        <v>0</v>
      </c>
      <c r="N2954" s="127" t="s">
        <v>560</v>
      </c>
      <c r="O2954" s="127" t="s">
        <v>457</v>
      </c>
      <c r="P2954" s="128">
        <v>-403.49</v>
      </c>
      <c r="Q2954" s="128">
        <v>0</v>
      </c>
      <c r="R2954" s="128">
        <v>0</v>
      </c>
      <c r="S2954" s="128">
        <v>0</v>
      </c>
      <c r="T2954" s="128">
        <v>-403.49</v>
      </c>
      <c r="U2954" s="128">
        <v>0</v>
      </c>
      <c r="V2954" s="128">
        <v>-403.49</v>
      </c>
      <c r="W2954" s="128">
        <v>0</v>
      </c>
      <c r="X2954" s="128">
        <v>0</v>
      </c>
      <c r="Y2954" s="128">
        <v>0</v>
      </c>
      <c r="Z2954" s="128">
        <v>-403.49</v>
      </c>
      <c r="AA2954" s="128">
        <v>0</v>
      </c>
      <c r="AB2954" s="126">
        <f t="shared" si="303"/>
        <v>4.0349000000000003E-5</v>
      </c>
      <c r="AC2954" s="122" t="s">
        <v>1838</v>
      </c>
      <c r="AD2954" s="123">
        <f t="shared" si="304"/>
        <v>0.33939076800000001</v>
      </c>
    </row>
    <row r="2955" spans="1:30" ht="12.75" hidden="1" customHeight="1">
      <c r="A2955" s="125" t="str">
        <f t="shared" si="300"/>
        <v>LIC176Other Expenses</v>
      </c>
      <c r="B2955" s="125">
        <f>+IFERROR(VLOOKUP(L2955,'TB mapping'!A:D,4,0),0)</f>
        <v>0</v>
      </c>
      <c r="C2955" s="125">
        <f>+IFERROR(VLOOKUP(L2955,'TB mapping'!A:C,3,0),0)</f>
        <v>6.3</v>
      </c>
      <c r="D2955" s="125" t="str">
        <f t="shared" si="301"/>
        <v>LIC1760</v>
      </c>
      <c r="E2955" s="125" t="str">
        <f t="shared" si="302"/>
        <v>LIC1766.3</v>
      </c>
      <c r="F2955" s="158" t="str">
        <f>+VLOOKUP(H2955,'code mapping'!A:C,3,0)</f>
        <v>LIC176</v>
      </c>
      <c r="G2955" s="127" t="s">
        <v>453</v>
      </c>
      <c r="H2955" s="127" t="s">
        <v>786</v>
      </c>
      <c r="I2955" s="127" t="s">
        <v>787</v>
      </c>
      <c r="J2955" s="128">
        <v>550000</v>
      </c>
      <c r="K2955" s="127" t="s">
        <v>550</v>
      </c>
      <c r="L2955" s="151">
        <v>553190</v>
      </c>
      <c r="M2955" s="128">
        <v>0</v>
      </c>
      <c r="N2955" s="127" t="s">
        <v>561</v>
      </c>
      <c r="O2955" s="127" t="s">
        <v>457</v>
      </c>
      <c r="P2955" s="128">
        <v>0</v>
      </c>
      <c r="Q2955" s="128">
        <v>807347.59</v>
      </c>
      <c r="R2955" s="128">
        <v>0</v>
      </c>
      <c r="S2955" s="128">
        <v>0</v>
      </c>
      <c r="T2955" s="128">
        <v>0</v>
      </c>
      <c r="U2955" s="128">
        <v>807347.59</v>
      </c>
      <c r="V2955" s="128">
        <v>0</v>
      </c>
      <c r="W2955" s="128">
        <v>807347.59</v>
      </c>
      <c r="X2955" s="128">
        <v>0</v>
      </c>
      <c r="Y2955" s="128">
        <v>0</v>
      </c>
      <c r="Z2955" s="128">
        <v>0</v>
      </c>
      <c r="AA2955" s="128">
        <v>807347.59</v>
      </c>
      <c r="AB2955" s="126">
        <f t="shared" si="303"/>
        <v>-8.0734759000000003E-2</v>
      </c>
      <c r="AC2955" s="122" t="s">
        <v>1838</v>
      </c>
      <c r="AD2955" s="123">
        <f t="shared" si="304"/>
        <v>0.33939076800000001</v>
      </c>
    </row>
    <row r="2956" spans="1:30" ht="12.75" hidden="1" customHeight="1">
      <c r="A2956" s="125" t="str">
        <f t="shared" si="300"/>
        <v>LIC176Other Exp - Brok - Indirect</v>
      </c>
      <c r="B2956" s="125">
        <f>+IFERROR(VLOOKUP(L2956,'TB mapping'!A:D,4,0),0)</f>
        <v>0</v>
      </c>
      <c r="C2956" s="125">
        <f>+IFERROR(VLOOKUP(L2956,'TB mapping'!A:C,3,0),0)</f>
        <v>6.3</v>
      </c>
      <c r="D2956" s="125" t="str">
        <f t="shared" si="301"/>
        <v>LIC1760</v>
      </c>
      <c r="E2956" s="125" t="str">
        <f t="shared" si="302"/>
        <v>LIC1766.3</v>
      </c>
      <c r="F2956" s="158" t="str">
        <f>+VLOOKUP(H2956,'code mapping'!A:C,3,0)</f>
        <v>LIC176</v>
      </c>
      <c r="G2956" s="127" t="s">
        <v>453</v>
      </c>
      <c r="H2956" s="127" t="s">
        <v>786</v>
      </c>
      <c r="I2956" s="127" t="s">
        <v>787</v>
      </c>
      <c r="J2956" s="128">
        <v>550000</v>
      </c>
      <c r="K2956" s="127" t="s">
        <v>550</v>
      </c>
      <c r="L2956" s="151">
        <v>553202</v>
      </c>
      <c r="M2956" s="128">
        <v>0</v>
      </c>
      <c r="N2956" s="127" t="s">
        <v>564</v>
      </c>
      <c r="O2956" s="127" t="s">
        <v>457</v>
      </c>
      <c r="P2956" s="128">
        <v>-238981.87</v>
      </c>
      <c r="Q2956" s="128">
        <v>0</v>
      </c>
      <c r="R2956" s="128">
        <v>0</v>
      </c>
      <c r="S2956" s="128">
        <v>0</v>
      </c>
      <c r="T2956" s="128">
        <v>-238981.87</v>
      </c>
      <c r="U2956" s="128">
        <v>0</v>
      </c>
      <c r="V2956" s="128">
        <v>-238981.87</v>
      </c>
      <c r="W2956" s="128">
        <v>0</v>
      </c>
      <c r="X2956" s="128">
        <v>0</v>
      </c>
      <c r="Y2956" s="128">
        <v>0</v>
      </c>
      <c r="Z2956" s="128">
        <v>-238981.87</v>
      </c>
      <c r="AA2956" s="128">
        <v>0</v>
      </c>
      <c r="AB2956" s="126">
        <f t="shared" si="303"/>
        <v>2.3898186999999998E-2</v>
      </c>
      <c r="AC2956" s="122" t="s">
        <v>1838</v>
      </c>
      <c r="AD2956" s="123">
        <f t="shared" si="304"/>
        <v>0.33939076800000001</v>
      </c>
    </row>
    <row r="2957" spans="1:30" ht="12.75" hidden="1" customHeight="1">
      <c r="A2957" s="125" t="str">
        <f t="shared" si="300"/>
        <v>LIC176Brokerage/Dist Exps</v>
      </c>
      <c r="B2957" s="125">
        <f>+IFERROR(VLOOKUP(L2957,'TB mapping'!A:D,4,0),0)</f>
        <v>0</v>
      </c>
      <c r="C2957" s="125">
        <f>+IFERROR(VLOOKUP(L2957,'TB mapping'!A:C,3,0),0)</f>
        <v>6.3</v>
      </c>
      <c r="D2957" s="125" t="str">
        <f t="shared" si="301"/>
        <v>LIC1760</v>
      </c>
      <c r="E2957" s="125" t="str">
        <f t="shared" si="302"/>
        <v>LIC1766.3</v>
      </c>
      <c r="F2957" s="158" t="str">
        <f>+VLOOKUP(H2957,'code mapping'!A:C,3,0)</f>
        <v>LIC176</v>
      </c>
      <c r="G2957" s="127" t="s">
        <v>453</v>
      </c>
      <c r="H2957" s="127" t="s">
        <v>786</v>
      </c>
      <c r="I2957" s="127" t="s">
        <v>787</v>
      </c>
      <c r="J2957" s="128">
        <v>550000</v>
      </c>
      <c r="K2957" s="127" t="s">
        <v>550</v>
      </c>
      <c r="L2957" s="151">
        <v>553208</v>
      </c>
      <c r="M2957" s="128">
        <v>0</v>
      </c>
      <c r="N2957" s="127" t="s">
        <v>565</v>
      </c>
      <c r="O2957" s="127" t="s">
        <v>457</v>
      </c>
      <c r="P2957" s="128">
        <v>0</v>
      </c>
      <c r="Q2957" s="128">
        <v>234.11</v>
      </c>
      <c r="R2957" s="128">
        <v>0</v>
      </c>
      <c r="S2957" s="128">
        <v>0</v>
      </c>
      <c r="T2957" s="128">
        <v>0</v>
      </c>
      <c r="U2957" s="128">
        <v>234.11</v>
      </c>
      <c r="V2957" s="128">
        <v>0</v>
      </c>
      <c r="W2957" s="128">
        <v>234.11</v>
      </c>
      <c r="X2957" s="128">
        <v>0</v>
      </c>
      <c r="Y2957" s="128">
        <v>0</v>
      </c>
      <c r="Z2957" s="128">
        <v>0</v>
      </c>
      <c r="AA2957" s="128">
        <v>234.11</v>
      </c>
      <c r="AB2957" s="126">
        <f t="shared" si="303"/>
        <v>-2.3411E-5</v>
      </c>
      <c r="AC2957" s="122" t="s">
        <v>1838</v>
      </c>
      <c r="AD2957" s="123">
        <f t="shared" si="304"/>
        <v>0.33939076800000001</v>
      </c>
    </row>
    <row r="2958" spans="1:30" ht="12.75" hidden="1" customHeight="1">
      <c r="A2958" s="125" t="str">
        <f t="shared" si="300"/>
        <v>LIC176Internal Audit Fee</v>
      </c>
      <c r="B2958" s="125">
        <f>+IFERROR(VLOOKUP(L2958,'TB mapping'!A:D,4,0),0)</f>
        <v>0</v>
      </c>
      <c r="C2958" s="125">
        <f>+IFERROR(VLOOKUP(L2958,'TB mapping'!A:C,3,0),0)</f>
        <v>6.3</v>
      </c>
      <c r="D2958" s="125" t="str">
        <f t="shared" si="301"/>
        <v>LIC1760</v>
      </c>
      <c r="E2958" s="125" t="str">
        <f t="shared" si="302"/>
        <v>LIC1766.3</v>
      </c>
      <c r="F2958" s="158" t="str">
        <f>+VLOOKUP(H2958,'code mapping'!A:C,3,0)</f>
        <v>LIC176</v>
      </c>
      <c r="G2958" s="127" t="s">
        <v>453</v>
      </c>
      <c r="H2958" s="127" t="s">
        <v>786</v>
      </c>
      <c r="I2958" s="127" t="s">
        <v>787</v>
      </c>
      <c r="J2958" s="128">
        <v>550000</v>
      </c>
      <c r="K2958" s="127" t="s">
        <v>550</v>
      </c>
      <c r="L2958" s="151">
        <v>553213</v>
      </c>
      <c r="M2958" s="128">
        <v>0</v>
      </c>
      <c r="N2958" s="127" t="s">
        <v>566</v>
      </c>
      <c r="O2958" s="127" t="s">
        <v>457</v>
      </c>
      <c r="P2958" s="128">
        <v>-17983.91</v>
      </c>
      <c r="Q2958" s="128">
        <v>0</v>
      </c>
      <c r="R2958" s="128">
        <v>0</v>
      </c>
      <c r="S2958" s="128">
        <v>0</v>
      </c>
      <c r="T2958" s="128">
        <v>-17983.91</v>
      </c>
      <c r="U2958" s="128">
        <v>0</v>
      </c>
      <c r="V2958" s="128">
        <v>-17983.91</v>
      </c>
      <c r="W2958" s="128">
        <v>0</v>
      </c>
      <c r="X2958" s="128">
        <v>0</v>
      </c>
      <c r="Y2958" s="128">
        <v>0</v>
      </c>
      <c r="Z2958" s="128">
        <v>-17983.91</v>
      </c>
      <c r="AA2958" s="128">
        <v>0</v>
      </c>
      <c r="AB2958" s="126">
        <f t="shared" si="303"/>
        <v>1.7983909999999999E-3</v>
      </c>
      <c r="AC2958" s="122" t="s">
        <v>1838</v>
      </c>
      <c r="AD2958" s="123">
        <f t="shared" si="304"/>
        <v>0.33939076800000001</v>
      </c>
    </row>
    <row r="2959" spans="1:30" ht="12.75" hidden="1" customHeight="1">
      <c r="A2959" s="125" t="str">
        <f t="shared" si="300"/>
        <v>LIC176Other Expenses - G</v>
      </c>
      <c r="B2959" s="125">
        <f>+IFERROR(VLOOKUP(L2959,'TB mapping'!A:D,4,0),0)</f>
        <v>0</v>
      </c>
      <c r="C2959" s="125">
        <f>+IFERROR(VLOOKUP(L2959,'TB mapping'!A:C,3,0),0)</f>
        <v>6.3</v>
      </c>
      <c r="D2959" s="125" t="str">
        <f t="shared" si="301"/>
        <v>LIC1760</v>
      </c>
      <c r="E2959" s="125" t="str">
        <f t="shared" si="302"/>
        <v>LIC1766.3</v>
      </c>
      <c r="F2959" s="158" t="str">
        <f>+VLOOKUP(H2959,'code mapping'!A:C,3,0)</f>
        <v>LIC176</v>
      </c>
      <c r="G2959" s="127" t="s">
        <v>453</v>
      </c>
      <c r="H2959" s="127" t="s">
        <v>786</v>
      </c>
      <c r="I2959" s="127" t="s">
        <v>787</v>
      </c>
      <c r="J2959" s="128">
        <v>550000</v>
      </c>
      <c r="K2959" s="127" t="s">
        <v>550</v>
      </c>
      <c r="L2959" s="151">
        <v>553273</v>
      </c>
      <c r="M2959" s="128">
        <v>0</v>
      </c>
      <c r="N2959" s="127" t="s">
        <v>621</v>
      </c>
      <c r="O2959" s="127" t="s">
        <v>457</v>
      </c>
      <c r="P2959" s="128">
        <v>-2624011.21</v>
      </c>
      <c r="Q2959" s="128">
        <v>0</v>
      </c>
      <c r="R2959" s="128">
        <v>0</v>
      </c>
      <c r="S2959" s="128">
        <v>0</v>
      </c>
      <c r="T2959" s="128">
        <v>-2624011.21</v>
      </c>
      <c r="U2959" s="128">
        <v>0</v>
      </c>
      <c r="V2959" s="128">
        <v>-2624011.21</v>
      </c>
      <c r="W2959" s="128">
        <v>0</v>
      </c>
      <c r="X2959" s="128">
        <v>0</v>
      </c>
      <c r="Y2959" s="128">
        <v>0</v>
      </c>
      <c r="Z2959" s="128">
        <v>-2624011.21</v>
      </c>
      <c r="AA2959" s="128">
        <v>0</v>
      </c>
      <c r="AB2959" s="126">
        <f t="shared" si="303"/>
        <v>0.26240112100000001</v>
      </c>
      <c r="AC2959" s="122" t="s">
        <v>1838</v>
      </c>
      <c r="AD2959" s="123">
        <f t="shared" si="304"/>
        <v>0.33939076800000001</v>
      </c>
    </row>
    <row r="2960" spans="1:30" ht="12.75" hidden="1" customHeight="1">
      <c r="A2960" s="125" t="str">
        <f t="shared" si="300"/>
        <v>LIC176Inv Educ Fund Expense - Amfi</v>
      </c>
      <c r="B2960" s="125">
        <f>+IFERROR(VLOOKUP(L2960,'TB mapping'!A:D,4,0),0)</f>
        <v>0</v>
      </c>
      <c r="C2960" s="125">
        <f>+IFERROR(VLOOKUP(L2960,'TB mapping'!A:C,3,0),0)</f>
        <v>6.3</v>
      </c>
      <c r="D2960" s="125" t="str">
        <f t="shared" si="301"/>
        <v>LIC1760</v>
      </c>
      <c r="E2960" s="125" t="str">
        <f t="shared" si="302"/>
        <v>LIC1766.3</v>
      </c>
      <c r="F2960" s="158" t="str">
        <f>+VLOOKUP(H2960,'code mapping'!A:C,3,0)</f>
        <v>LIC176</v>
      </c>
      <c r="G2960" s="127" t="s">
        <v>453</v>
      </c>
      <c r="H2960" s="127" t="s">
        <v>786</v>
      </c>
      <c r="I2960" s="127" t="s">
        <v>787</v>
      </c>
      <c r="J2960" s="128">
        <v>550000</v>
      </c>
      <c r="K2960" s="127" t="s">
        <v>550</v>
      </c>
      <c r="L2960" s="151">
        <v>554526</v>
      </c>
      <c r="M2960" s="128">
        <v>0</v>
      </c>
      <c r="N2960" s="127" t="s">
        <v>569</v>
      </c>
      <c r="O2960" s="127" t="s">
        <v>457</v>
      </c>
      <c r="P2960" s="128">
        <v>-319391.24</v>
      </c>
      <c r="Q2960" s="128">
        <v>0</v>
      </c>
      <c r="R2960" s="128">
        <v>0</v>
      </c>
      <c r="S2960" s="128">
        <v>0</v>
      </c>
      <c r="T2960" s="128">
        <v>-319391.24</v>
      </c>
      <c r="U2960" s="128">
        <v>0</v>
      </c>
      <c r="V2960" s="128">
        <v>-319391.24</v>
      </c>
      <c r="W2960" s="128">
        <v>0</v>
      </c>
      <c r="X2960" s="128">
        <v>0</v>
      </c>
      <c r="Y2960" s="128">
        <v>0</v>
      </c>
      <c r="Z2960" s="128">
        <v>-319391.24</v>
      </c>
      <c r="AA2960" s="128">
        <v>0</v>
      </c>
      <c r="AB2960" s="126">
        <f t="shared" si="303"/>
        <v>3.1939123999999999E-2</v>
      </c>
      <c r="AC2960" s="122" t="s">
        <v>1838</v>
      </c>
      <c r="AD2960" s="123">
        <f t="shared" si="304"/>
        <v>0.33939076800000001</v>
      </c>
    </row>
    <row r="2961" spans="1:30" ht="12.75" hidden="1" customHeight="1">
      <c r="A2961" s="125" t="str">
        <f t="shared" si="300"/>
        <v>LIC176Client Servicing Expenes</v>
      </c>
      <c r="B2961" s="125">
        <f>+IFERROR(VLOOKUP(L2961,'TB mapping'!A:D,4,0),0)</f>
        <v>0</v>
      </c>
      <c r="C2961" s="125">
        <f>+IFERROR(VLOOKUP(L2961,'TB mapping'!A:C,3,0),0)</f>
        <v>6.3</v>
      </c>
      <c r="D2961" s="125" t="str">
        <f t="shared" si="301"/>
        <v>LIC1760</v>
      </c>
      <c r="E2961" s="125" t="str">
        <f t="shared" si="302"/>
        <v>LIC1766.3</v>
      </c>
      <c r="F2961" s="158" t="str">
        <f>+VLOOKUP(H2961,'code mapping'!A:C,3,0)</f>
        <v>LIC176</v>
      </c>
      <c r="G2961" s="127" t="s">
        <v>453</v>
      </c>
      <c r="H2961" s="127" t="s">
        <v>786</v>
      </c>
      <c r="I2961" s="127" t="s">
        <v>787</v>
      </c>
      <c r="J2961" s="128">
        <v>550000</v>
      </c>
      <c r="K2961" s="127" t="s">
        <v>550</v>
      </c>
      <c r="L2961" s="151">
        <v>555157</v>
      </c>
      <c r="M2961" s="128">
        <v>0</v>
      </c>
      <c r="N2961" s="127" t="s">
        <v>571</v>
      </c>
      <c r="O2961" s="127" t="s">
        <v>457</v>
      </c>
      <c r="P2961" s="128">
        <v>-642.48</v>
      </c>
      <c r="Q2961" s="128">
        <v>0</v>
      </c>
      <c r="R2961" s="128">
        <v>0</v>
      </c>
      <c r="S2961" s="128">
        <v>0</v>
      </c>
      <c r="T2961" s="128">
        <v>-642.48</v>
      </c>
      <c r="U2961" s="128">
        <v>0</v>
      </c>
      <c r="V2961" s="128">
        <v>-642.48</v>
      </c>
      <c r="W2961" s="128">
        <v>0</v>
      </c>
      <c r="X2961" s="128">
        <v>0</v>
      </c>
      <c r="Y2961" s="128">
        <v>0</v>
      </c>
      <c r="Z2961" s="128">
        <v>-642.48</v>
      </c>
      <c r="AA2961" s="128">
        <v>0</v>
      </c>
      <c r="AB2961" s="126">
        <f t="shared" si="303"/>
        <v>6.4247999999999999E-5</v>
      </c>
      <c r="AC2961" s="122" t="s">
        <v>1838</v>
      </c>
      <c r="AD2961" s="123">
        <f t="shared" si="304"/>
        <v>0.33939076800000001</v>
      </c>
    </row>
    <row r="2962" spans="1:30" ht="12.75" hidden="1" customHeight="1">
      <c r="A2962" s="125" t="str">
        <f t="shared" si="300"/>
        <v>LIC176Management Fee-Reclassfication</v>
      </c>
      <c r="B2962" s="125">
        <f>+IFERROR(VLOOKUP(L2962,'TB mapping'!A:D,4,0),0)</f>
        <v>6.1</v>
      </c>
      <c r="C2962" s="125">
        <f>+IFERROR(VLOOKUP(L2962,'TB mapping'!A:C,3,0),0)</f>
        <v>6.3</v>
      </c>
      <c r="D2962" s="125" t="str">
        <f t="shared" si="301"/>
        <v>LIC1766.1</v>
      </c>
      <c r="E2962" s="125" t="str">
        <f t="shared" si="302"/>
        <v>LIC1766.3</v>
      </c>
      <c r="F2962" s="158" t="str">
        <f>+VLOOKUP(H2962,'code mapping'!A:C,3,0)</f>
        <v>LIC176</v>
      </c>
      <c r="G2962" s="127" t="s">
        <v>453</v>
      </c>
      <c r="H2962" s="127" t="s">
        <v>786</v>
      </c>
      <c r="I2962" s="127" t="s">
        <v>787</v>
      </c>
      <c r="J2962" s="128">
        <v>550000</v>
      </c>
      <c r="K2962" s="127" t="s">
        <v>550</v>
      </c>
      <c r="L2962" s="151">
        <v>555274</v>
      </c>
      <c r="M2962" s="128">
        <v>0</v>
      </c>
      <c r="N2962" s="127" t="s">
        <v>583</v>
      </c>
      <c r="O2962" s="127" t="s">
        <v>457</v>
      </c>
      <c r="P2962" s="128">
        <v>-1127118.98</v>
      </c>
      <c r="Q2962" s="128">
        <v>0</v>
      </c>
      <c r="R2962" s="128">
        <v>0</v>
      </c>
      <c r="S2962" s="128">
        <v>0</v>
      </c>
      <c r="T2962" s="128">
        <v>-1127118.98</v>
      </c>
      <c r="U2962" s="128">
        <v>0</v>
      </c>
      <c r="V2962" s="128">
        <v>-1127118.98</v>
      </c>
      <c r="W2962" s="128">
        <v>0</v>
      </c>
      <c r="X2962" s="128">
        <v>0</v>
      </c>
      <c r="Y2962" s="128">
        <v>0</v>
      </c>
      <c r="Z2962" s="128">
        <v>-1127118.98</v>
      </c>
      <c r="AA2962" s="128">
        <v>0</v>
      </c>
      <c r="AB2962" s="126">
        <f t="shared" si="303"/>
        <v>0.112711898</v>
      </c>
      <c r="AC2962" s="122" t="s">
        <v>1838</v>
      </c>
      <c r="AD2962" s="123">
        <f t="shared" si="304"/>
        <v>0.33939076800000001</v>
      </c>
    </row>
    <row r="2963" spans="1:30" ht="12.75" hidden="1" customHeight="1">
      <c r="A2963" s="125" t="str">
        <f t="shared" si="300"/>
        <v>LIC176Brokerage_Indirect_Reclassify</v>
      </c>
      <c r="B2963" s="125">
        <f>+IFERROR(VLOOKUP(L2963,'TB mapping'!A:D,4,0),0)</f>
        <v>0</v>
      </c>
      <c r="C2963" s="125">
        <f>+IFERROR(VLOOKUP(L2963,'TB mapping'!A:C,3,0),0)</f>
        <v>6.3</v>
      </c>
      <c r="D2963" s="125" t="str">
        <f t="shared" si="301"/>
        <v>LIC1760</v>
      </c>
      <c r="E2963" s="125" t="str">
        <f t="shared" si="302"/>
        <v>LIC1766.3</v>
      </c>
      <c r="F2963" s="158" t="str">
        <f>+VLOOKUP(H2963,'code mapping'!A:C,3,0)</f>
        <v>LIC176</v>
      </c>
      <c r="G2963" s="127" t="s">
        <v>453</v>
      </c>
      <c r="H2963" s="127" t="s">
        <v>786</v>
      </c>
      <c r="I2963" s="127" t="s">
        <v>787</v>
      </c>
      <c r="J2963" s="128">
        <v>550000</v>
      </c>
      <c r="K2963" s="127" t="s">
        <v>550</v>
      </c>
      <c r="L2963" s="151">
        <v>555275</v>
      </c>
      <c r="M2963" s="128">
        <v>0</v>
      </c>
      <c r="N2963" s="127" t="s">
        <v>600</v>
      </c>
      <c r="O2963" s="127" t="s">
        <v>457</v>
      </c>
      <c r="P2963" s="128">
        <v>0</v>
      </c>
      <c r="Q2963" s="128">
        <v>150000</v>
      </c>
      <c r="R2963" s="128">
        <v>0</v>
      </c>
      <c r="S2963" s="128">
        <v>0</v>
      </c>
      <c r="T2963" s="128">
        <v>0</v>
      </c>
      <c r="U2963" s="128">
        <v>150000</v>
      </c>
      <c r="V2963" s="128">
        <v>0</v>
      </c>
      <c r="W2963" s="128">
        <v>150000</v>
      </c>
      <c r="X2963" s="128">
        <v>0</v>
      </c>
      <c r="Y2963" s="128">
        <v>0</v>
      </c>
      <c r="Z2963" s="128">
        <v>0</v>
      </c>
      <c r="AA2963" s="128">
        <v>150000</v>
      </c>
      <c r="AB2963" s="126">
        <f t="shared" si="303"/>
        <v>-1.4999999999999999E-2</v>
      </c>
      <c r="AC2963" s="122" t="s">
        <v>1838</v>
      </c>
      <c r="AD2963" s="123">
        <f t="shared" si="304"/>
        <v>0.33939076800000001</v>
      </c>
    </row>
    <row r="2964" spans="1:30" ht="12.75" hidden="1" customHeight="1">
      <c r="A2964" s="125" t="str">
        <f t="shared" si="300"/>
        <v>LIC176CGST on Reclassify of Exp</v>
      </c>
      <c r="B2964" s="125">
        <f>+IFERROR(VLOOKUP(L2964,'TB mapping'!A:D,4,0),0)</f>
        <v>0</v>
      </c>
      <c r="C2964" s="125">
        <f>+IFERROR(VLOOKUP(L2964,'TB mapping'!A:C,3,0),0)</f>
        <v>6.3</v>
      </c>
      <c r="D2964" s="125" t="str">
        <f t="shared" si="301"/>
        <v>LIC1760</v>
      </c>
      <c r="E2964" s="125" t="str">
        <f t="shared" si="302"/>
        <v>LIC1766.3</v>
      </c>
      <c r="F2964" s="158" t="str">
        <f>+VLOOKUP(H2964,'code mapping'!A:C,3,0)</f>
        <v>LIC176</v>
      </c>
      <c r="G2964" s="127" t="s">
        <v>453</v>
      </c>
      <c r="H2964" s="127" t="s">
        <v>786</v>
      </c>
      <c r="I2964" s="127" t="s">
        <v>787</v>
      </c>
      <c r="J2964" s="128">
        <v>550000</v>
      </c>
      <c r="K2964" s="127" t="s">
        <v>550</v>
      </c>
      <c r="L2964" s="151">
        <v>555276</v>
      </c>
      <c r="M2964" s="128">
        <v>0</v>
      </c>
      <c r="N2964" s="127" t="s">
        <v>572</v>
      </c>
      <c r="O2964" s="127" t="s">
        <v>457</v>
      </c>
      <c r="P2964" s="128">
        <v>-49576.28</v>
      </c>
      <c r="Q2964" s="128">
        <v>0</v>
      </c>
      <c r="R2964" s="128">
        <v>0</v>
      </c>
      <c r="S2964" s="128">
        <v>0</v>
      </c>
      <c r="T2964" s="128">
        <v>-49576.28</v>
      </c>
      <c r="U2964" s="128">
        <v>0</v>
      </c>
      <c r="V2964" s="128">
        <v>-49576.28</v>
      </c>
      <c r="W2964" s="128">
        <v>0</v>
      </c>
      <c r="X2964" s="128">
        <v>0</v>
      </c>
      <c r="Y2964" s="128">
        <v>0</v>
      </c>
      <c r="Z2964" s="128">
        <v>-49576.28</v>
      </c>
      <c r="AA2964" s="128">
        <v>0</v>
      </c>
      <c r="AB2964" s="126">
        <f t="shared" si="303"/>
        <v>4.9576279999999995E-3</v>
      </c>
      <c r="AC2964" s="122" t="s">
        <v>1838</v>
      </c>
      <c r="AD2964" s="123">
        <f t="shared" si="304"/>
        <v>0.33939076800000001</v>
      </c>
    </row>
    <row r="2965" spans="1:30" ht="12.75" hidden="1" customHeight="1">
      <c r="A2965" s="125" t="str">
        <f t="shared" si="300"/>
        <v>LIC176SGST on Reclassify of Exp</v>
      </c>
      <c r="B2965" s="125">
        <f>+IFERROR(VLOOKUP(L2965,'TB mapping'!A:D,4,0),0)</f>
        <v>0</v>
      </c>
      <c r="C2965" s="125">
        <f>+IFERROR(VLOOKUP(L2965,'TB mapping'!A:C,3,0),0)</f>
        <v>6.3</v>
      </c>
      <c r="D2965" s="125" t="str">
        <f t="shared" si="301"/>
        <v>LIC1760</v>
      </c>
      <c r="E2965" s="125" t="str">
        <f t="shared" si="302"/>
        <v>LIC1766.3</v>
      </c>
      <c r="F2965" s="158" t="str">
        <f>+VLOOKUP(H2965,'code mapping'!A:C,3,0)</f>
        <v>LIC176</v>
      </c>
      <c r="G2965" s="127" t="s">
        <v>453</v>
      </c>
      <c r="H2965" s="127" t="s">
        <v>786</v>
      </c>
      <c r="I2965" s="127" t="s">
        <v>787</v>
      </c>
      <c r="J2965" s="128">
        <v>550000</v>
      </c>
      <c r="K2965" s="127" t="s">
        <v>550</v>
      </c>
      <c r="L2965" s="151">
        <v>555277</v>
      </c>
      <c r="M2965" s="128">
        <v>0</v>
      </c>
      <c r="N2965" s="127" t="s">
        <v>573</v>
      </c>
      <c r="O2965" s="127" t="s">
        <v>457</v>
      </c>
      <c r="P2965" s="128">
        <v>-49576.28</v>
      </c>
      <c r="Q2965" s="128">
        <v>0</v>
      </c>
      <c r="R2965" s="128">
        <v>0</v>
      </c>
      <c r="S2965" s="128">
        <v>0</v>
      </c>
      <c r="T2965" s="128">
        <v>-49576.28</v>
      </c>
      <c r="U2965" s="128">
        <v>0</v>
      </c>
      <c r="V2965" s="128">
        <v>-49576.28</v>
      </c>
      <c r="W2965" s="128">
        <v>0</v>
      </c>
      <c r="X2965" s="128">
        <v>0</v>
      </c>
      <c r="Y2965" s="128">
        <v>0</v>
      </c>
      <c r="Z2965" s="128">
        <v>-49576.28</v>
      </c>
      <c r="AA2965" s="128">
        <v>0</v>
      </c>
      <c r="AB2965" s="126">
        <f t="shared" si="303"/>
        <v>4.9576279999999995E-3</v>
      </c>
      <c r="AC2965" s="122" t="s">
        <v>1838</v>
      </c>
      <c r="AD2965" s="123">
        <f t="shared" si="304"/>
        <v>0.33939076800000001</v>
      </c>
    </row>
    <row r="2966" spans="1:30" ht="12.75" hidden="1" customHeight="1">
      <c r="A2966" s="125" t="str">
        <f t="shared" si="300"/>
        <v>LIC176Other Expense-Reclassfication</v>
      </c>
      <c r="B2966" s="125">
        <f>+IFERROR(VLOOKUP(L2966,'TB mapping'!A:D,4,0),0)</f>
        <v>0</v>
      </c>
      <c r="C2966" s="125">
        <f>+IFERROR(VLOOKUP(L2966,'TB mapping'!A:C,3,0),0)</f>
        <v>0</v>
      </c>
      <c r="D2966" s="125" t="str">
        <f t="shared" si="301"/>
        <v>LIC1760</v>
      </c>
      <c r="E2966" s="125" t="str">
        <f t="shared" si="302"/>
        <v>LIC1760</v>
      </c>
      <c r="F2966" s="158" t="str">
        <f>+VLOOKUP(H2966,'code mapping'!A:C,3,0)</f>
        <v>LIC176</v>
      </c>
      <c r="G2966" s="127" t="s">
        <v>453</v>
      </c>
      <c r="H2966" s="127" t="s">
        <v>786</v>
      </c>
      <c r="I2966" s="127" t="s">
        <v>787</v>
      </c>
      <c r="J2966" s="128">
        <v>550000</v>
      </c>
      <c r="K2966" s="127" t="s">
        <v>550</v>
      </c>
      <c r="L2966" s="151">
        <v>555280</v>
      </c>
      <c r="M2966" s="128">
        <v>0</v>
      </c>
      <c r="N2966" s="127" t="s">
        <v>1590</v>
      </c>
      <c r="O2966" s="127" t="s">
        <v>457</v>
      </c>
      <c r="P2966" s="128">
        <v>0</v>
      </c>
      <c r="Q2966" s="128">
        <v>200000.01</v>
      </c>
      <c r="R2966" s="128">
        <v>0</v>
      </c>
      <c r="S2966" s="128">
        <v>0</v>
      </c>
      <c r="T2966" s="128">
        <v>0</v>
      </c>
      <c r="U2966" s="128">
        <v>200000.01</v>
      </c>
      <c r="V2966" s="128">
        <v>0</v>
      </c>
      <c r="W2966" s="128">
        <v>200000.01</v>
      </c>
      <c r="X2966" s="128">
        <v>0</v>
      </c>
      <c r="Y2966" s="128">
        <v>0</v>
      </c>
      <c r="Z2966" s="128">
        <v>0</v>
      </c>
      <c r="AA2966" s="128">
        <v>200000.01</v>
      </c>
      <c r="AB2966" s="126">
        <f t="shared" si="303"/>
        <v>-2.0000001E-2</v>
      </c>
      <c r="AC2966" s="122" t="s">
        <v>1838</v>
      </c>
      <c r="AD2966" s="123">
        <f>SUMIF(C:C,C2966,AB:AB)</f>
        <v>1983.9723217250009</v>
      </c>
    </row>
    <row r="2967" spans="1:30" ht="12.75" hidden="1" customHeight="1">
      <c r="A2967" s="125" t="str">
        <f t="shared" si="300"/>
        <v>LIC176CGST on Mfees</v>
      </c>
      <c r="B2967" s="125">
        <f>+IFERROR(VLOOKUP(L2967,'TB mapping'!A:D,4,0),0)</f>
        <v>6.1</v>
      </c>
      <c r="C2967" s="125">
        <f>+IFERROR(VLOOKUP(L2967,'TB mapping'!A:C,3,0),0)</f>
        <v>6.3</v>
      </c>
      <c r="D2967" s="125" t="str">
        <f t="shared" si="301"/>
        <v>LIC1766.1</v>
      </c>
      <c r="E2967" s="125" t="str">
        <f t="shared" si="302"/>
        <v>LIC1766.3</v>
      </c>
      <c r="F2967" s="158" t="str">
        <f>+VLOOKUP(H2967,'code mapping'!A:C,3,0)</f>
        <v>LIC176</v>
      </c>
      <c r="G2967" s="127" t="s">
        <v>453</v>
      </c>
      <c r="H2967" s="127" t="s">
        <v>786</v>
      </c>
      <c r="I2967" s="127" t="s">
        <v>787</v>
      </c>
      <c r="J2967" s="128">
        <v>550000</v>
      </c>
      <c r="K2967" s="127" t="s">
        <v>550</v>
      </c>
      <c r="L2967" s="151">
        <v>555597</v>
      </c>
      <c r="M2967" s="128">
        <v>0</v>
      </c>
      <c r="N2967" s="127" t="s">
        <v>574</v>
      </c>
      <c r="O2967" s="127" t="s">
        <v>457</v>
      </c>
      <c r="P2967" s="128">
        <v>-51864.24</v>
      </c>
      <c r="Q2967" s="128">
        <v>0</v>
      </c>
      <c r="R2967" s="128">
        <v>0</v>
      </c>
      <c r="S2967" s="128">
        <v>0</v>
      </c>
      <c r="T2967" s="128">
        <v>-51864.24</v>
      </c>
      <c r="U2967" s="128">
        <v>0</v>
      </c>
      <c r="V2967" s="128">
        <v>-51864.24</v>
      </c>
      <c r="W2967" s="128">
        <v>0</v>
      </c>
      <c r="X2967" s="128">
        <v>0</v>
      </c>
      <c r="Y2967" s="128">
        <v>0</v>
      </c>
      <c r="Z2967" s="128">
        <v>-51864.24</v>
      </c>
      <c r="AA2967" s="128">
        <v>0</v>
      </c>
      <c r="AB2967" s="126">
        <f t="shared" si="303"/>
        <v>5.1864239999999994E-3</v>
      </c>
      <c r="AC2967" s="122" t="s">
        <v>1838</v>
      </c>
      <c r="AD2967" s="123">
        <f>SUMIF(E:E,E2967,AB:AB)</f>
        <v>0.33939076800000001</v>
      </c>
    </row>
    <row r="2968" spans="1:30" ht="12.75" hidden="1" customHeight="1">
      <c r="A2968" s="125" t="str">
        <f t="shared" si="300"/>
        <v>LIC176SGST on Mfees</v>
      </c>
      <c r="B2968" s="125">
        <f>+IFERROR(VLOOKUP(L2968,'TB mapping'!A:D,4,0),0)</f>
        <v>6.1</v>
      </c>
      <c r="C2968" s="125">
        <f>+IFERROR(VLOOKUP(L2968,'TB mapping'!A:C,3,0),0)</f>
        <v>6.3</v>
      </c>
      <c r="D2968" s="125" t="str">
        <f t="shared" si="301"/>
        <v>LIC1766.1</v>
      </c>
      <c r="E2968" s="125" t="str">
        <f t="shared" si="302"/>
        <v>LIC1766.3</v>
      </c>
      <c r="F2968" s="158" t="str">
        <f>+VLOOKUP(H2968,'code mapping'!A:C,3,0)</f>
        <v>LIC176</v>
      </c>
      <c r="G2968" s="127" t="s">
        <v>453</v>
      </c>
      <c r="H2968" s="127" t="s">
        <v>786</v>
      </c>
      <c r="I2968" s="127" t="s">
        <v>787</v>
      </c>
      <c r="J2968" s="128">
        <v>550000</v>
      </c>
      <c r="K2968" s="127" t="s">
        <v>550</v>
      </c>
      <c r="L2968" s="151">
        <v>555598</v>
      </c>
      <c r="M2968" s="128">
        <v>0</v>
      </c>
      <c r="N2968" s="127" t="s">
        <v>575</v>
      </c>
      <c r="O2968" s="127" t="s">
        <v>457</v>
      </c>
      <c r="P2968" s="128">
        <v>-51864.24</v>
      </c>
      <c r="Q2968" s="128">
        <v>0</v>
      </c>
      <c r="R2968" s="128">
        <v>0</v>
      </c>
      <c r="S2968" s="128">
        <v>0</v>
      </c>
      <c r="T2968" s="128">
        <v>-51864.24</v>
      </c>
      <c r="U2968" s="128">
        <v>0</v>
      </c>
      <c r="V2968" s="128">
        <v>-51864.24</v>
      </c>
      <c r="W2968" s="128">
        <v>0</v>
      </c>
      <c r="X2968" s="128">
        <v>0</v>
      </c>
      <c r="Y2968" s="128">
        <v>0</v>
      </c>
      <c r="Z2968" s="128">
        <v>-51864.24</v>
      </c>
      <c r="AA2968" s="128">
        <v>0</v>
      </c>
      <c r="AB2968" s="126">
        <f t="shared" si="303"/>
        <v>5.1864239999999994E-3</v>
      </c>
      <c r="AC2968" s="122" t="s">
        <v>1838</v>
      </c>
      <c r="AD2968" s="123">
        <f>SUMIF(E:E,E2968,AB:AB)</f>
        <v>0.33939076800000001</v>
      </c>
    </row>
    <row r="2969" spans="1:30" ht="12.75" hidden="1" customHeight="1">
      <c r="A2969" s="125" t="str">
        <f t="shared" si="300"/>
        <v>LIC176Operating Expenses</v>
      </c>
      <c r="B2969" s="125">
        <f>+IFERROR(VLOOKUP(L2969,'TB mapping'!A:D,4,0),0)</f>
        <v>0</v>
      </c>
      <c r="C2969" s="125">
        <f>+IFERROR(VLOOKUP(L2969,'TB mapping'!A:C,3,0),0)</f>
        <v>6.3</v>
      </c>
      <c r="D2969" s="125" t="str">
        <f t="shared" si="301"/>
        <v>LIC1760</v>
      </c>
      <c r="E2969" s="125" t="str">
        <f t="shared" si="302"/>
        <v>LIC1766.3</v>
      </c>
      <c r="F2969" s="158" t="str">
        <f>+VLOOKUP(H2969,'code mapping'!A:C,3,0)</f>
        <v>LIC176</v>
      </c>
      <c r="G2969" s="127" t="s">
        <v>453</v>
      </c>
      <c r="H2969" s="127" t="s">
        <v>786</v>
      </c>
      <c r="I2969" s="127" t="s">
        <v>787</v>
      </c>
      <c r="J2969" s="128">
        <v>550000</v>
      </c>
      <c r="K2969" s="127" t="s">
        <v>550</v>
      </c>
      <c r="L2969" s="151">
        <v>556421</v>
      </c>
      <c r="M2969" s="128">
        <v>0</v>
      </c>
      <c r="N2969" s="127" t="s">
        <v>578</v>
      </c>
      <c r="O2969" s="127" t="s">
        <v>457</v>
      </c>
      <c r="P2969" s="128">
        <v>-55</v>
      </c>
      <c r="Q2969" s="128">
        <v>0</v>
      </c>
      <c r="R2969" s="128">
        <v>0</v>
      </c>
      <c r="S2969" s="128">
        <v>0</v>
      </c>
      <c r="T2969" s="128">
        <v>-55</v>
      </c>
      <c r="U2969" s="128">
        <v>0</v>
      </c>
      <c r="V2969" s="128">
        <v>-55</v>
      </c>
      <c r="W2969" s="128">
        <v>0</v>
      </c>
      <c r="X2969" s="128">
        <v>0</v>
      </c>
      <c r="Y2969" s="128">
        <v>0</v>
      </c>
      <c r="Z2969" s="128">
        <v>-55</v>
      </c>
      <c r="AA2969" s="128">
        <v>0</v>
      </c>
      <c r="AB2969" s="126">
        <f t="shared" si="303"/>
        <v>5.4999999999999999E-6</v>
      </c>
      <c r="AC2969" s="122" t="s">
        <v>1838</v>
      </c>
      <c r="AD2969" s="123">
        <f>SUMIF(E:E,E2969,AB:AB)</f>
        <v>0.33939076800000001</v>
      </c>
    </row>
    <row r="2970" spans="1:30" ht="12.75" hidden="1" customHeight="1">
      <c r="A2970" s="125" t="str">
        <f t="shared" si="300"/>
        <v>LIC02Investment - Equities</v>
      </c>
      <c r="B2970" s="125">
        <f>+IFERROR(VLOOKUP(L2970,'TB mapping'!A:D,4,0),0)</f>
        <v>0</v>
      </c>
      <c r="C2970" s="125">
        <f>+IFERROR(VLOOKUP(L2970,'TB mapping'!A:C,3,0),0)</f>
        <v>0</v>
      </c>
      <c r="D2970" s="125" t="str">
        <f t="shared" si="301"/>
        <v>LIC020</v>
      </c>
      <c r="E2970" s="125" t="str">
        <f t="shared" si="302"/>
        <v>LIC020</v>
      </c>
      <c r="F2970" s="158" t="str">
        <f>+VLOOKUP(H2970,'code mapping'!A:C,3,0)</f>
        <v>LIC02</v>
      </c>
      <c r="G2970" s="127" t="s">
        <v>453</v>
      </c>
      <c r="H2970" s="127" t="s">
        <v>788</v>
      </c>
      <c r="I2970" s="127" t="s">
        <v>789</v>
      </c>
      <c r="J2970" s="128">
        <v>101000</v>
      </c>
      <c r="K2970" s="127" t="s">
        <v>591</v>
      </c>
      <c r="L2970" s="151">
        <v>101100</v>
      </c>
      <c r="M2970" s="128">
        <v>0</v>
      </c>
      <c r="N2970" s="127" t="s">
        <v>592</v>
      </c>
      <c r="O2970" s="127" t="s">
        <v>457</v>
      </c>
      <c r="P2970" s="128">
        <v>-1543479759.04</v>
      </c>
      <c r="Q2970" s="128">
        <v>0</v>
      </c>
      <c r="R2970" s="128">
        <v>0</v>
      </c>
      <c r="S2970" s="128">
        <v>0</v>
      </c>
      <c r="T2970" s="128">
        <v>-1543479759.04</v>
      </c>
      <c r="U2970" s="128">
        <v>0</v>
      </c>
      <c r="V2970" s="128">
        <v>-1543479759.04</v>
      </c>
      <c r="W2970" s="128">
        <v>0</v>
      </c>
      <c r="X2970" s="128">
        <v>0</v>
      </c>
      <c r="Y2970" s="128">
        <v>0</v>
      </c>
      <c r="Z2970" s="128">
        <v>-1543479759.04</v>
      </c>
      <c r="AA2970" s="128">
        <v>0</v>
      </c>
      <c r="AB2970" s="126">
        <f t="shared" si="303"/>
        <v>154.34797590400001</v>
      </c>
      <c r="AC2970" s="122" t="s">
        <v>1838</v>
      </c>
      <c r="AD2970" s="123">
        <f t="shared" ref="AD2970:AD3017" si="305">SUMIF(C:C,C2970,AB:AB)</f>
        <v>1983.9723217250009</v>
      </c>
    </row>
    <row r="2971" spans="1:30" ht="12.75" hidden="1" customHeight="1">
      <c r="A2971" s="125" t="str">
        <f t="shared" si="300"/>
        <v>LIC02Investment - Corp Bond/Debent.</v>
      </c>
      <c r="B2971" s="125">
        <f>+IFERROR(VLOOKUP(L2971,'TB mapping'!A:D,4,0),0)</f>
        <v>0</v>
      </c>
      <c r="C2971" s="125">
        <f>+IFERROR(VLOOKUP(L2971,'TB mapping'!A:C,3,0),0)</f>
        <v>0</v>
      </c>
      <c r="D2971" s="125" t="str">
        <f t="shared" si="301"/>
        <v>LIC020</v>
      </c>
      <c r="E2971" s="125" t="str">
        <f t="shared" si="302"/>
        <v>LIC020</v>
      </c>
      <c r="F2971" s="158" t="str">
        <f>+VLOOKUP(H2971,'code mapping'!A:C,3,0)</f>
        <v>LIC02</v>
      </c>
      <c r="G2971" s="127" t="s">
        <v>453</v>
      </c>
      <c r="H2971" s="127" t="s">
        <v>788</v>
      </c>
      <c r="I2971" s="127" t="s">
        <v>789</v>
      </c>
      <c r="J2971" s="128">
        <v>102000</v>
      </c>
      <c r="K2971" s="127" t="s">
        <v>455</v>
      </c>
      <c r="L2971" s="151">
        <v>102120</v>
      </c>
      <c r="M2971" s="128">
        <v>0</v>
      </c>
      <c r="N2971" s="127" t="s">
        <v>456</v>
      </c>
      <c r="O2971" s="127" t="s">
        <v>457</v>
      </c>
      <c r="P2971" s="128">
        <v>-233918300</v>
      </c>
      <c r="Q2971" s="128">
        <v>0</v>
      </c>
      <c r="R2971" s="128">
        <v>0</v>
      </c>
      <c r="S2971" s="128">
        <v>0</v>
      </c>
      <c r="T2971" s="128">
        <v>-233918300</v>
      </c>
      <c r="U2971" s="128">
        <v>0</v>
      </c>
      <c r="V2971" s="128">
        <v>-233918300</v>
      </c>
      <c r="W2971" s="128">
        <v>0</v>
      </c>
      <c r="X2971" s="128">
        <v>0</v>
      </c>
      <c r="Y2971" s="128">
        <v>0</v>
      </c>
      <c r="Z2971" s="128">
        <v>-233918300</v>
      </c>
      <c r="AA2971" s="128">
        <v>0</v>
      </c>
      <c r="AB2971" s="126">
        <f t="shared" si="303"/>
        <v>23.391829999999999</v>
      </c>
      <c r="AC2971" s="122" t="s">
        <v>1838</v>
      </c>
      <c r="AD2971" s="123">
        <f t="shared" si="305"/>
        <v>1983.9723217250009</v>
      </c>
    </row>
    <row r="2972" spans="1:30" ht="12.75" hidden="1" customHeight="1">
      <c r="A2972" s="125" t="str">
        <f t="shared" si="300"/>
        <v>LIC02Investment Mutual Fund</v>
      </c>
      <c r="B2972" s="125">
        <f>+IFERROR(VLOOKUP(L2972,'TB mapping'!A:D,4,0),0)</f>
        <v>0</v>
      </c>
      <c r="C2972" s="125">
        <f>+IFERROR(VLOOKUP(L2972,'TB mapping'!A:C,3,0),0)</f>
        <v>0</v>
      </c>
      <c r="D2972" s="125" t="str">
        <f t="shared" si="301"/>
        <v>LIC020</v>
      </c>
      <c r="E2972" s="125" t="str">
        <f t="shared" si="302"/>
        <v>LIC020</v>
      </c>
      <c r="F2972" s="158" t="str">
        <f>+VLOOKUP(H2972,'code mapping'!A:C,3,0)</f>
        <v>LIC02</v>
      </c>
      <c r="G2972" s="127" t="s">
        <v>453</v>
      </c>
      <c r="H2972" s="127" t="s">
        <v>788</v>
      </c>
      <c r="I2972" s="127" t="s">
        <v>789</v>
      </c>
      <c r="J2972" s="128">
        <v>105000</v>
      </c>
      <c r="K2972" s="127" t="s">
        <v>460</v>
      </c>
      <c r="L2972" s="151">
        <v>105100</v>
      </c>
      <c r="M2972" s="128">
        <v>0</v>
      </c>
      <c r="N2972" s="127" t="s">
        <v>461</v>
      </c>
      <c r="O2972" s="127" t="s">
        <v>457</v>
      </c>
      <c r="P2972" s="128">
        <v>0</v>
      </c>
      <c r="Q2972" s="128">
        <v>0.04</v>
      </c>
      <c r="R2972" s="128">
        <v>0</v>
      </c>
      <c r="S2972" s="128">
        <v>0</v>
      </c>
      <c r="T2972" s="128">
        <v>0</v>
      </c>
      <c r="U2972" s="128">
        <v>0.04</v>
      </c>
      <c r="V2972" s="128">
        <v>0</v>
      </c>
      <c r="W2972" s="128">
        <v>0.04</v>
      </c>
      <c r="X2972" s="128">
        <v>0</v>
      </c>
      <c r="Y2972" s="128">
        <v>0</v>
      </c>
      <c r="Z2972" s="128">
        <v>0</v>
      </c>
      <c r="AA2972" s="128">
        <v>0.04</v>
      </c>
      <c r="AB2972" s="126">
        <f t="shared" si="303"/>
        <v>-4.0000000000000002E-9</v>
      </c>
      <c r="AC2972" s="122" t="s">
        <v>1838</v>
      </c>
      <c r="AD2972" s="123">
        <f t="shared" si="305"/>
        <v>1983.9723217250009</v>
      </c>
    </row>
    <row r="2973" spans="1:30" ht="12.75" hidden="1" customHeight="1">
      <c r="A2973" s="125" t="str">
        <f t="shared" si="300"/>
        <v>LIC02Investment - CBLO</v>
      </c>
      <c r="B2973" s="125">
        <f>+IFERROR(VLOOKUP(L2973,'TB mapping'!A:D,4,0),0)</f>
        <v>0</v>
      </c>
      <c r="C2973" s="125">
        <f>+IFERROR(VLOOKUP(L2973,'TB mapping'!A:C,3,0),0)</f>
        <v>0</v>
      </c>
      <c r="D2973" s="125" t="str">
        <f t="shared" si="301"/>
        <v>LIC020</v>
      </c>
      <c r="E2973" s="125" t="str">
        <f t="shared" si="302"/>
        <v>LIC020</v>
      </c>
      <c r="F2973" s="158" t="str">
        <f>+VLOOKUP(H2973,'code mapping'!A:C,3,0)</f>
        <v>LIC02</v>
      </c>
      <c r="G2973" s="127" t="s">
        <v>453</v>
      </c>
      <c r="H2973" s="127" t="s">
        <v>788</v>
      </c>
      <c r="I2973" s="127" t="s">
        <v>789</v>
      </c>
      <c r="J2973" s="128">
        <v>110000</v>
      </c>
      <c r="K2973" s="127" t="s">
        <v>462</v>
      </c>
      <c r="L2973" s="151">
        <v>110100</v>
      </c>
      <c r="M2973" s="128">
        <v>0</v>
      </c>
      <c r="N2973" s="127" t="s">
        <v>463</v>
      </c>
      <c r="O2973" s="127" t="s">
        <v>457</v>
      </c>
      <c r="P2973" s="128">
        <v>-316758315.32999998</v>
      </c>
      <c r="Q2973" s="128">
        <v>0</v>
      </c>
      <c r="R2973" s="128">
        <v>0</v>
      </c>
      <c r="S2973" s="128">
        <v>0</v>
      </c>
      <c r="T2973" s="128">
        <v>-316758315.32999998</v>
      </c>
      <c r="U2973" s="128">
        <v>0</v>
      </c>
      <c r="V2973" s="128">
        <v>-316758315.32999998</v>
      </c>
      <c r="W2973" s="128">
        <v>0</v>
      </c>
      <c r="X2973" s="128">
        <v>0</v>
      </c>
      <c r="Y2973" s="128">
        <v>0</v>
      </c>
      <c r="Z2973" s="128">
        <v>-316758315.32999998</v>
      </c>
      <c r="AA2973" s="128">
        <v>0</v>
      </c>
      <c r="AB2973" s="126">
        <f t="shared" si="303"/>
        <v>31.675831532999997</v>
      </c>
      <c r="AC2973" s="122" t="s">
        <v>1838</v>
      </c>
      <c r="AD2973" s="123">
        <f t="shared" si="305"/>
        <v>1983.9723217250009</v>
      </c>
    </row>
    <row r="2974" spans="1:30" ht="12.75" hidden="1" customHeight="1">
      <c r="A2974" s="125" t="str">
        <f t="shared" si="300"/>
        <v>LIC02Margin Deposit For CCIL</v>
      </c>
      <c r="B2974" s="125">
        <f>+IFERROR(VLOOKUP(L2974,'TB mapping'!A:D,4,0),0)</f>
        <v>0</v>
      </c>
      <c r="C2974" s="125">
        <f>+IFERROR(VLOOKUP(L2974,'TB mapping'!A:C,3,0),0)</f>
        <v>0</v>
      </c>
      <c r="D2974" s="125" t="str">
        <f t="shared" si="301"/>
        <v>LIC020</v>
      </c>
      <c r="E2974" s="125" t="str">
        <f t="shared" si="302"/>
        <v>LIC020</v>
      </c>
      <c r="F2974" s="158" t="str">
        <f>+VLOOKUP(H2974,'code mapping'!A:C,3,0)</f>
        <v>LIC02</v>
      </c>
      <c r="G2974" s="127" t="s">
        <v>453</v>
      </c>
      <c r="H2974" s="127" t="s">
        <v>788</v>
      </c>
      <c r="I2974" s="127" t="s">
        <v>789</v>
      </c>
      <c r="J2974" s="128">
        <v>110000</v>
      </c>
      <c r="K2974" s="127" t="s">
        <v>462</v>
      </c>
      <c r="L2974" s="151">
        <v>110116</v>
      </c>
      <c r="M2974" s="128">
        <v>0</v>
      </c>
      <c r="N2974" s="127" t="s">
        <v>465</v>
      </c>
      <c r="O2974" s="127" t="s">
        <v>457</v>
      </c>
      <c r="P2974" s="128">
        <v>-107608.24</v>
      </c>
      <c r="Q2974" s="128">
        <v>0</v>
      </c>
      <c r="R2974" s="128">
        <v>0</v>
      </c>
      <c r="S2974" s="128">
        <v>0</v>
      </c>
      <c r="T2974" s="128">
        <v>-107608.24</v>
      </c>
      <c r="U2974" s="128">
        <v>0</v>
      </c>
      <c r="V2974" s="128">
        <v>-107608.24</v>
      </c>
      <c r="W2974" s="128">
        <v>0</v>
      </c>
      <c r="X2974" s="128">
        <v>0</v>
      </c>
      <c r="Y2974" s="128">
        <v>0</v>
      </c>
      <c r="Z2974" s="128">
        <v>-107608.24</v>
      </c>
      <c r="AA2974" s="128">
        <v>0</v>
      </c>
      <c r="AB2974" s="126">
        <f t="shared" si="303"/>
        <v>1.0760824E-2</v>
      </c>
      <c r="AC2974" s="122" t="s">
        <v>1838</v>
      </c>
      <c r="AD2974" s="123">
        <f t="shared" si="305"/>
        <v>1983.9723217250009</v>
      </c>
    </row>
    <row r="2975" spans="1:30" ht="12.75" hidden="1" customHeight="1">
      <c r="A2975" s="125" t="str">
        <f t="shared" si="300"/>
        <v>LIC02Receivables on Subscription</v>
      </c>
      <c r="B2975" s="125">
        <f>+IFERROR(VLOOKUP(L2975,'TB mapping'!A:D,4,0),0)</f>
        <v>0</v>
      </c>
      <c r="C2975" s="125">
        <f>+IFERROR(VLOOKUP(L2975,'TB mapping'!A:C,3,0),0)</f>
        <v>0</v>
      </c>
      <c r="D2975" s="125" t="str">
        <f t="shared" si="301"/>
        <v>LIC020</v>
      </c>
      <c r="E2975" s="125" t="str">
        <f t="shared" si="302"/>
        <v>LIC020</v>
      </c>
      <c r="F2975" s="158" t="str">
        <f>+VLOOKUP(H2975,'code mapping'!A:C,3,0)</f>
        <v>LIC02</v>
      </c>
      <c r="G2975" s="127" t="s">
        <v>453</v>
      </c>
      <c r="H2975" s="127" t="s">
        <v>788</v>
      </c>
      <c r="I2975" s="127" t="s">
        <v>789</v>
      </c>
      <c r="J2975" s="128">
        <v>132000</v>
      </c>
      <c r="K2975" s="127" t="s">
        <v>466</v>
      </c>
      <c r="L2975" s="151">
        <v>132120</v>
      </c>
      <c r="M2975" s="128">
        <v>0</v>
      </c>
      <c r="N2975" s="127" t="s">
        <v>1591</v>
      </c>
      <c r="O2975" s="127" t="s">
        <v>457</v>
      </c>
      <c r="P2975" s="128">
        <v>0</v>
      </c>
      <c r="Q2975" s="128">
        <v>49800</v>
      </c>
      <c r="R2975" s="128">
        <v>0</v>
      </c>
      <c r="S2975" s="128">
        <v>0</v>
      </c>
      <c r="T2975" s="128">
        <v>0</v>
      </c>
      <c r="U2975" s="128">
        <v>49800</v>
      </c>
      <c r="V2975" s="128">
        <v>0</v>
      </c>
      <c r="W2975" s="128">
        <v>49800</v>
      </c>
      <c r="X2975" s="128">
        <v>0</v>
      </c>
      <c r="Y2975" s="128">
        <v>0</v>
      </c>
      <c r="Z2975" s="128">
        <v>0</v>
      </c>
      <c r="AA2975" s="128">
        <v>49800</v>
      </c>
      <c r="AB2975" s="126">
        <f t="shared" si="303"/>
        <v>-4.9800000000000001E-3</v>
      </c>
      <c r="AC2975" s="122" t="s">
        <v>1838</v>
      </c>
      <c r="AD2975" s="123">
        <f t="shared" si="305"/>
        <v>1983.9723217250009</v>
      </c>
    </row>
    <row r="2976" spans="1:30" ht="12.75" hidden="1" customHeight="1">
      <c r="A2976" s="125" t="str">
        <f t="shared" si="300"/>
        <v>LIC02Sub. Rec. Control Account</v>
      </c>
      <c r="B2976" s="125">
        <f>+IFERROR(VLOOKUP(L2976,'TB mapping'!A:D,4,0),0)</f>
        <v>0</v>
      </c>
      <c r="C2976" s="125">
        <f>+IFERROR(VLOOKUP(L2976,'TB mapping'!A:C,3,0),0)</f>
        <v>0</v>
      </c>
      <c r="D2976" s="125" t="str">
        <f t="shared" si="301"/>
        <v>LIC020</v>
      </c>
      <c r="E2976" s="125" t="str">
        <f t="shared" si="302"/>
        <v>LIC020</v>
      </c>
      <c r="F2976" s="158" t="str">
        <f>+VLOOKUP(H2976,'code mapping'!A:C,3,0)</f>
        <v>LIC02</v>
      </c>
      <c r="G2976" s="127" t="s">
        <v>453</v>
      </c>
      <c r="H2976" s="127" t="s">
        <v>788</v>
      </c>
      <c r="I2976" s="127" t="s">
        <v>789</v>
      </c>
      <c r="J2976" s="128">
        <v>132000</v>
      </c>
      <c r="K2976" s="127" t="s">
        <v>466</v>
      </c>
      <c r="L2976" s="151">
        <v>132121</v>
      </c>
      <c r="M2976" s="128">
        <v>0</v>
      </c>
      <c r="N2976" s="127" t="s">
        <v>467</v>
      </c>
      <c r="O2976" s="127" t="s">
        <v>457</v>
      </c>
      <c r="P2976" s="128">
        <v>-2057678.22</v>
      </c>
      <c r="Q2976" s="128">
        <v>0</v>
      </c>
      <c r="R2976" s="128">
        <v>0</v>
      </c>
      <c r="S2976" s="128">
        <v>0</v>
      </c>
      <c r="T2976" s="128">
        <v>-2057678.22</v>
      </c>
      <c r="U2976" s="128">
        <v>0</v>
      </c>
      <c r="V2976" s="128">
        <v>-2057678.22</v>
      </c>
      <c r="W2976" s="128">
        <v>0</v>
      </c>
      <c r="X2976" s="128">
        <v>0</v>
      </c>
      <c r="Y2976" s="128">
        <v>0</v>
      </c>
      <c r="Z2976" s="128">
        <v>-2057678.22</v>
      </c>
      <c r="AA2976" s="128">
        <v>0</v>
      </c>
      <c r="AB2976" s="126">
        <f t="shared" si="303"/>
        <v>0.20576782199999999</v>
      </c>
      <c r="AC2976" s="122" t="s">
        <v>1838</v>
      </c>
      <c r="AD2976" s="123">
        <f t="shared" si="305"/>
        <v>1983.9723217250009</v>
      </c>
    </row>
    <row r="2977" spans="1:30" ht="12.75" hidden="1" customHeight="1">
      <c r="A2977" s="125" t="str">
        <f t="shared" si="300"/>
        <v>LIC02Coupon Receivable</v>
      </c>
      <c r="B2977" s="125">
        <f>+IFERROR(VLOOKUP(L2977,'TB mapping'!A:D,4,0),0)</f>
        <v>0</v>
      </c>
      <c r="C2977" s="125">
        <f>+IFERROR(VLOOKUP(L2977,'TB mapping'!A:C,3,0),0)</f>
        <v>0</v>
      </c>
      <c r="D2977" s="125" t="str">
        <f t="shared" si="301"/>
        <v>LIC020</v>
      </c>
      <c r="E2977" s="125" t="str">
        <f t="shared" si="302"/>
        <v>LIC020</v>
      </c>
      <c r="F2977" s="158" t="str">
        <f>+VLOOKUP(H2977,'code mapping'!A:C,3,0)</f>
        <v>LIC02</v>
      </c>
      <c r="G2977" s="127" t="s">
        <v>453</v>
      </c>
      <c r="H2977" s="127" t="s">
        <v>788</v>
      </c>
      <c r="I2977" s="127" t="s">
        <v>789</v>
      </c>
      <c r="J2977" s="128">
        <v>132000</v>
      </c>
      <c r="K2977" s="127" t="s">
        <v>466</v>
      </c>
      <c r="L2977" s="151">
        <v>132170</v>
      </c>
      <c r="M2977" s="128">
        <v>0</v>
      </c>
      <c r="N2977" s="127" t="s">
        <v>470</v>
      </c>
      <c r="O2977" s="127" t="s">
        <v>457</v>
      </c>
      <c r="P2977" s="128">
        <v>-54537.88</v>
      </c>
      <c r="Q2977" s="128">
        <v>0</v>
      </c>
      <c r="R2977" s="128">
        <v>0</v>
      </c>
      <c r="S2977" s="128">
        <v>0</v>
      </c>
      <c r="T2977" s="128">
        <v>-54537.88</v>
      </c>
      <c r="U2977" s="128">
        <v>0</v>
      </c>
      <c r="V2977" s="128">
        <v>-54537.88</v>
      </c>
      <c r="W2977" s="128">
        <v>0</v>
      </c>
      <c r="X2977" s="128">
        <v>0</v>
      </c>
      <c r="Y2977" s="128">
        <v>0</v>
      </c>
      <c r="Z2977" s="128">
        <v>-54537.88</v>
      </c>
      <c r="AA2977" s="128">
        <v>0</v>
      </c>
      <c r="AB2977" s="126">
        <f t="shared" si="303"/>
        <v>5.4537879999999993E-3</v>
      </c>
      <c r="AC2977" s="122" t="s">
        <v>1838</v>
      </c>
      <c r="AD2977" s="123">
        <f t="shared" si="305"/>
        <v>1983.9723217250009</v>
      </c>
    </row>
    <row r="2978" spans="1:30" ht="12.75" hidden="1" customHeight="1">
      <c r="A2978" s="125" t="str">
        <f t="shared" si="300"/>
        <v>LIC02Claims Pd Recoverable From LIC</v>
      </c>
      <c r="B2978" s="125">
        <f>+IFERROR(VLOOKUP(L2978,'TB mapping'!A:D,4,0),0)</f>
        <v>0</v>
      </c>
      <c r="C2978" s="125">
        <f>+IFERROR(VLOOKUP(L2978,'TB mapping'!A:C,3,0),0)</f>
        <v>0</v>
      </c>
      <c r="D2978" s="125" t="str">
        <f t="shared" si="301"/>
        <v>LIC020</v>
      </c>
      <c r="E2978" s="125" t="str">
        <f t="shared" si="302"/>
        <v>LIC020</v>
      </c>
      <c r="F2978" s="158" t="str">
        <f>+VLOOKUP(H2978,'code mapping'!A:C,3,0)</f>
        <v>LIC02</v>
      </c>
      <c r="G2978" s="127" t="s">
        <v>453</v>
      </c>
      <c r="H2978" s="127" t="s">
        <v>788</v>
      </c>
      <c r="I2978" s="127" t="s">
        <v>789</v>
      </c>
      <c r="J2978" s="128">
        <v>132000</v>
      </c>
      <c r="K2978" s="127" t="s">
        <v>466</v>
      </c>
      <c r="L2978" s="151">
        <v>132236</v>
      </c>
      <c r="M2978" s="128">
        <v>0</v>
      </c>
      <c r="N2978" s="127" t="s">
        <v>790</v>
      </c>
      <c r="O2978" s="127" t="s">
        <v>457</v>
      </c>
      <c r="P2978" s="128">
        <v>-6594034.9100000001</v>
      </c>
      <c r="Q2978" s="128">
        <v>0</v>
      </c>
      <c r="R2978" s="128">
        <v>0</v>
      </c>
      <c r="S2978" s="128">
        <v>0</v>
      </c>
      <c r="T2978" s="128">
        <v>-6594034.9100000001</v>
      </c>
      <c r="U2978" s="128">
        <v>0</v>
      </c>
      <c r="V2978" s="128">
        <v>-6594034.9100000001</v>
      </c>
      <c r="W2978" s="128">
        <v>0</v>
      </c>
      <c r="X2978" s="128">
        <v>0</v>
      </c>
      <c r="Y2978" s="128">
        <v>0</v>
      </c>
      <c r="Z2978" s="128">
        <v>-6594034.9100000001</v>
      </c>
      <c r="AA2978" s="128">
        <v>0</v>
      </c>
      <c r="AB2978" s="126">
        <f t="shared" si="303"/>
        <v>0.65940349100000006</v>
      </c>
      <c r="AC2978" s="122" t="s">
        <v>1838</v>
      </c>
      <c r="AD2978" s="123">
        <f t="shared" si="305"/>
        <v>1983.9723217250009</v>
      </c>
    </row>
    <row r="2979" spans="1:30" ht="12.75" hidden="1" customHeight="1">
      <c r="A2979" s="125" t="str">
        <f t="shared" si="300"/>
        <v>LIC02Receivable from AMC</v>
      </c>
      <c r="B2979" s="125">
        <f>+IFERROR(VLOOKUP(L2979,'TB mapping'!A:D,4,0),0)</f>
        <v>0</v>
      </c>
      <c r="C2979" s="125">
        <f>+IFERROR(VLOOKUP(L2979,'TB mapping'!A:C,3,0),0)</f>
        <v>0</v>
      </c>
      <c r="D2979" s="125" t="str">
        <f t="shared" si="301"/>
        <v>LIC020</v>
      </c>
      <c r="E2979" s="125" t="str">
        <f t="shared" si="302"/>
        <v>LIC020</v>
      </c>
      <c r="F2979" s="158" t="str">
        <f>+VLOOKUP(H2979,'code mapping'!A:C,3,0)</f>
        <v>LIC02</v>
      </c>
      <c r="G2979" s="127" t="s">
        <v>453</v>
      </c>
      <c r="H2979" s="127" t="s">
        <v>788</v>
      </c>
      <c r="I2979" s="127" t="s">
        <v>789</v>
      </c>
      <c r="J2979" s="128">
        <v>132000</v>
      </c>
      <c r="K2979" s="127" t="s">
        <v>466</v>
      </c>
      <c r="L2979" s="151">
        <v>152400</v>
      </c>
      <c r="M2979" s="128">
        <v>0</v>
      </c>
      <c r="N2979" s="127" t="s">
        <v>471</v>
      </c>
      <c r="O2979" s="127" t="s">
        <v>457</v>
      </c>
      <c r="P2979" s="128">
        <v>-213235.39</v>
      </c>
      <c r="Q2979" s="128">
        <v>0</v>
      </c>
      <c r="R2979" s="128">
        <v>0</v>
      </c>
      <c r="S2979" s="128">
        <v>0</v>
      </c>
      <c r="T2979" s="128">
        <v>-213235.39</v>
      </c>
      <c r="U2979" s="128">
        <v>0</v>
      </c>
      <c r="V2979" s="128">
        <v>-213235.39</v>
      </c>
      <c r="W2979" s="128">
        <v>0</v>
      </c>
      <c r="X2979" s="128">
        <v>0</v>
      </c>
      <c r="Y2979" s="128">
        <v>0</v>
      </c>
      <c r="Z2979" s="128">
        <v>-213235.39</v>
      </c>
      <c r="AA2979" s="128">
        <v>0</v>
      </c>
      <c r="AB2979" s="126">
        <f t="shared" si="303"/>
        <v>2.1323539000000002E-2</v>
      </c>
      <c r="AC2979" s="122" t="s">
        <v>1838</v>
      </c>
      <c r="AD2979" s="123">
        <f t="shared" si="305"/>
        <v>1983.9723217250009</v>
      </c>
    </row>
    <row r="2980" spans="1:30" ht="12.75" hidden="1" customHeight="1">
      <c r="A2980" s="125" t="str">
        <f t="shared" si="300"/>
        <v>LIC02CCIL Settlement A/C</v>
      </c>
      <c r="B2980" s="125">
        <f>+IFERROR(VLOOKUP(L2980,'TB mapping'!A:D,4,0),0)</f>
        <v>0</v>
      </c>
      <c r="C2980" s="125">
        <f>+IFERROR(VLOOKUP(L2980,'TB mapping'!A:C,3,0),0)</f>
        <v>0</v>
      </c>
      <c r="D2980" s="125" t="str">
        <f t="shared" si="301"/>
        <v>LIC020</v>
      </c>
      <c r="E2980" s="125" t="str">
        <f t="shared" si="302"/>
        <v>LIC020</v>
      </c>
      <c r="F2980" s="158" t="str">
        <f>+VLOOKUP(H2980,'code mapping'!A:C,3,0)</f>
        <v>LIC02</v>
      </c>
      <c r="G2980" s="127" t="s">
        <v>453</v>
      </c>
      <c r="H2980" s="127" t="s">
        <v>788</v>
      </c>
      <c r="I2980" s="127" t="s">
        <v>789</v>
      </c>
      <c r="J2980" s="128">
        <v>140000</v>
      </c>
      <c r="K2980" s="127" t="s">
        <v>472</v>
      </c>
      <c r="L2980" s="151">
        <v>132237</v>
      </c>
      <c r="M2980" s="128">
        <v>0</v>
      </c>
      <c r="N2980" s="127" t="s">
        <v>473</v>
      </c>
      <c r="O2980" s="127" t="s">
        <v>457</v>
      </c>
      <c r="P2980" s="128">
        <v>-1.23</v>
      </c>
      <c r="Q2980" s="128">
        <v>0</v>
      </c>
      <c r="R2980" s="128">
        <v>0</v>
      </c>
      <c r="S2980" s="128">
        <v>0</v>
      </c>
      <c r="T2980" s="128">
        <v>-1.23</v>
      </c>
      <c r="U2980" s="128">
        <v>0</v>
      </c>
      <c r="V2980" s="128">
        <v>-1.23</v>
      </c>
      <c r="W2980" s="128">
        <v>0</v>
      </c>
      <c r="X2980" s="128">
        <v>0</v>
      </c>
      <c r="Y2980" s="128">
        <v>0</v>
      </c>
      <c r="Z2980" s="128">
        <v>-1.23</v>
      </c>
      <c r="AA2980" s="128">
        <v>0</v>
      </c>
      <c r="AB2980" s="126">
        <f t="shared" si="303"/>
        <v>1.23E-7</v>
      </c>
      <c r="AC2980" s="122" t="s">
        <v>1838</v>
      </c>
      <c r="AD2980" s="123">
        <f t="shared" si="305"/>
        <v>1983.9723217250009</v>
      </c>
    </row>
    <row r="2981" spans="1:30" ht="12.75" hidden="1" customHeight="1">
      <c r="A2981" s="125" t="str">
        <f t="shared" si="300"/>
        <v>LIC02HDFC Current Account</v>
      </c>
      <c r="B2981" s="125">
        <f>+IFERROR(VLOOKUP(L2981,'TB mapping'!A:D,4,0),0)</f>
        <v>0</v>
      </c>
      <c r="C2981" s="125">
        <f>+IFERROR(VLOOKUP(L2981,'TB mapping'!A:C,3,0),0)</f>
        <v>0</v>
      </c>
      <c r="D2981" s="125" t="str">
        <f t="shared" si="301"/>
        <v>LIC020</v>
      </c>
      <c r="E2981" s="125" t="str">
        <f t="shared" si="302"/>
        <v>LIC020</v>
      </c>
      <c r="F2981" s="158" t="str">
        <f>+VLOOKUP(H2981,'code mapping'!A:C,3,0)</f>
        <v>LIC02</v>
      </c>
      <c r="G2981" s="127" t="s">
        <v>453</v>
      </c>
      <c r="H2981" s="127" t="s">
        <v>788</v>
      </c>
      <c r="I2981" s="127" t="s">
        <v>789</v>
      </c>
      <c r="J2981" s="128">
        <v>140000</v>
      </c>
      <c r="K2981" s="127" t="s">
        <v>472</v>
      </c>
      <c r="L2981" s="151">
        <v>140330</v>
      </c>
      <c r="M2981" s="128">
        <v>0</v>
      </c>
      <c r="N2981" s="127" t="s">
        <v>475</v>
      </c>
      <c r="O2981" s="127" t="s">
        <v>457</v>
      </c>
      <c r="P2981" s="128">
        <v>0</v>
      </c>
      <c r="Q2981" s="128">
        <v>0.85</v>
      </c>
      <c r="R2981" s="128">
        <v>0</v>
      </c>
      <c r="S2981" s="128">
        <v>0</v>
      </c>
      <c r="T2981" s="128">
        <v>0</v>
      </c>
      <c r="U2981" s="128">
        <v>0.85</v>
      </c>
      <c r="V2981" s="128">
        <v>0</v>
      </c>
      <c r="W2981" s="128">
        <v>0.85</v>
      </c>
      <c r="X2981" s="128">
        <v>0</v>
      </c>
      <c r="Y2981" s="128">
        <v>0</v>
      </c>
      <c r="Z2981" s="128">
        <v>0</v>
      </c>
      <c r="AA2981" s="128">
        <v>0.85</v>
      </c>
      <c r="AB2981" s="126">
        <f t="shared" si="303"/>
        <v>-8.4999999999999994E-8</v>
      </c>
      <c r="AC2981" s="122" t="s">
        <v>1838</v>
      </c>
      <c r="AD2981" s="123">
        <f t="shared" si="305"/>
        <v>1983.9723217250009</v>
      </c>
    </row>
    <row r="2982" spans="1:30" ht="12.75" hidden="1" customHeight="1">
      <c r="A2982" s="125" t="str">
        <f t="shared" si="300"/>
        <v>LIC02HDFC Bank Ltd</v>
      </c>
      <c r="B2982" s="125">
        <f>+IFERROR(VLOOKUP(L2982,'TB mapping'!A:D,4,0),0)</f>
        <v>0</v>
      </c>
      <c r="C2982" s="125">
        <f>+IFERROR(VLOOKUP(L2982,'TB mapping'!A:C,3,0),0)</f>
        <v>0</v>
      </c>
      <c r="D2982" s="125" t="str">
        <f t="shared" si="301"/>
        <v>LIC020</v>
      </c>
      <c r="E2982" s="125" t="str">
        <f t="shared" si="302"/>
        <v>LIC020</v>
      </c>
      <c r="F2982" s="158" t="str">
        <f>+VLOOKUP(H2982,'code mapping'!A:C,3,0)</f>
        <v>LIC02</v>
      </c>
      <c r="G2982" s="127" t="s">
        <v>453</v>
      </c>
      <c r="H2982" s="127" t="s">
        <v>788</v>
      </c>
      <c r="I2982" s="127" t="s">
        <v>789</v>
      </c>
      <c r="J2982" s="128">
        <v>140000</v>
      </c>
      <c r="K2982" s="127" t="s">
        <v>472</v>
      </c>
      <c r="L2982" s="151">
        <v>140372</v>
      </c>
      <c r="M2982" s="128">
        <v>0</v>
      </c>
      <c r="N2982" s="127" t="s">
        <v>476</v>
      </c>
      <c r="O2982" s="127" t="s">
        <v>457</v>
      </c>
      <c r="P2982" s="128">
        <v>0</v>
      </c>
      <c r="Q2982" s="128">
        <v>50.55</v>
      </c>
      <c r="R2982" s="128">
        <v>0</v>
      </c>
      <c r="S2982" s="128">
        <v>0</v>
      </c>
      <c r="T2982" s="128">
        <v>0</v>
      </c>
      <c r="U2982" s="128">
        <v>50.55</v>
      </c>
      <c r="V2982" s="128">
        <v>0</v>
      </c>
      <c r="W2982" s="128">
        <v>50.55</v>
      </c>
      <c r="X2982" s="128">
        <v>0</v>
      </c>
      <c r="Y2982" s="128">
        <v>0</v>
      </c>
      <c r="Z2982" s="128">
        <v>0</v>
      </c>
      <c r="AA2982" s="128">
        <v>50.55</v>
      </c>
      <c r="AB2982" s="126">
        <f t="shared" si="303"/>
        <v>-5.0549999999999999E-6</v>
      </c>
      <c r="AC2982" s="122" t="s">
        <v>1838</v>
      </c>
      <c r="AD2982" s="123">
        <f t="shared" si="305"/>
        <v>1983.9723217250009</v>
      </c>
    </row>
    <row r="2983" spans="1:30" ht="12.75" hidden="1" customHeight="1">
      <c r="A2983" s="125" t="str">
        <f t="shared" si="300"/>
        <v>LIC02Standard Chartered Bank- India</v>
      </c>
      <c r="B2983" s="125">
        <f>+IFERROR(VLOOKUP(L2983,'TB mapping'!A:D,4,0),0)</f>
        <v>0</v>
      </c>
      <c r="C2983" s="125">
        <f>+IFERROR(VLOOKUP(L2983,'TB mapping'!A:C,3,0),0)</f>
        <v>0</v>
      </c>
      <c r="D2983" s="125" t="str">
        <f t="shared" si="301"/>
        <v>LIC020</v>
      </c>
      <c r="E2983" s="125" t="str">
        <f t="shared" si="302"/>
        <v>LIC020</v>
      </c>
      <c r="F2983" s="158" t="str">
        <f>+VLOOKUP(H2983,'code mapping'!A:C,3,0)</f>
        <v>LIC02</v>
      </c>
      <c r="G2983" s="127" t="s">
        <v>453</v>
      </c>
      <c r="H2983" s="127" t="s">
        <v>788</v>
      </c>
      <c r="I2983" s="127" t="s">
        <v>789</v>
      </c>
      <c r="J2983" s="128">
        <v>140000</v>
      </c>
      <c r="K2983" s="127" t="s">
        <v>472</v>
      </c>
      <c r="L2983" s="151">
        <v>140500</v>
      </c>
      <c r="M2983" s="128">
        <v>0</v>
      </c>
      <c r="N2983" s="127" t="s">
        <v>477</v>
      </c>
      <c r="O2983" s="127" t="s">
        <v>457</v>
      </c>
      <c r="P2983" s="128">
        <v>-212561.18</v>
      </c>
      <c r="Q2983" s="128">
        <v>0</v>
      </c>
      <c r="R2983" s="128">
        <v>0</v>
      </c>
      <c r="S2983" s="128">
        <v>0</v>
      </c>
      <c r="T2983" s="128">
        <v>-212561.18</v>
      </c>
      <c r="U2983" s="128">
        <v>0</v>
      </c>
      <c r="V2983" s="128">
        <v>-212561.18</v>
      </c>
      <c r="W2983" s="128">
        <v>0</v>
      </c>
      <c r="X2983" s="128">
        <v>0</v>
      </c>
      <c r="Y2983" s="128">
        <v>0</v>
      </c>
      <c r="Z2983" s="128">
        <v>-212561.18</v>
      </c>
      <c r="AA2983" s="128">
        <v>0</v>
      </c>
      <c r="AB2983" s="126">
        <f t="shared" si="303"/>
        <v>2.1256118000000001E-2</v>
      </c>
      <c r="AC2983" s="122" t="s">
        <v>1838</v>
      </c>
      <c r="AD2983" s="123">
        <f t="shared" si="305"/>
        <v>1983.9723217250009</v>
      </c>
    </row>
    <row r="2984" spans="1:30" ht="12.75" hidden="1" customHeight="1">
      <c r="A2984" s="125" t="str">
        <f t="shared" si="300"/>
        <v>LIC02Int Accrual - Corporate Bonds</v>
      </c>
      <c r="B2984" s="125">
        <f>+IFERROR(VLOOKUP(L2984,'TB mapping'!A:D,4,0),0)</f>
        <v>0</v>
      </c>
      <c r="C2984" s="125">
        <f>+IFERROR(VLOOKUP(L2984,'TB mapping'!A:C,3,0),0)</f>
        <v>0</v>
      </c>
      <c r="D2984" s="125" t="str">
        <f t="shared" si="301"/>
        <v>LIC020</v>
      </c>
      <c r="E2984" s="125" t="str">
        <f t="shared" si="302"/>
        <v>LIC020</v>
      </c>
      <c r="F2984" s="158" t="str">
        <f>+VLOOKUP(H2984,'code mapping'!A:C,3,0)</f>
        <v>LIC02</v>
      </c>
      <c r="G2984" s="127" t="s">
        <v>453</v>
      </c>
      <c r="H2984" s="127" t="s">
        <v>788</v>
      </c>
      <c r="I2984" s="127" t="s">
        <v>789</v>
      </c>
      <c r="J2984" s="128">
        <v>152000</v>
      </c>
      <c r="K2984" s="127" t="s">
        <v>478</v>
      </c>
      <c r="L2984" s="151">
        <v>152120</v>
      </c>
      <c r="M2984" s="128">
        <v>0</v>
      </c>
      <c r="N2984" s="127" t="s">
        <v>479</v>
      </c>
      <c r="O2984" s="127" t="s">
        <v>457</v>
      </c>
      <c r="P2984" s="128">
        <v>-16878825.300000001</v>
      </c>
      <c r="Q2984" s="128">
        <v>0</v>
      </c>
      <c r="R2984" s="128">
        <v>0</v>
      </c>
      <c r="S2984" s="128">
        <v>0</v>
      </c>
      <c r="T2984" s="128">
        <v>-16878825.300000001</v>
      </c>
      <c r="U2984" s="128">
        <v>0</v>
      </c>
      <c r="V2984" s="128">
        <v>-16878825.300000001</v>
      </c>
      <c r="W2984" s="128">
        <v>0</v>
      </c>
      <c r="X2984" s="128">
        <v>0</v>
      </c>
      <c r="Y2984" s="128">
        <v>0</v>
      </c>
      <c r="Z2984" s="128">
        <v>-16878825.300000001</v>
      </c>
      <c r="AA2984" s="128">
        <v>0</v>
      </c>
      <c r="AB2984" s="126">
        <f t="shared" si="303"/>
        <v>1.68788253</v>
      </c>
      <c r="AC2984" s="122" t="s">
        <v>1838</v>
      </c>
      <c r="AD2984" s="123">
        <f t="shared" si="305"/>
        <v>1983.9723217250009</v>
      </c>
    </row>
    <row r="2985" spans="1:30" ht="12.75" hidden="1" customHeight="1">
      <c r="A2985" s="125" t="str">
        <f t="shared" si="300"/>
        <v>LIC02Amort Receivable - CBLO</v>
      </c>
      <c r="B2985" s="125">
        <f>+IFERROR(VLOOKUP(L2985,'TB mapping'!A:D,4,0),0)</f>
        <v>0</v>
      </c>
      <c r="C2985" s="125">
        <f>+IFERROR(VLOOKUP(L2985,'TB mapping'!A:C,3,0),0)</f>
        <v>0</v>
      </c>
      <c r="D2985" s="125" t="str">
        <f t="shared" si="301"/>
        <v>LIC020</v>
      </c>
      <c r="E2985" s="125" t="str">
        <f t="shared" si="302"/>
        <v>LIC020</v>
      </c>
      <c r="F2985" s="158" t="str">
        <f>+VLOOKUP(H2985,'code mapping'!A:C,3,0)</f>
        <v>LIC02</v>
      </c>
      <c r="G2985" s="127" t="s">
        <v>453</v>
      </c>
      <c r="H2985" s="127" t="s">
        <v>788</v>
      </c>
      <c r="I2985" s="127" t="s">
        <v>789</v>
      </c>
      <c r="J2985" s="128">
        <v>152000</v>
      </c>
      <c r="K2985" s="127" t="s">
        <v>478</v>
      </c>
      <c r="L2985" s="151">
        <v>152232</v>
      </c>
      <c r="M2985" s="128">
        <v>0</v>
      </c>
      <c r="N2985" s="127" t="s">
        <v>482</v>
      </c>
      <c r="O2985" s="127" t="s">
        <v>457</v>
      </c>
      <c r="P2985" s="128">
        <v>-141708.32</v>
      </c>
      <c r="Q2985" s="128">
        <v>0</v>
      </c>
      <c r="R2985" s="128">
        <v>0</v>
      </c>
      <c r="S2985" s="128">
        <v>0</v>
      </c>
      <c r="T2985" s="128">
        <v>-141708.32</v>
      </c>
      <c r="U2985" s="128">
        <v>0</v>
      </c>
      <c r="V2985" s="128">
        <v>-141708.32</v>
      </c>
      <c r="W2985" s="128">
        <v>0</v>
      </c>
      <c r="X2985" s="128">
        <v>0</v>
      </c>
      <c r="Y2985" s="128">
        <v>0</v>
      </c>
      <c r="Z2985" s="128">
        <v>-141708.32</v>
      </c>
      <c r="AA2985" s="128">
        <v>0</v>
      </c>
      <c r="AB2985" s="126">
        <f t="shared" si="303"/>
        <v>1.4170832000000001E-2</v>
      </c>
      <c r="AC2985" s="122" t="s">
        <v>1838</v>
      </c>
      <c r="AD2985" s="123">
        <f t="shared" si="305"/>
        <v>1983.9723217250009</v>
      </c>
    </row>
    <row r="2986" spans="1:30" ht="12.75" hidden="1" customHeight="1">
      <c r="A2986" s="125" t="str">
        <f t="shared" si="300"/>
        <v>LIC02Prov Unr P/L - Equities</v>
      </c>
      <c r="B2986" s="125">
        <f>+IFERROR(VLOOKUP(L2986,'TB mapping'!A:D,4,0),0)</f>
        <v>0</v>
      </c>
      <c r="C2986" s="125">
        <f>+IFERROR(VLOOKUP(L2986,'TB mapping'!A:C,3,0),0)</f>
        <v>0</v>
      </c>
      <c r="D2986" s="125" t="str">
        <f t="shared" si="301"/>
        <v>LIC020</v>
      </c>
      <c r="E2986" s="125" t="str">
        <f t="shared" si="302"/>
        <v>LIC020</v>
      </c>
      <c r="F2986" s="158" t="str">
        <f>+VLOOKUP(H2986,'code mapping'!A:C,3,0)</f>
        <v>LIC02</v>
      </c>
      <c r="G2986" s="127" t="s">
        <v>453</v>
      </c>
      <c r="H2986" s="127" t="s">
        <v>788</v>
      </c>
      <c r="I2986" s="127" t="s">
        <v>789</v>
      </c>
      <c r="J2986" s="128">
        <v>160000</v>
      </c>
      <c r="K2986" s="127" t="s">
        <v>483</v>
      </c>
      <c r="L2986" s="151">
        <v>161100</v>
      </c>
      <c r="M2986" s="128">
        <v>0</v>
      </c>
      <c r="N2986" s="127" t="s">
        <v>595</v>
      </c>
      <c r="O2986" s="127" t="s">
        <v>457</v>
      </c>
      <c r="P2986" s="128">
        <v>-406849482.10000002</v>
      </c>
      <c r="Q2986" s="128">
        <v>0</v>
      </c>
      <c r="R2986" s="128">
        <v>0</v>
      </c>
      <c r="S2986" s="128">
        <v>0</v>
      </c>
      <c r="T2986" s="128">
        <v>-406849482.10000002</v>
      </c>
      <c r="U2986" s="128">
        <v>0</v>
      </c>
      <c r="V2986" s="128">
        <v>-406849482.10000002</v>
      </c>
      <c r="W2986" s="128">
        <v>0</v>
      </c>
      <c r="X2986" s="128">
        <v>0</v>
      </c>
      <c r="Y2986" s="128">
        <v>0</v>
      </c>
      <c r="Z2986" s="128">
        <v>-406849482.10000002</v>
      </c>
      <c r="AA2986" s="128">
        <v>0</v>
      </c>
      <c r="AB2986" s="126">
        <f t="shared" si="303"/>
        <v>40.684948210000002</v>
      </c>
      <c r="AC2986" s="122" t="s">
        <v>1838</v>
      </c>
      <c r="AD2986" s="123">
        <f t="shared" si="305"/>
        <v>1983.9723217250009</v>
      </c>
    </row>
    <row r="2987" spans="1:30" ht="12.75" hidden="1" customHeight="1">
      <c r="A2987" s="125" t="str">
        <f t="shared" si="300"/>
        <v>LIC02Prov Unr P/L - CorpBond/Debent</v>
      </c>
      <c r="B2987" s="125">
        <f>+IFERROR(VLOOKUP(L2987,'TB mapping'!A:D,4,0),0)</f>
        <v>0</v>
      </c>
      <c r="C2987" s="125">
        <f>+IFERROR(VLOOKUP(L2987,'TB mapping'!A:C,3,0),0)</f>
        <v>0</v>
      </c>
      <c r="D2987" s="125" t="str">
        <f t="shared" si="301"/>
        <v>LIC020</v>
      </c>
      <c r="E2987" s="125" t="str">
        <f t="shared" si="302"/>
        <v>LIC020</v>
      </c>
      <c r="F2987" s="158" t="str">
        <f>+VLOOKUP(H2987,'code mapping'!A:C,3,0)</f>
        <v>LIC02</v>
      </c>
      <c r="G2987" s="127" t="s">
        <v>453</v>
      </c>
      <c r="H2987" s="127" t="s">
        <v>788</v>
      </c>
      <c r="I2987" s="127" t="s">
        <v>789</v>
      </c>
      <c r="J2987" s="128">
        <v>160000</v>
      </c>
      <c r="K2987" s="127" t="s">
        <v>483</v>
      </c>
      <c r="L2987" s="151">
        <v>162120</v>
      </c>
      <c r="M2987" s="128">
        <v>0</v>
      </c>
      <c r="N2987" s="127" t="s">
        <v>484</v>
      </c>
      <c r="O2987" s="127" t="s">
        <v>457</v>
      </c>
      <c r="P2987" s="128">
        <v>-25891.31</v>
      </c>
      <c r="Q2987" s="128">
        <v>0</v>
      </c>
      <c r="R2987" s="128">
        <v>0</v>
      </c>
      <c r="S2987" s="128">
        <v>0</v>
      </c>
      <c r="T2987" s="128">
        <v>-25891.31</v>
      </c>
      <c r="U2987" s="128">
        <v>0</v>
      </c>
      <c r="V2987" s="128">
        <v>-25891.31</v>
      </c>
      <c r="W2987" s="128">
        <v>0</v>
      </c>
      <c r="X2987" s="128">
        <v>0</v>
      </c>
      <c r="Y2987" s="128">
        <v>0</v>
      </c>
      <c r="Z2987" s="128">
        <v>-25891.31</v>
      </c>
      <c r="AA2987" s="128">
        <v>0</v>
      </c>
      <c r="AB2987" s="126">
        <f t="shared" si="303"/>
        <v>2.5891310000000002E-3</v>
      </c>
      <c r="AC2987" s="122" t="s">
        <v>1838</v>
      </c>
      <c r="AD2987" s="123">
        <f t="shared" si="305"/>
        <v>1983.9723217250009</v>
      </c>
    </row>
    <row r="2988" spans="1:30" ht="12.75" hidden="1" customHeight="1">
      <c r="A2988" s="125" t="str">
        <f t="shared" si="300"/>
        <v>LIC02Dhanaraksha89 -Maturity Bonus</v>
      </c>
      <c r="B2988" s="125">
        <f>+IFERROR(VLOOKUP(L2988,'TB mapping'!A:D,4,0),0)</f>
        <v>0</v>
      </c>
      <c r="C2988" s="125">
        <f>+IFERROR(VLOOKUP(L2988,'TB mapping'!A:C,3,0),0)</f>
        <v>0</v>
      </c>
      <c r="D2988" s="125" t="str">
        <f t="shared" si="301"/>
        <v>LIC020</v>
      </c>
      <c r="E2988" s="125" t="str">
        <f t="shared" si="302"/>
        <v>LIC020</v>
      </c>
      <c r="F2988" s="158" t="str">
        <f>+VLOOKUP(H2988,'code mapping'!A:C,3,0)</f>
        <v>LIC02</v>
      </c>
      <c r="G2988" s="127" t="s">
        <v>453</v>
      </c>
      <c r="H2988" s="127" t="s">
        <v>788</v>
      </c>
      <c r="I2988" s="127" t="s">
        <v>789</v>
      </c>
      <c r="J2988" s="128">
        <v>212000</v>
      </c>
      <c r="K2988" s="127" t="s">
        <v>487</v>
      </c>
      <c r="L2988" s="151">
        <v>210159</v>
      </c>
      <c r="M2988" s="128">
        <v>0</v>
      </c>
      <c r="N2988" s="127" t="s">
        <v>791</v>
      </c>
      <c r="O2988" s="127" t="s">
        <v>457</v>
      </c>
      <c r="P2988" s="128">
        <v>0</v>
      </c>
      <c r="Q2988" s="128">
        <v>8241719.7300000004</v>
      </c>
      <c r="R2988" s="128">
        <v>0</v>
      </c>
      <c r="S2988" s="128">
        <v>0</v>
      </c>
      <c r="T2988" s="128">
        <v>0</v>
      </c>
      <c r="U2988" s="128">
        <v>8241719.7300000004</v>
      </c>
      <c r="V2988" s="128">
        <v>0</v>
      </c>
      <c r="W2988" s="128">
        <v>8241719.7300000004</v>
      </c>
      <c r="X2988" s="128">
        <v>0</v>
      </c>
      <c r="Y2988" s="128">
        <v>0</v>
      </c>
      <c r="Z2988" s="128">
        <v>0</v>
      </c>
      <c r="AA2988" s="128">
        <v>8241719.7300000004</v>
      </c>
      <c r="AB2988" s="126">
        <f t="shared" si="303"/>
        <v>-0.824171973</v>
      </c>
      <c r="AC2988" s="122" t="s">
        <v>1838</v>
      </c>
      <c r="AD2988" s="123">
        <f t="shared" si="305"/>
        <v>1983.9723217250009</v>
      </c>
    </row>
    <row r="2989" spans="1:30" ht="12.75" hidden="1" customHeight="1">
      <c r="A2989" s="125" t="str">
        <f t="shared" si="300"/>
        <v>LIC02LIC - Due to Insurance Premium</v>
      </c>
      <c r="B2989" s="125">
        <f>+IFERROR(VLOOKUP(L2989,'TB mapping'!A:D,4,0),0)</f>
        <v>0</v>
      </c>
      <c r="C2989" s="125">
        <f>+IFERROR(VLOOKUP(L2989,'TB mapping'!A:C,3,0),0)</f>
        <v>0</v>
      </c>
      <c r="D2989" s="125" t="str">
        <f t="shared" si="301"/>
        <v>LIC020</v>
      </c>
      <c r="E2989" s="125" t="str">
        <f t="shared" si="302"/>
        <v>LIC020</v>
      </c>
      <c r="F2989" s="158" t="str">
        <f>+VLOOKUP(H2989,'code mapping'!A:C,3,0)</f>
        <v>LIC02</v>
      </c>
      <c r="G2989" s="127" t="s">
        <v>453</v>
      </c>
      <c r="H2989" s="127" t="s">
        <v>788</v>
      </c>
      <c r="I2989" s="127" t="s">
        <v>789</v>
      </c>
      <c r="J2989" s="128">
        <v>212000</v>
      </c>
      <c r="K2989" s="127" t="s">
        <v>487</v>
      </c>
      <c r="L2989" s="151">
        <v>210160</v>
      </c>
      <c r="M2989" s="128">
        <v>0</v>
      </c>
      <c r="N2989" s="127" t="s">
        <v>792</v>
      </c>
      <c r="O2989" s="127" t="s">
        <v>457</v>
      </c>
      <c r="P2989" s="128">
        <v>0</v>
      </c>
      <c r="Q2989" s="128">
        <v>11274464.890000001</v>
      </c>
      <c r="R2989" s="128">
        <v>0</v>
      </c>
      <c r="S2989" s="128">
        <v>0</v>
      </c>
      <c r="T2989" s="128">
        <v>0</v>
      </c>
      <c r="U2989" s="128">
        <v>11274464.890000001</v>
      </c>
      <c r="V2989" s="128">
        <v>0</v>
      </c>
      <c r="W2989" s="128">
        <v>11274464.890000001</v>
      </c>
      <c r="X2989" s="128">
        <v>0</v>
      </c>
      <c r="Y2989" s="128">
        <v>0</v>
      </c>
      <c r="Z2989" s="128">
        <v>0</v>
      </c>
      <c r="AA2989" s="128">
        <v>11274464.890000001</v>
      </c>
      <c r="AB2989" s="126">
        <f t="shared" si="303"/>
        <v>-1.127446489</v>
      </c>
      <c r="AC2989" s="122" t="s">
        <v>1838</v>
      </c>
      <c r="AD2989" s="123">
        <f t="shared" si="305"/>
        <v>1983.9723217250009</v>
      </c>
    </row>
    <row r="2990" spans="1:30" ht="12.75" hidden="1" customHeight="1">
      <c r="A2990" s="125" t="str">
        <f t="shared" si="300"/>
        <v>LIC02Outstanding Death Claims</v>
      </c>
      <c r="B2990" s="125">
        <f>+IFERROR(VLOOKUP(L2990,'TB mapping'!A:D,4,0),0)</f>
        <v>0</v>
      </c>
      <c r="C2990" s="125">
        <f>+IFERROR(VLOOKUP(L2990,'TB mapping'!A:C,3,0),0)</f>
        <v>0</v>
      </c>
      <c r="D2990" s="125" t="str">
        <f t="shared" si="301"/>
        <v>LIC020</v>
      </c>
      <c r="E2990" s="125" t="str">
        <f t="shared" si="302"/>
        <v>LIC020</v>
      </c>
      <c r="F2990" s="158" t="str">
        <f>+VLOOKUP(H2990,'code mapping'!A:C,3,0)</f>
        <v>LIC02</v>
      </c>
      <c r="G2990" s="127" t="s">
        <v>453</v>
      </c>
      <c r="H2990" s="127" t="s">
        <v>788</v>
      </c>
      <c r="I2990" s="127" t="s">
        <v>789</v>
      </c>
      <c r="J2990" s="128">
        <v>212000</v>
      </c>
      <c r="K2990" s="127" t="s">
        <v>487</v>
      </c>
      <c r="L2990" s="151">
        <v>210161</v>
      </c>
      <c r="M2990" s="128">
        <v>0</v>
      </c>
      <c r="N2990" s="127" t="s">
        <v>793</v>
      </c>
      <c r="O2990" s="127" t="s">
        <v>457</v>
      </c>
      <c r="P2990" s="128">
        <v>0</v>
      </c>
      <c r="Q2990" s="128">
        <v>428472.98</v>
      </c>
      <c r="R2990" s="128">
        <v>0</v>
      </c>
      <c r="S2990" s="128">
        <v>0</v>
      </c>
      <c r="T2990" s="128">
        <v>0</v>
      </c>
      <c r="U2990" s="128">
        <v>428472.98</v>
      </c>
      <c r="V2990" s="128">
        <v>0</v>
      </c>
      <c r="W2990" s="128">
        <v>428472.98</v>
      </c>
      <c r="X2990" s="128">
        <v>0</v>
      </c>
      <c r="Y2990" s="128">
        <v>0</v>
      </c>
      <c r="Z2990" s="128">
        <v>0</v>
      </c>
      <c r="AA2990" s="128">
        <v>428472.98</v>
      </c>
      <c r="AB2990" s="126">
        <f t="shared" si="303"/>
        <v>-4.2847297999999999E-2</v>
      </c>
      <c r="AC2990" s="122" t="s">
        <v>1838</v>
      </c>
      <c r="AD2990" s="123">
        <f t="shared" si="305"/>
        <v>1983.9723217250009</v>
      </c>
    </row>
    <row r="2991" spans="1:30" ht="12.75" hidden="1" customHeight="1">
      <c r="A2991" s="125" t="str">
        <f t="shared" si="300"/>
        <v>LIC02Payable - Withhold Brokerage</v>
      </c>
      <c r="B2991" s="125">
        <f>+IFERROR(VLOOKUP(L2991,'TB mapping'!A:D,4,0),0)</f>
        <v>0</v>
      </c>
      <c r="C2991" s="125">
        <f>+IFERROR(VLOOKUP(L2991,'TB mapping'!A:C,3,0),0)</f>
        <v>0</v>
      </c>
      <c r="D2991" s="125" t="str">
        <f t="shared" si="301"/>
        <v>LIC020</v>
      </c>
      <c r="E2991" s="125" t="str">
        <f t="shared" si="302"/>
        <v>LIC020</v>
      </c>
      <c r="F2991" s="158" t="str">
        <f>+VLOOKUP(H2991,'code mapping'!A:C,3,0)</f>
        <v>LIC02</v>
      </c>
      <c r="G2991" s="127" t="s">
        <v>453</v>
      </c>
      <c r="H2991" s="127" t="s">
        <v>788</v>
      </c>
      <c r="I2991" s="127" t="s">
        <v>789</v>
      </c>
      <c r="J2991" s="128">
        <v>212000</v>
      </c>
      <c r="K2991" s="127" t="s">
        <v>487</v>
      </c>
      <c r="L2991" s="151">
        <v>210164</v>
      </c>
      <c r="M2991" s="128">
        <v>0</v>
      </c>
      <c r="N2991" s="127" t="s">
        <v>488</v>
      </c>
      <c r="O2991" s="127" t="s">
        <v>457</v>
      </c>
      <c r="P2991" s="128">
        <v>0</v>
      </c>
      <c r="Q2991" s="128">
        <v>802368.19</v>
      </c>
      <c r="R2991" s="128">
        <v>0</v>
      </c>
      <c r="S2991" s="128">
        <v>0</v>
      </c>
      <c r="T2991" s="128">
        <v>0</v>
      </c>
      <c r="U2991" s="128">
        <v>802368.19</v>
      </c>
      <c r="V2991" s="128">
        <v>0</v>
      </c>
      <c r="W2991" s="128">
        <v>802368.19</v>
      </c>
      <c r="X2991" s="128">
        <v>0</v>
      </c>
      <c r="Y2991" s="128">
        <v>0</v>
      </c>
      <c r="Z2991" s="128">
        <v>0</v>
      </c>
      <c r="AA2991" s="128">
        <v>802368.19</v>
      </c>
      <c r="AB2991" s="126">
        <f t="shared" si="303"/>
        <v>-8.0236819000000001E-2</v>
      </c>
      <c r="AC2991" s="122" t="s">
        <v>1838</v>
      </c>
      <c r="AD2991" s="123">
        <f t="shared" si="305"/>
        <v>1983.9723217250009</v>
      </c>
    </row>
    <row r="2992" spans="1:30" ht="12.75" hidden="1" customHeight="1">
      <c r="A2992" s="125" t="str">
        <f t="shared" si="300"/>
        <v>LIC02CGST Payable</v>
      </c>
      <c r="B2992" s="125">
        <f>+IFERROR(VLOOKUP(L2992,'TB mapping'!A:D,4,0),0)</f>
        <v>0</v>
      </c>
      <c r="C2992" s="125">
        <f>+IFERROR(VLOOKUP(L2992,'TB mapping'!A:C,3,0),0)</f>
        <v>0</v>
      </c>
      <c r="D2992" s="125" t="str">
        <f t="shared" si="301"/>
        <v>LIC020</v>
      </c>
      <c r="E2992" s="125" t="str">
        <f t="shared" si="302"/>
        <v>LIC020</v>
      </c>
      <c r="F2992" s="158" t="str">
        <f>+VLOOKUP(H2992,'code mapping'!A:C,3,0)</f>
        <v>LIC02</v>
      </c>
      <c r="G2992" s="127" t="s">
        <v>453</v>
      </c>
      <c r="H2992" s="127" t="s">
        <v>788</v>
      </c>
      <c r="I2992" s="127" t="s">
        <v>789</v>
      </c>
      <c r="J2992" s="128">
        <v>212000</v>
      </c>
      <c r="K2992" s="127" t="s">
        <v>487</v>
      </c>
      <c r="L2992" s="151">
        <v>212112</v>
      </c>
      <c r="M2992" s="128">
        <v>0</v>
      </c>
      <c r="N2992" s="127" t="s">
        <v>490</v>
      </c>
      <c r="O2992" s="127" t="s">
        <v>457</v>
      </c>
      <c r="P2992" s="128">
        <v>0</v>
      </c>
      <c r="Q2992" s="128">
        <v>938.36</v>
      </c>
      <c r="R2992" s="128">
        <v>0</v>
      </c>
      <c r="S2992" s="128">
        <v>0</v>
      </c>
      <c r="T2992" s="128">
        <v>0</v>
      </c>
      <c r="U2992" s="128">
        <v>938.36</v>
      </c>
      <c r="V2992" s="128">
        <v>0</v>
      </c>
      <c r="W2992" s="128">
        <v>938.36</v>
      </c>
      <c r="X2992" s="128">
        <v>0</v>
      </c>
      <c r="Y2992" s="128">
        <v>0</v>
      </c>
      <c r="Z2992" s="128">
        <v>0</v>
      </c>
      <c r="AA2992" s="128">
        <v>938.36</v>
      </c>
      <c r="AB2992" s="126">
        <f t="shared" si="303"/>
        <v>-9.3836000000000001E-5</v>
      </c>
      <c r="AC2992" s="122" t="s">
        <v>1838</v>
      </c>
      <c r="AD2992" s="123">
        <f t="shared" si="305"/>
        <v>1983.9723217250009</v>
      </c>
    </row>
    <row r="2993" spans="1:30" ht="12.75" hidden="1" customHeight="1">
      <c r="A2993" s="125" t="str">
        <f t="shared" si="300"/>
        <v>LIC02SGST Payable</v>
      </c>
      <c r="B2993" s="125">
        <f>+IFERROR(VLOOKUP(L2993,'TB mapping'!A:D,4,0),0)</f>
        <v>0</v>
      </c>
      <c r="C2993" s="125">
        <f>+IFERROR(VLOOKUP(L2993,'TB mapping'!A:C,3,0),0)</f>
        <v>0</v>
      </c>
      <c r="D2993" s="125" t="str">
        <f t="shared" si="301"/>
        <v>LIC020</v>
      </c>
      <c r="E2993" s="125" t="str">
        <f t="shared" si="302"/>
        <v>LIC020</v>
      </c>
      <c r="F2993" s="158" t="str">
        <f>+VLOOKUP(H2993,'code mapping'!A:C,3,0)</f>
        <v>LIC02</v>
      </c>
      <c r="G2993" s="127" t="s">
        <v>453</v>
      </c>
      <c r="H2993" s="127" t="s">
        <v>788</v>
      </c>
      <c r="I2993" s="127" t="s">
        <v>789</v>
      </c>
      <c r="J2993" s="128">
        <v>212000</v>
      </c>
      <c r="K2993" s="127" t="s">
        <v>487</v>
      </c>
      <c r="L2993" s="151">
        <v>212113</v>
      </c>
      <c r="M2993" s="128">
        <v>0</v>
      </c>
      <c r="N2993" s="127" t="s">
        <v>491</v>
      </c>
      <c r="O2993" s="127" t="s">
        <v>457</v>
      </c>
      <c r="P2993" s="128">
        <v>0</v>
      </c>
      <c r="Q2993" s="128">
        <v>938.36</v>
      </c>
      <c r="R2993" s="128">
        <v>0</v>
      </c>
      <c r="S2993" s="128">
        <v>0</v>
      </c>
      <c r="T2993" s="128">
        <v>0</v>
      </c>
      <c r="U2993" s="128">
        <v>938.36</v>
      </c>
      <c r="V2993" s="128">
        <v>0</v>
      </c>
      <c r="W2993" s="128">
        <v>938.36</v>
      </c>
      <c r="X2993" s="128">
        <v>0</v>
      </c>
      <c r="Y2993" s="128">
        <v>0</v>
      </c>
      <c r="Z2993" s="128">
        <v>0</v>
      </c>
      <c r="AA2993" s="128">
        <v>938.36</v>
      </c>
      <c r="AB2993" s="126">
        <f t="shared" si="303"/>
        <v>-9.3836000000000001E-5</v>
      </c>
      <c r="AC2993" s="122" t="s">
        <v>1838</v>
      </c>
      <c r="AD2993" s="123">
        <f t="shared" si="305"/>
        <v>1983.9723217250009</v>
      </c>
    </row>
    <row r="2994" spans="1:30" ht="12.75" hidden="1" customHeight="1">
      <c r="A2994" s="125" t="str">
        <f t="shared" si="300"/>
        <v>LIC02IGST Payable</v>
      </c>
      <c r="B2994" s="125">
        <f>+IFERROR(VLOOKUP(L2994,'TB mapping'!A:D,4,0),0)</f>
        <v>0</v>
      </c>
      <c r="C2994" s="125">
        <f>+IFERROR(VLOOKUP(L2994,'TB mapping'!A:C,3,0),0)</f>
        <v>0</v>
      </c>
      <c r="D2994" s="125" t="str">
        <f t="shared" si="301"/>
        <v>LIC020</v>
      </c>
      <c r="E2994" s="125" t="str">
        <f t="shared" si="302"/>
        <v>LIC020</v>
      </c>
      <c r="F2994" s="158" t="str">
        <f>+VLOOKUP(H2994,'code mapping'!A:C,3,0)</f>
        <v>LIC02</v>
      </c>
      <c r="G2994" s="127" t="s">
        <v>453</v>
      </c>
      <c r="H2994" s="127" t="s">
        <v>788</v>
      </c>
      <c r="I2994" s="127" t="s">
        <v>789</v>
      </c>
      <c r="J2994" s="128">
        <v>212000</v>
      </c>
      <c r="K2994" s="127" t="s">
        <v>487</v>
      </c>
      <c r="L2994" s="151">
        <v>212114</v>
      </c>
      <c r="M2994" s="128">
        <v>0</v>
      </c>
      <c r="N2994" s="127" t="s">
        <v>492</v>
      </c>
      <c r="O2994" s="127" t="s">
        <v>457</v>
      </c>
      <c r="P2994" s="128">
        <v>0</v>
      </c>
      <c r="Q2994" s="128">
        <v>8100.36</v>
      </c>
      <c r="R2994" s="128">
        <v>0</v>
      </c>
      <c r="S2994" s="128">
        <v>0</v>
      </c>
      <c r="T2994" s="128">
        <v>0</v>
      </c>
      <c r="U2994" s="128">
        <v>8100.36</v>
      </c>
      <c r="V2994" s="128">
        <v>0</v>
      </c>
      <c r="W2994" s="128">
        <v>8100.36</v>
      </c>
      <c r="X2994" s="128">
        <v>0</v>
      </c>
      <c r="Y2994" s="128">
        <v>0</v>
      </c>
      <c r="Z2994" s="128">
        <v>0</v>
      </c>
      <c r="AA2994" s="128">
        <v>8100.36</v>
      </c>
      <c r="AB2994" s="126">
        <f t="shared" si="303"/>
        <v>-8.1003599999999998E-4</v>
      </c>
      <c r="AC2994" s="122" t="s">
        <v>1838</v>
      </c>
      <c r="AD2994" s="123">
        <f t="shared" si="305"/>
        <v>1983.9723217250009</v>
      </c>
    </row>
    <row r="2995" spans="1:30" ht="12.75" hidden="1" customHeight="1">
      <c r="A2995" s="125" t="str">
        <f t="shared" si="300"/>
        <v>LIC02Redemption Payable Ct</v>
      </c>
      <c r="B2995" s="125">
        <f>+IFERROR(VLOOKUP(L2995,'TB mapping'!A:D,4,0),0)</f>
        <v>0</v>
      </c>
      <c r="C2995" s="125">
        <f>+IFERROR(VLOOKUP(L2995,'TB mapping'!A:C,3,0),0)</f>
        <v>0</v>
      </c>
      <c r="D2995" s="125" t="str">
        <f t="shared" si="301"/>
        <v>LIC020</v>
      </c>
      <c r="E2995" s="125" t="str">
        <f t="shared" si="302"/>
        <v>LIC020</v>
      </c>
      <c r="F2995" s="158" t="str">
        <f>+VLOOKUP(H2995,'code mapping'!A:C,3,0)</f>
        <v>LIC02</v>
      </c>
      <c r="G2995" s="127" t="s">
        <v>453</v>
      </c>
      <c r="H2995" s="127" t="s">
        <v>788</v>
      </c>
      <c r="I2995" s="127" t="s">
        <v>789</v>
      </c>
      <c r="J2995" s="128">
        <v>212000</v>
      </c>
      <c r="K2995" s="127" t="s">
        <v>487</v>
      </c>
      <c r="L2995" s="151">
        <v>212121</v>
      </c>
      <c r="M2995" s="128">
        <v>0</v>
      </c>
      <c r="N2995" s="127" t="s">
        <v>493</v>
      </c>
      <c r="O2995" s="127" t="s">
        <v>457</v>
      </c>
      <c r="P2995" s="128">
        <v>0</v>
      </c>
      <c r="Q2995" s="128">
        <v>3074966.46</v>
      </c>
      <c r="R2995" s="128">
        <v>0</v>
      </c>
      <c r="S2995" s="128">
        <v>0</v>
      </c>
      <c r="T2995" s="128">
        <v>0</v>
      </c>
      <c r="U2995" s="128">
        <v>3074966.46</v>
      </c>
      <c r="V2995" s="128">
        <v>0</v>
      </c>
      <c r="W2995" s="128">
        <v>3074966.46</v>
      </c>
      <c r="X2995" s="128">
        <v>0</v>
      </c>
      <c r="Y2995" s="128">
        <v>0</v>
      </c>
      <c r="Z2995" s="128">
        <v>0</v>
      </c>
      <c r="AA2995" s="128">
        <v>3074966.46</v>
      </c>
      <c r="AB2995" s="126">
        <f t="shared" si="303"/>
        <v>-0.30749664599999998</v>
      </c>
      <c r="AC2995" s="122" t="s">
        <v>1838</v>
      </c>
      <c r="AD2995" s="123">
        <f t="shared" si="305"/>
        <v>1983.9723217250009</v>
      </c>
    </row>
    <row r="2996" spans="1:30" ht="12.75" hidden="1" customHeight="1">
      <c r="A2996" s="125" t="str">
        <f t="shared" si="300"/>
        <v>LIC02Switch Out Payable Ct</v>
      </c>
      <c r="B2996" s="125">
        <f>+IFERROR(VLOOKUP(L2996,'TB mapping'!A:D,4,0),0)</f>
        <v>0</v>
      </c>
      <c r="C2996" s="125">
        <f>+IFERROR(VLOOKUP(L2996,'TB mapping'!A:C,3,0),0)</f>
        <v>0</v>
      </c>
      <c r="D2996" s="125" t="str">
        <f t="shared" si="301"/>
        <v>LIC020</v>
      </c>
      <c r="E2996" s="125" t="str">
        <f t="shared" si="302"/>
        <v>LIC020</v>
      </c>
      <c r="F2996" s="158" t="str">
        <f>+VLOOKUP(H2996,'code mapping'!A:C,3,0)</f>
        <v>LIC02</v>
      </c>
      <c r="G2996" s="127" t="s">
        <v>453</v>
      </c>
      <c r="H2996" s="127" t="s">
        <v>788</v>
      </c>
      <c r="I2996" s="127" t="s">
        <v>789</v>
      </c>
      <c r="J2996" s="128">
        <v>212000</v>
      </c>
      <c r="K2996" s="127" t="s">
        <v>487</v>
      </c>
      <c r="L2996" s="151">
        <v>212124</v>
      </c>
      <c r="M2996" s="128">
        <v>0</v>
      </c>
      <c r="N2996" s="127" t="s">
        <v>494</v>
      </c>
      <c r="O2996" s="127" t="s">
        <v>457</v>
      </c>
      <c r="P2996" s="128">
        <v>0</v>
      </c>
      <c r="Q2996" s="128">
        <v>417050.61</v>
      </c>
      <c r="R2996" s="128">
        <v>0</v>
      </c>
      <c r="S2996" s="128">
        <v>0</v>
      </c>
      <c r="T2996" s="128">
        <v>0</v>
      </c>
      <c r="U2996" s="128">
        <v>417050.61</v>
      </c>
      <c r="V2996" s="128">
        <v>0</v>
      </c>
      <c r="W2996" s="128">
        <v>417050.61</v>
      </c>
      <c r="X2996" s="128">
        <v>0</v>
      </c>
      <c r="Y2996" s="128">
        <v>0</v>
      </c>
      <c r="Z2996" s="128">
        <v>0</v>
      </c>
      <c r="AA2996" s="128">
        <v>417050.61</v>
      </c>
      <c r="AB2996" s="126">
        <f t="shared" si="303"/>
        <v>-4.1705061000000002E-2</v>
      </c>
      <c r="AC2996" s="122" t="s">
        <v>1838</v>
      </c>
      <c r="AD2996" s="123">
        <f t="shared" si="305"/>
        <v>1983.9723217250009</v>
      </c>
    </row>
    <row r="2997" spans="1:30" ht="12.75" hidden="1" customHeight="1">
      <c r="A2997" s="125" t="str">
        <f t="shared" si="300"/>
        <v>LIC02Audit Fee-Payable</v>
      </c>
      <c r="B2997" s="125">
        <f>+IFERROR(VLOOKUP(L2997,'TB mapping'!A:D,4,0),0)</f>
        <v>0</v>
      </c>
      <c r="C2997" s="125">
        <f>+IFERROR(VLOOKUP(L2997,'TB mapping'!A:C,3,0),0)</f>
        <v>0</v>
      </c>
      <c r="D2997" s="125" t="str">
        <f t="shared" si="301"/>
        <v>LIC020</v>
      </c>
      <c r="E2997" s="125" t="str">
        <f t="shared" si="302"/>
        <v>LIC020</v>
      </c>
      <c r="F2997" s="158" t="str">
        <f>+VLOOKUP(H2997,'code mapping'!A:C,3,0)</f>
        <v>LIC02</v>
      </c>
      <c r="G2997" s="127" t="s">
        <v>453</v>
      </c>
      <c r="H2997" s="127" t="s">
        <v>788</v>
      </c>
      <c r="I2997" s="127" t="s">
        <v>789</v>
      </c>
      <c r="J2997" s="128">
        <v>212000</v>
      </c>
      <c r="K2997" s="127" t="s">
        <v>487</v>
      </c>
      <c r="L2997" s="151">
        <v>212194</v>
      </c>
      <c r="M2997" s="128">
        <v>0</v>
      </c>
      <c r="N2997" s="127" t="s">
        <v>496</v>
      </c>
      <c r="O2997" s="127" t="s">
        <v>457</v>
      </c>
      <c r="P2997" s="128">
        <v>-573.06000000000006</v>
      </c>
      <c r="Q2997" s="128">
        <v>0</v>
      </c>
      <c r="R2997" s="128">
        <v>0</v>
      </c>
      <c r="S2997" s="128">
        <v>0</v>
      </c>
      <c r="T2997" s="128">
        <v>-573.06000000000006</v>
      </c>
      <c r="U2997" s="128">
        <v>0</v>
      </c>
      <c r="V2997" s="128">
        <v>-573.06000000000006</v>
      </c>
      <c r="W2997" s="128">
        <v>0</v>
      </c>
      <c r="X2997" s="128">
        <v>0</v>
      </c>
      <c r="Y2997" s="128">
        <v>0</v>
      </c>
      <c r="Z2997" s="128">
        <v>-573.06000000000006</v>
      </c>
      <c r="AA2997" s="128">
        <v>0</v>
      </c>
      <c r="AB2997" s="126">
        <f t="shared" si="303"/>
        <v>5.7306000000000003E-5</v>
      </c>
      <c r="AC2997" s="122" t="s">
        <v>1838</v>
      </c>
      <c r="AD2997" s="123">
        <f t="shared" si="305"/>
        <v>1983.9723217250009</v>
      </c>
    </row>
    <row r="2998" spans="1:30" ht="12.75" hidden="1" customHeight="1">
      <c r="A2998" s="125" t="str">
        <f t="shared" si="300"/>
        <v>LIC02Other Exp- Payable</v>
      </c>
      <c r="B2998" s="125">
        <f>+IFERROR(VLOOKUP(L2998,'TB mapping'!A:D,4,0),0)</f>
        <v>0</v>
      </c>
      <c r="C2998" s="125">
        <f>+IFERROR(VLOOKUP(L2998,'TB mapping'!A:C,3,0),0)</f>
        <v>0</v>
      </c>
      <c r="D2998" s="125" t="str">
        <f t="shared" si="301"/>
        <v>LIC020</v>
      </c>
      <c r="E2998" s="125" t="str">
        <f t="shared" si="302"/>
        <v>LIC020</v>
      </c>
      <c r="F2998" s="158" t="str">
        <f>+VLOOKUP(H2998,'code mapping'!A:C,3,0)</f>
        <v>LIC02</v>
      </c>
      <c r="G2998" s="127" t="s">
        <v>453</v>
      </c>
      <c r="H2998" s="127" t="s">
        <v>788</v>
      </c>
      <c r="I2998" s="127" t="s">
        <v>789</v>
      </c>
      <c r="J2998" s="128">
        <v>212000</v>
      </c>
      <c r="K2998" s="127" t="s">
        <v>487</v>
      </c>
      <c r="L2998" s="151">
        <v>212220</v>
      </c>
      <c r="M2998" s="128">
        <v>0</v>
      </c>
      <c r="N2998" s="127" t="s">
        <v>497</v>
      </c>
      <c r="O2998" s="127" t="s">
        <v>457</v>
      </c>
      <c r="P2998" s="128">
        <v>0</v>
      </c>
      <c r="Q2998" s="128">
        <v>4671812.04</v>
      </c>
      <c r="R2998" s="128">
        <v>0</v>
      </c>
      <c r="S2998" s="128">
        <v>0</v>
      </c>
      <c r="T2998" s="128">
        <v>0</v>
      </c>
      <c r="U2998" s="128">
        <v>4671812.04</v>
      </c>
      <c r="V2998" s="128">
        <v>0</v>
      </c>
      <c r="W2998" s="128">
        <v>4671812.04</v>
      </c>
      <c r="X2998" s="128">
        <v>0</v>
      </c>
      <c r="Y2998" s="128">
        <v>0</v>
      </c>
      <c r="Z2998" s="128">
        <v>0</v>
      </c>
      <c r="AA2998" s="128">
        <v>4671812.04</v>
      </c>
      <c r="AB2998" s="126">
        <f t="shared" si="303"/>
        <v>-0.46718120400000002</v>
      </c>
      <c r="AC2998" s="122" t="s">
        <v>1838</v>
      </c>
      <c r="AD2998" s="123">
        <f t="shared" si="305"/>
        <v>1983.9723217250009</v>
      </c>
    </row>
    <row r="2999" spans="1:30" ht="12.75" hidden="1" customHeight="1">
      <c r="A2999" s="125" t="str">
        <f t="shared" si="300"/>
        <v>LIC02Expense Allocation-Liab'ity Ac</v>
      </c>
      <c r="B2999" s="125">
        <f>+IFERROR(VLOOKUP(L2999,'TB mapping'!A:D,4,0),0)</f>
        <v>0</v>
      </c>
      <c r="C2999" s="125">
        <f>+IFERROR(VLOOKUP(L2999,'TB mapping'!A:C,3,0),0)</f>
        <v>0</v>
      </c>
      <c r="D2999" s="125" t="str">
        <f t="shared" si="301"/>
        <v>LIC020</v>
      </c>
      <c r="E2999" s="125" t="str">
        <f t="shared" si="302"/>
        <v>LIC020</v>
      </c>
      <c r="F2999" s="158" t="str">
        <f>+VLOOKUP(H2999,'code mapping'!A:C,3,0)</f>
        <v>LIC02</v>
      </c>
      <c r="G2999" s="127" t="s">
        <v>453</v>
      </c>
      <c r="H2999" s="127" t="s">
        <v>788</v>
      </c>
      <c r="I2999" s="127" t="s">
        <v>789</v>
      </c>
      <c r="J2999" s="128">
        <v>212000</v>
      </c>
      <c r="K2999" s="127" t="s">
        <v>487</v>
      </c>
      <c r="L2999" s="151">
        <v>212223</v>
      </c>
      <c r="M2999" s="128">
        <v>0</v>
      </c>
      <c r="N2999" s="127" t="s">
        <v>498</v>
      </c>
      <c r="O2999" s="127" t="s">
        <v>457</v>
      </c>
      <c r="P2999" s="128">
        <v>-1827079.65</v>
      </c>
      <c r="Q2999" s="128">
        <v>0</v>
      </c>
      <c r="R2999" s="128">
        <v>0</v>
      </c>
      <c r="S2999" s="128">
        <v>0</v>
      </c>
      <c r="T2999" s="128">
        <v>-1827079.65</v>
      </c>
      <c r="U2999" s="128">
        <v>0</v>
      </c>
      <c r="V2999" s="128">
        <v>-1827079.65</v>
      </c>
      <c r="W2999" s="128">
        <v>0</v>
      </c>
      <c r="X2999" s="128">
        <v>0</v>
      </c>
      <c r="Y2999" s="128">
        <v>0</v>
      </c>
      <c r="Z2999" s="128">
        <v>-1827079.65</v>
      </c>
      <c r="AA2999" s="128">
        <v>0</v>
      </c>
      <c r="AB2999" s="126">
        <f t="shared" si="303"/>
        <v>0.182707965</v>
      </c>
      <c r="AC2999" s="122" t="s">
        <v>1838</v>
      </c>
      <c r="AD2999" s="123">
        <f t="shared" si="305"/>
        <v>1983.9723217250009</v>
      </c>
    </row>
    <row r="3000" spans="1:30" ht="12.75" hidden="1" customHeight="1">
      <c r="A3000" s="125" t="str">
        <f t="shared" si="300"/>
        <v>LIC02Exp- Additional TER Payable</v>
      </c>
      <c r="B3000" s="125">
        <f>+IFERROR(VLOOKUP(L3000,'TB mapping'!A:D,4,0),0)</f>
        <v>0</v>
      </c>
      <c r="C3000" s="125">
        <f>+IFERROR(VLOOKUP(L3000,'TB mapping'!A:C,3,0),0)</f>
        <v>0</v>
      </c>
      <c r="D3000" s="125" t="str">
        <f t="shared" si="301"/>
        <v>LIC020</v>
      </c>
      <c r="E3000" s="125" t="str">
        <f t="shared" si="302"/>
        <v>LIC020</v>
      </c>
      <c r="F3000" s="158" t="str">
        <f>+VLOOKUP(H3000,'code mapping'!A:C,3,0)</f>
        <v>LIC02</v>
      </c>
      <c r="G3000" s="127" t="s">
        <v>453</v>
      </c>
      <c r="H3000" s="127" t="s">
        <v>788</v>
      </c>
      <c r="I3000" s="127" t="s">
        <v>789</v>
      </c>
      <c r="J3000" s="128">
        <v>212000</v>
      </c>
      <c r="K3000" s="127" t="s">
        <v>487</v>
      </c>
      <c r="L3000" s="151">
        <v>212227</v>
      </c>
      <c r="M3000" s="128">
        <v>0</v>
      </c>
      <c r="N3000" s="127" t="s">
        <v>627</v>
      </c>
      <c r="O3000" s="127" t="s">
        <v>457</v>
      </c>
      <c r="P3000" s="128">
        <v>0</v>
      </c>
      <c r="Q3000" s="128">
        <v>3050851.45</v>
      </c>
      <c r="R3000" s="128">
        <v>0</v>
      </c>
      <c r="S3000" s="128">
        <v>0</v>
      </c>
      <c r="T3000" s="128">
        <v>0</v>
      </c>
      <c r="U3000" s="128">
        <v>3050851.45</v>
      </c>
      <c r="V3000" s="128">
        <v>0</v>
      </c>
      <c r="W3000" s="128">
        <v>3050851.45</v>
      </c>
      <c r="X3000" s="128">
        <v>0</v>
      </c>
      <c r="Y3000" s="128">
        <v>0</v>
      </c>
      <c r="Z3000" s="128">
        <v>0</v>
      </c>
      <c r="AA3000" s="128">
        <v>3050851.45</v>
      </c>
      <c r="AB3000" s="126">
        <f t="shared" si="303"/>
        <v>-0.305085145</v>
      </c>
      <c r="AC3000" s="122" t="s">
        <v>1838</v>
      </c>
      <c r="AD3000" s="123">
        <f t="shared" si="305"/>
        <v>1983.9723217250009</v>
      </c>
    </row>
    <row r="3001" spans="1:30" ht="12.75" hidden="1" customHeight="1">
      <c r="A3001" s="125" t="str">
        <f t="shared" ref="A3001:A3064" si="306">+F3001&amp;N3001</f>
        <v>LIC02STT Payable</v>
      </c>
      <c r="B3001" s="125">
        <f>+IFERROR(VLOOKUP(L3001,'TB mapping'!A:D,4,0),0)</f>
        <v>0</v>
      </c>
      <c r="C3001" s="125">
        <f>+IFERROR(VLOOKUP(L3001,'TB mapping'!A:C,3,0),0)</f>
        <v>0</v>
      </c>
      <c r="D3001" s="125" t="str">
        <f t="shared" ref="D3001:D3064" si="307">+F3001&amp;B3001</f>
        <v>LIC020</v>
      </c>
      <c r="E3001" s="125" t="str">
        <f t="shared" ref="E3001:E3064" si="308">+F3001&amp;C3001</f>
        <v>LIC020</v>
      </c>
      <c r="F3001" s="158" t="str">
        <f>+VLOOKUP(H3001,'code mapping'!A:C,3,0)</f>
        <v>LIC02</v>
      </c>
      <c r="G3001" s="127" t="s">
        <v>453</v>
      </c>
      <c r="H3001" s="127" t="s">
        <v>788</v>
      </c>
      <c r="I3001" s="127" t="s">
        <v>789</v>
      </c>
      <c r="J3001" s="128">
        <v>212000</v>
      </c>
      <c r="K3001" s="127" t="s">
        <v>487</v>
      </c>
      <c r="L3001" s="151">
        <v>212231</v>
      </c>
      <c r="M3001" s="128">
        <v>0</v>
      </c>
      <c r="N3001" s="127" t="s">
        <v>748</v>
      </c>
      <c r="O3001" s="127" t="s">
        <v>457</v>
      </c>
      <c r="P3001" s="128">
        <v>0</v>
      </c>
      <c r="Q3001" s="128">
        <v>277.12</v>
      </c>
      <c r="R3001" s="128">
        <v>0</v>
      </c>
      <c r="S3001" s="128">
        <v>0</v>
      </c>
      <c r="T3001" s="128">
        <v>0</v>
      </c>
      <c r="U3001" s="128">
        <v>277.12</v>
      </c>
      <c r="V3001" s="128">
        <v>0</v>
      </c>
      <c r="W3001" s="128">
        <v>277.12</v>
      </c>
      <c r="X3001" s="128">
        <v>0</v>
      </c>
      <c r="Y3001" s="128">
        <v>0</v>
      </c>
      <c r="Z3001" s="128">
        <v>0</v>
      </c>
      <c r="AA3001" s="128">
        <v>277.12</v>
      </c>
      <c r="AB3001" s="126">
        <f t="shared" ref="AB3001:AB3064" si="309">SUM(-Z3001-AA3001)/10^7</f>
        <v>-2.7712000000000002E-5</v>
      </c>
      <c r="AC3001" s="122" t="s">
        <v>1838</v>
      </c>
      <c r="AD3001" s="123">
        <f t="shared" si="305"/>
        <v>1983.9723217250009</v>
      </c>
    </row>
    <row r="3002" spans="1:30" ht="12.75" hidden="1" customHeight="1">
      <c r="A3002" s="125" t="str">
        <f t="shared" si="306"/>
        <v>LIC02Load Payable</v>
      </c>
      <c r="B3002" s="125">
        <f>+IFERROR(VLOOKUP(L3002,'TB mapping'!A:D,4,0),0)</f>
        <v>0</v>
      </c>
      <c r="C3002" s="125">
        <f>+IFERROR(VLOOKUP(L3002,'TB mapping'!A:C,3,0),0)</f>
        <v>0</v>
      </c>
      <c r="D3002" s="125" t="str">
        <f t="shared" si="307"/>
        <v>LIC020</v>
      </c>
      <c r="E3002" s="125" t="str">
        <f t="shared" si="308"/>
        <v>LIC020</v>
      </c>
      <c r="F3002" s="158" t="str">
        <f>+VLOOKUP(H3002,'code mapping'!A:C,3,0)</f>
        <v>LIC02</v>
      </c>
      <c r="G3002" s="127" t="s">
        <v>453</v>
      </c>
      <c r="H3002" s="127" t="s">
        <v>788</v>
      </c>
      <c r="I3002" s="127" t="s">
        <v>789</v>
      </c>
      <c r="J3002" s="128">
        <v>212000</v>
      </c>
      <c r="K3002" s="127" t="s">
        <v>487</v>
      </c>
      <c r="L3002" s="151">
        <v>212232</v>
      </c>
      <c r="M3002" s="128">
        <v>0</v>
      </c>
      <c r="N3002" s="127" t="s">
        <v>749</v>
      </c>
      <c r="O3002" s="127" t="s">
        <v>457</v>
      </c>
      <c r="P3002" s="128">
        <v>0</v>
      </c>
      <c r="Q3002" s="128">
        <v>564010.81000000006</v>
      </c>
      <c r="R3002" s="128">
        <v>0</v>
      </c>
      <c r="S3002" s="128">
        <v>0</v>
      </c>
      <c r="T3002" s="128">
        <v>0</v>
      </c>
      <c r="U3002" s="128">
        <v>564010.81000000006</v>
      </c>
      <c r="V3002" s="128">
        <v>0</v>
      </c>
      <c r="W3002" s="128">
        <v>564010.81000000006</v>
      </c>
      <c r="X3002" s="128">
        <v>0</v>
      </c>
      <c r="Y3002" s="128">
        <v>0</v>
      </c>
      <c r="Z3002" s="128">
        <v>0</v>
      </c>
      <c r="AA3002" s="128">
        <v>564010.81000000006</v>
      </c>
      <c r="AB3002" s="126">
        <f t="shared" si="309"/>
        <v>-5.6401081000000006E-2</v>
      </c>
      <c r="AC3002" s="122" t="s">
        <v>1838</v>
      </c>
      <c r="AD3002" s="123">
        <f t="shared" si="305"/>
        <v>1983.9723217250009</v>
      </c>
    </row>
    <row r="3003" spans="1:30" ht="12.75" hidden="1" customHeight="1">
      <c r="A3003" s="125" t="str">
        <f t="shared" si="306"/>
        <v>LIC02Investor Education Payable</v>
      </c>
      <c r="B3003" s="125">
        <f>+IFERROR(VLOOKUP(L3003,'TB mapping'!A:D,4,0),0)</f>
        <v>0</v>
      </c>
      <c r="C3003" s="125">
        <f>+IFERROR(VLOOKUP(L3003,'TB mapping'!A:C,3,0),0)</f>
        <v>0</v>
      </c>
      <c r="D3003" s="125" t="str">
        <f t="shared" si="307"/>
        <v>LIC020</v>
      </c>
      <c r="E3003" s="125" t="str">
        <f t="shared" si="308"/>
        <v>LIC020</v>
      </c>
      <c r="F3003" s="158" t="str">
        <f>+VLOOKUP(H3003,'code mapping'!A:C,3,0)</f>
        <v>LIC02</v>
      </c>
      <c r="G3003" s="127" t="s">
        <v>453</v>
      </c>
      <c r="H3003" s="127" t="s">
        <v>788</v>
      </c>
      <c r="I3003" s="127" t="s">
        <v>789</v>
      </c>
      <c r="J3003" s="128">
        <v>212000</v>
      </c>
      <c r="K3003" s="127" t="s">
        <v>487</v>
      </c>
      <c r="L3003" s="151">
        <v>212240</v>
      </c>
      <c r="M3003" s="128">
        <v>0</v>
      </c>
      <c r="N3003" s="127" t="s">
        <v>500</v>
      </c>
      <c r="O3003" s="127" t="s">
        <v>457</v>
      </c>
      <c r="P3003" s="128">
        <v>0</v>
      </c>
      <c r="Q3003" s="128">
        <v>21240.560000000001</v>
      </c>
      <c r="R3003" s="128">
        <v>0</v>
      </c>
      <c r="S3003" s="128">
        <v>0</v>
      </c>
      <c r="T3003" s="128">
        <v>0</v>
      </c>
      <c r="U3003" s="128">
        <v>21240.560000000001</v>
      </c>
      <c r="V3003" s="128">
        <v>0</v>
      </c>
      <c r="W3003" s="128">
        <v>21240.560000000001</v>
      </c>
      <c r="X3003" s="128">
        <v>0</v>
      </c>
      <c r="Y3003" s="128">
        <v>0</v>
      </c>
      <c r="Z3003" s="128">
        <v>0</v>
      </c>
      <c r="AA3003" s="128">
        <v>21240.560000000001</v>
      </c>
      <c r="AB3003" s="126">
        <f t="shared" si="309"/>
        <v>-2.124056E-3</v>
      </c>
      <c r="AC3003" s="122" t="s">
        <v>1838</v>
      </c>
      <c r="AD3003" s="123">
        <f t="shared" si="305"/>
        <v>1983.9723217250009</v>
      </c>
    </row>
    <row r="3004" spans="1:30" ht="12.75" hidden="1" customHeight="1">
      <c r="A3004" s="125" t="str">
        <f t="shared" si="306"/>
        <v>LIC02Transaction Charges Payable</v>
      </c>
      <c r="B3004" s="125">
        <f>+IFERROR(VLOOKUP(L3004,'TB mapping'!A:D,4,0),0)</f>
        <v>0</v>
      </c>
      <c r="C3004" s="125">
        <f>+IFERROR(VLOOKUP(L3004,'TB mapping'!A:C,3,0),0)</f>
        <v>0</v>
      </c>
      <c r="D3004" s="125" t="str">
        <f t="shared" si="307"/>
        <v>LIC020</v>
      </c>
      <c r="E3004" s="125" t="str">
        <f t="shared" si="308"/>
        <v>LIC020</v>
      </c>
      <c r="F3004" s="158" t="str">
        <f>+VLOOKUP(H3004,'code mapping'!A:C,3,0)</f>
        <v>LIC02</v>
      </c>
      <c r="G3004" s="127" t="s">
        <v>453</v>
      </c>
      <c r="H3004" s="127" t="s">
        <v>788</v>
      </c>
      <c r="I3004" s="127" t="s">
        <v>789</v>
      </c>
      <c r="J3004" s="128">
        <v>212000</v>
      </c>
      <c r="K3004" s="127" t="s">
        <v>487</v>
      </c>
      <c r="L3004" s="151">
        <v>212247</v>
      </c>
      <c r="M3004" s="128">
        <v>0</v>
      </c>
      <c r="N3004" s="127" t="s">
        <v>501</v>
      </c>
      <c r="O3004" s="127" t="s">
        <v>457</v>
      </c>
      <c r="P3004" s="128">
        <v>-810</v>
      </c>
      <c r="Q3004" s="128">
        <v>0</v>
      </c>
      <c r="R3004" s="128">
        <v>0</v>
      </c>
      <c r="S3004" s="128">
        <v>0</v>
      </c>
      <c r="T3004" s="128">
        <v>-810</v>
      </c>
      <c r="U3004" s="128">
        <v>0</v>
      </c>
      <c r="V3004" s="128">
        <v>-810</v>
      </c>
      <c r="W3004" s="128">
        <v>0</v>
      </c>
      <c r="X3004" s="128">
        <v>0</v>
      </c>
      <c r="Y3004" s="128">
        <v>0</v>
      </c>
      <c r="Z3004" s="128">
        <v>-810</v>
      </c>
      <c r="AA3004" s="128">
        <v>0</v>
      </c>
      <c r="AB3004" s="126">
        <f t="shared" si="309"/>
        <v>8.1000000000000004E-5</v>
      </c>
      <c r="AC3004" s="122" t="s">
        <v>1838</v>
      </c>
      <c r="AD3004" s="123">
        <f t="shared" si="305"/>
        <v>1983.9723217250009</v>
      </c>
    </row>
    <row r="3005" spans="1:30" ht="12.75" hidden="1" customHeight="1">
      <c r="A3005" s="125" t="str">
        <f t="shared" si="306"/>
        <v>LIC02Brokerage &amp; Dist Exp Payable</v>
      </c>
      <c r="B3005" s="125">
        <f>+IFERROR(VLOOKUP(L3005,'TB mapping'!A:D,4,0),0)</f>
        <v>0</v>
      </c>
      <c r="C3005" s="125">
        <f>+IFERROR(VLOOKUP(L3005,'TB mapping'!A:C,3,0),0)</f>
        <v>0</v>
      </c>
      <c r="D3005" s="125" t="str">
        <f t="shared" si="307"/>
        <v>LIC020</v>
      </c>
      <c r="E3005" s="125" t="str">
        <f t="shared" si="308"/>
        <v>LIC020</v>
      </c>
      <c r="F3005" s="158" t="str">
        <f>+VLOOKUP(H3005,'code mapping'!A:C,3,0)</f>
        <v>LIC02</v>
      </c>
      <c r="G3005" s="127" t="s">
        <v>453</v>
      </c>
      <c r="H3005" s="127" t="s">
        <v>788</v>
      </c>
      <c r="I3005" s="127" t="s">
        <v>789</v>
      </c>
      <c r="J3005" s="128">
        <v>212000</v>
      </c>
      <c r="K3005" s="127" t="s">
        <v>487</v>
      </c>
      <c r="L3005" s="151">
        <v>212255</v>
      </c>
      <c r="M3005" s="128">
        <v>0</v>
      </c>
      <c r="N3005" s="127" t="s">
        <v>503</v>
      </c>
      <c r="O3005" s="127" t="s">
        <v>457</v>
      </c>
      <c r="P3005" s="128">
        <v>0</v>
      </c>
      <c r="Q3005" s="128">
        <v>4655102.2300000004</v>
      </c>
      <c r="R3005" s="128">
        <v>0</v>
      </c>
      <c r="S3005" s="128">
        <v>0</v>
      </c>
      <c r="T3005" s="128">
        <v>0</v>
      </c>
      <c r="U3005" s="128">
        <v>4655102.2300000004</v>
      </c>
      <c r="V3005" s="128">
        <v>0</v>
      </c>
      <c r="W3005" s="128">
        <v>4655102.2300000004</v>
      </c>
      <c r="X3005" s="128">
        <v>0</v>
      </c>
      <c r="Y3005" s="128">
        <v>0</v>
      </c>
      <c r="Z3005" s="128">
        <v>0</v>
      </c>
      <c r="AA3005" s="128">
        <v>4655102.2300000004</v>
      </c>
      <c r="AB3005" s="126">
        <f t="shared" si="309"/>
        <v>-0.46551022300000006</v>
      </c>
      <c r="AC3005" s="122" t="s">
        <v>1838</v>
      </c>
      <c r="AD3005" s="123">
        <f t="shared" si="305"/>
        <v>1983.9723217250009</v>
      </c>
    </row>
    <row r="3006" spans="1:30" ht="12.75" hidden="1" customHeight="1">
      <c r="A3006" s="125" t="str">
        <f t="shared" si="306"/>
        <v>LIC02Upfront Brk &amp; Trail Paid-Liab</v>
      </c>
      <c r="B3006" s="125">
        <f>+IFERROR(VLOOKUP(L3006,'TB mapping'!A:D,4,0),0)</f>
        <v>0</v>
      </c>
      <c r="C3006" s="125">
        <f>+IFERROR(VLOOKUP(L3006,'TB mapping'!A:C,3,0),0)</f>
        <v>0</v>
      </c>
      <c r="D3006" s="125" t="str">
        <f t="shared" si="307"/>
        <v>LIC020</v>
      </c>
      <c r="E3006" s="125" t="str">
        <f t="shared" si="308"/>
        <v>LIC020</v>
      </c>
      <c r="F3006" s="158" t="str">
        <f>+VLOOKUP(H3006,'code mapping'!A:C,3,0)</f>
        <v>LIC02</v>
      </c>
      <c r="G3006" s="127" t="s">
        <v>453</v>
      </c>
      <c r="H3006" s="127" t="s">
        <v>788</v>
      </c>
      <c r="I3006" s="127" t="s">
        <v>789</v>
      </c>
      <c r="J3006" s="128">
        <v>212000</v>
      </c>
      <c r="K3006" s="127" t="s">
        <v>487</v>
      </c>
      <c r="L3006" s="151">
        <v>212257</v>
      </c>
      <c r="M3006" s="128">
        <v>0</v>
      </c>
      <c r="N3006" s="127" t="s">
        <v>504</v>
      </c>
      <c r="O3006" s="127" t="s">
        <v>457</v>
      </c>
      <c r="P3006" s="128">
        <v>0</v>
      </c>
      <c r="Q3006" s="128">
        <v>4749.33</v>
      </c>
      <c r="R3006" s="128">
        <v>0</v>
      </c>
      <c r="S3006" s="128">
        <v>0</v>
      </c>
      <c r="T3006" s="128">
        <v>0</v>
      </c>
      <c r="U3006" s="128">
        <v>4749.33</v>
      </c>
      <c r="V3006" s="128">
        <v>0</v>
      </c>
      <c r="W3006" s="128">
        <v>4749.33</v>
      </c>
      <c r="X3006" s="128">
        <v>0</v>
      </c>
      <c r="Y3006" s="128">
        <v>0</v>
      </c>
      <c r="Z3006" s="128">
        <v>0</v>
      </c>
      <c r="AA3006" s="128">
        <v>4749.33</v>
      </c>
      <c r="AB3006" s="126">
        <f t="shared" si="309"/>
        <v>-4.7493299999999997E-4</v>
      </c>
      <c r="AC3006" s="122" t="s">
        <v>1838</v>
      </c>
      <c r="AD3006" s="123">
        <f t="shared" si="305"/>
        <v>1983.9723217250009</v>
      </c>
    </row>
    <row r="3007" spans="1:30" ht="12.75" hidden="1" customHeight="1">
      <c r="A3007" s="125" t="str">
        <f t="shared" si="306"/>
        <v>LIC02Payable CGST on Mfees</v>
      </c>
      <c r="B3007" s="125">
        <f>+IFERROR(VLOOKUP(L3007,'TB mapping'!A:D,4,0),0)</f>
        <v>0</v>
      </c>
      <c r="C3007" s="125">
        <f>+IFERROR(VLOOKUP(L3007,'TB mapping'!A:C,3,0),0)</f>
        <v>0</v>
      </c>
      <c r="D3007" s="125" t="str">
        <f t="shared" si="307"/>
        <v>LIC020</v>
      </c>
      <c r="E3007" s="125" t="str">
        <f t="shared" si="308"/>
        <v>LIC020</v>
      </c>
      <c r="F3007" s="158" t="str">
        <f>+VLOOKUP(H3007,'code mapping'!A:C,3,0)</f>
        <v>LIC02</v>
      </c>
      <c r="G3007" s="127" t="s">
        <v>453</v>
      </c>
      <c r="H3007" s="127" t="s">
        <v>788</v>
      </c>
      <c r="I3007" s="127" t="s">
        <v>789</v>
      </c>
      <c r="J3007" s="128">
        <v>212000</v>
      </c>
      <c r="K3007" s="127" t="s">
        <v>487</v>
      </c>
      <c r="L3007" s="151">
        <v>212271</v>
      </c>
      <c r="M3007" s="128">
        <v>0</v>
      </c>
      <c r="N3007" s="127" t="s">
        <v>505</v>
      </c>
      <c r="O3007" s="127" t="s">
        <v>457</v>
      </c>
      <c r="P3007" s="128">
        <v>0</v>
      </c>
      <c r="Q3007" s="128">
        <v>42272.57</v>
      </c>
      <c r="R3007" s="128">
        <v>0</v>
      </c>
      <c r="S3007" s="128">
        <v>0</v>
      </c>
      <c r="T3007" s="128">
        <v>0</v>
      </c>
      <c r="U3007" s="128">
        <v>42272.57</v>
      </c>
      <c r="V3007" s="128">
        <v>0</v>
      </c>
      <c r="W3007" s="128">
        <v>42272.57</v>
      </c>
      <c r="X3007" s="128">
        <v>0</v>
      </c>
      <c r="Y3007" s="128">
        <v>0</v>
      </c>
      <c r="Z3007" s="128">
        <v>0</v>
      </c>
      <c r="AA3007" s="128">
        <v>42272.57</v>
      </c>
      <c r="AB3007" s="126">
        <f t="shared" si="309"/>
        <v>-4.2272569999999999E-3</v>
      </c>
      <c r="AC3007" s="122" t="s">
        <v>1838</v>
      </c>
      <c r="AD3007" s="123">
        <f t="shared" si="305"/>
        <v>1983.9723217250009</v>
      </c>
    </row>
    <row r="3008" spans="1:30" ht="12.75" hidden="1" customHeight="1">
      <c r="A3008" s="125" t="str">
        <f t="shared" si="306"/>
        <v>LIC02Payable SGST on Mfees</v>
      </c>
      <c r="B3008" s="125">
        <f>+IFERROR(VLOOKUP(L3008,'TB mapping'!A:D,4,0),0)</f>
        <v>0</v>
      </c>
      <c r="C3008" s="125">
        <f>+IFERROR(VLOOKUP(L3008,'TB mapping'!A:C,3,0),0)</f>
        <v>0</v>
      </c>
      <c r="D3008" s="125" t="str">
        <f t="shared" si="307"/>
        <v>LIC020</v>
      </c>
      <c r="E3008" s="125" t="str">
        <f t="shared" si="308"/>
        <v>LIC020</v>
      </c>
      <c r="F3008" s="158" t="str">
        <f>+VLOOKUP(H3008,'code mapping'!A:C,3,0)</f>
        <v>LIC02</v>
      </c>
      <c r="G3008" s="127" t="s">
        <v>453</v>
      </c>
      <c r="H3008" s="127" t="s">
        <v>788</v>
      </c>
      <c r="I3008" s="127" t="s">
        <v>789</v>
      </c>
      <c r="J3008" s="128">
        <v>212000</v>
      </c>
      <c r="K3008" s="127" t="s">
        <v>487</v>
      </c>
      <c r="L3008" s="151">
        <v>212272</v>
      </c>
      <c r="M3008" s="128">
        <v>0</v>
      </c>
      <c r="N3008" s="127" t="s">
        <v>506</v>
      </c>
      <c r="O3008" s="127" t="s">
        <v>457</v>
      </c>
      <c r="P3008" s="128">
        <v>0</v>
      </c>
      <c r="Q3008" s="128">
        <v>42272.57</v>
      </c>
      <c r="R3008" s="128">
        <v>0</v>
      </c>
      <c r="S3008" s="128">
        <v>0</v>
      </c>
      <c r="T3008" s="128">
        <v>0</v>
      </c>
      <c r="U3008" s="128">
        <v>42272.57</v>
      </c>
      <c r="V3008" s="128">
        <v>0</v>
      </c>
      <c r="W3008" s="128">
        <v>42272.57</v>
      </c>
      <c r="X3008" s="128">
        <v>0</v>
      </c>
      <c r="Y3008" s="128">
        <v>0</v>
      </c>
      <c r="Z3008" s="128">
        <v>0</v>
      </c>
      <c r="AA3008" s="128">
        <v>42272.57</v>
      </c>
      <c r="AB3008" s="126">
        <f t="shared" si="309"/>
        <v>-4.2272569999999999E-3</v>
      </c>
      <c r="AC3008" s="122" t="s">
        <v>1838</v>
      </c>
      <c r="AD3008" s="123">
        <f t="shared" si="305"/>
        <v>1983.9723217250009</v>
      </c>
    </row>
    <row r="3009" spans="1:32" ht="12.75" hidden="1" customHeight="1">
      <c r="A3009" s="125" t="str">
        <f t="shared" si="306"/>
        <v>LIC02Payable -Inv Educ Fund-AMFI</v>
      </c>
      <c r="B3009" s="125">
        <f>+IFERROR(VLOOKUP(L3009,'TB mapping'!A:D,4,0),0)</f>
        <v>0</v>
      </c>
      <c r="C3009" s="125">
        <f>+IFERROR(VLOOKUP(L3009,'TB mapping'!A:C,3,0),0)</f>
        <v>0</v>
      </c>
      <c r="D3009" s="125" t="str">
        <f t="shared" si="307"/>
        <v>LIC020</v>
      </c>
      <c r="E3009" s="125" t="str">
        <f t="shared" si="308"/>
        <v>LIC020</v>
      </c>
      <c r="F3009" s="158" t="str">
        <f>+VLOOKUP(H3009,'code mapping'!A:C,3,0)</f>
        <v>LIC02</v>
      </c>
      <c r="G3009" s="127" t="s">
        <v>453</v>
      </c>
      <c r="H3009" s="127" t="s">
        <v>788</v>
      </c>
      <c r="I3009" s="127" t="s">
        <v>789</v>
      </c>
      <c r="J3009" s="128">
        <v>212000</v>
      </c>
      <c r="K3009" s="127" t="s">
        <v>487</v>
      </c>
      <c r="L3009" s="151">
        <v>213166</v>
      </c>
      <c r="M3009" s="128">
        <v>0</v>
      </c>
      <c r="N3009" s="127" t="s">
        <v>507</v>
      </c>
      <c r="O3009" s="127" t="s">
        <v>457</v>
      </c>
      <c r="P3009" s="128">
        <v>0</v>
      </c>
      <c r="Q3009" s="128">
        <v>21240.560000000001</v>
      </c>
      <c r="R3009" s="128">
        <v>0</v>
      </c>
      <c r="S3009" s="128">
        <v>0</v>
      </c>
      <c r="T3009" s="128">
        <v>0</v>
      </c>
      <c r="U3009" s="128">
        <v>21240.560000000001</v>
      </c>
      <c r="V3009" s="128">
        <v>0</v>
      </c>
      <c r="W3009" s="128">
        <v>21240.560000000001</v>
      </c>
      <c r="X3009" s="128">
        <v>0</v>
      </c>
      <c r="Y3009" s="128">
        <v>0</v>
      </c>
      <c r="Z3009" s="128">
        <v>0</v>
      </c>
      <c r="AA3009" s="128">
        <v>21240.560000000001</v>
      </c>
      <c r="AB3009" s="126">
        <f t="shared" si="309"/>
        <v>-2.124056E-3</v>
      </c>
      <c r="AC3009" s="122" t="s">
        <v>1838</v>
      </c>
      <c r="AD3009" s="123">
        <f t="shared" si="305"/>
        <v>1983.9723217250009</v>
      </c>
    </row>
    <row r="3010" spans="1:32" ht="12.75" hidden="1" customHeight="1">
      <c r="A3010" s="125" t="str">
        <f t="shared" si="306"/>
        <v>LIC02Management Fee Payable</v>
      </c>
      <c r="B3010" s="125">
        <f>+IFERROR(VLOOKUP(L3010,'TB mapping'!A:D,4,0),0)</f>
        <v>0</v>
      </c>
      <c r="C3010" s="125">
        <f>+IFERROR(VLOOKUP(L3010,'TB mapping'!A:C,3,0),0)</f>
        <v>0</v>
      </c>
      <c r="D3010" s="125" t="str">
        <f t="shared" si="307"/>
        <v>LIC020</v>
      </c>
      <c r="E3010" s="125" t="str">
        <f t="shared" si="308"/>
        <v>LIC020</v>
      </c>
      <c r="F3010" s="158" t="str">
        <f>+VLOOKUP(H3010,'code mapping'!A:C,3,0)</f>
        <v>LIC02</v>
      </c>
      <c r="G3010" s="127" t="s">
        <v>453</v>
      </c>
      <c r="H3010" s="127" t="s">
        <v>788</v>
      </c>
      <c r="I3010" s="127" t="s">
        <v>789</v>
      </c>
      <c r="J3010" s="128">
        <v>213000</v>
      </c>
      <c r="K3010" s="127" t="s">
        <v>508</v>
      </c>
      <c r="L3010" s="151">
        <v>213500</v>
      </c>
      <c r="M3010" s="128">
        <v>0</v>
      </c>
      <c r="N3010" s="127" t="s">
        <v>509</v>
      </c>
      <c r="O3010" s="127" t="s">
        <v>457</v>
      </c>
      <c r="P3010" s="128">
        <v>0</v>
      </c>
      <c r="Q3010" s="128">
        <v>469642.22</v>
      </c>
      <c r="R3010" s="128">
        <v>0</v>
      </c>
      <c r="S3010" s="128">
        <v>0</v>
      </c>
      <c r="T3010" s="128">
        <v>0</v>
      </c>
      <c r="U3010" s="128">
        <v>469642.22</v>
      </c>
      <c r="V3010" s="128">
        <v>0</v>
      </c>
      <c r="W3010" s="128">
        <v>469642.22</v>
      </c>
      <c r="X3010" s="128">
        <v>0</v>
      </c>
      <c r="Y3010" s="128">
        <v>0</v>
      </c>
      <c r="Z3010" s="128">
        <v>0</v>
      </c>
      <c r="AA3010" s="128">
        <v>469642.22</v>
      </c>
      <c r="AB3010" s="126">
        <f t="shared" si="309"/>
        <v>-4.6964222E-2</v>
      </c>
      <c r="AC3010" s="122" t="s">
        <v>1838</v>
      </c>
      <c r="AD3010" s="123">
        <f t="shared" si="305"/>
        <v>1983.9723217250009</v>
      </c>
    </row>
    <row r="3011" spans="1:32" ht="12.75" hidden="1" customHeight="1">
      <c r="A3011" s="125" t="str">
        <f t="shared" si="306"/>
        <v>LIC02Other Adjustment A/c.</v>
      </c>
      <c r="B3011" s="125">
        <f>+IFERROR(VLOOKUP(L3011,'TB mapping'!A:D,4,0),0)</f>
        <v>0</v>
      </c>
      <c r="C3011" s="125">
        <f>+IFERROR(VLOOKUP(L3011,'TB mapping'!A:C,3,0),0)</f>
        <v>0</v>
      </c>
      <c r="D3011" s="125" t="str">
        <f t="shared" si="307"/>
        <v>LIC020</v>
      </c>
      <c r="E3011" s="125" t="str">
        <f t="shared" si="308"/>
        <v>LIC020</v>
      </c>
      <c r="F3011" s="158" t="str">
        <f>+VLOOKUP(H3011,'code mapping'!A:C,3,0)</f>
        <v>LIC02</v>
      </c>
      <c r="G3011" s="127" t="s">
        <v>453</v>
      </c>
      <c r="H3011" s="127" t="s">
        <v>788</v>
      </c>
      <c r="I3011" s="127" t="s">
        <v>789</v>
      </c>
      <c r="J3011" s="128">
        <v>220000</v>
      </c>
      <c r="K3011" s="127" t="s">
        <v>510</v>
      </c>
      <c r="L3011" s="151">
        <v>190000</v>
      </c>
      <c r="M3011" s="128">
        <v>0</v>
      </c>
      <c r="N3011" s="127" t="s">
        <v>511</v>
      </c>
      <c r="O3011" s="127" t="s">
        <v>457</v>
      </c>
      <c r="P3011" s="128">
        <v>-3.36</v>
      </c>
      <c r="Q3011" s="128">
        <v>0</v>
      </c>
      <c r="R3011" s="128">
        <v>0</v>
      </c>
      <c r="S3011" s="128">
        <v>0</v>
      </c>
      <c r="T3011" s="128">
        <v>-3.36</v>
      </c>
      <c r="U3011" s="128">
        <v>0</v>
      </c>
      <c r="V3011" s="128">
        <v>-3.36</v>
      </c>
      <c r="W3011" s="128">
        <v>0</v>
      </c>
      <c r="X3011" s="128">
        <v>0</v>
      </c>
      <c r="Y3011" s="128">
        <v>0</v>
      </c>
      <c r="Z3011" s="128">
        <v>-3.36</v>
      </c>
      <c r="AA3011" s="128">
        <v>0</v>
      </c>
      <c r="AB3011" s="126">
        <f t="shared" si="309"/>
        <v>3.3599999999999999E-7</v>
      </c>
      <c r="AC3011" s="122" t="s">
        <v>1838</v>
      </c>
      <c r="AD3011" s="123">
        <f t="shared" si="305"/>
        <v>1983.9723217250009</v>
      </c>
    </row>
    <row r="3012" spans="1:32" ht="12.75" hidden="1" customHeight="1">
      <c r="A3012" s="125" t="str">
        <f t="shared" si="306"/>
        <v>LIC02Prov For Withholding Brokerage</v>
      </c>
      <c r="B3012" s="125">
        <f>+IFERROR(VLOOKUP(L3012,'TB mapping'!A:D,4,0),0)</f>
        <v>0</v>
      </c>
      <c r="C3012" s="125">
        <f>+IFERROR(VLOOKUP(L3012,'TB mapping'!A:C,3,0),0)</f>
        <v>0</v>
      </c>
      <c r="D3012" s="125" t="str">
        <f t="shared" si="307"/>
        <v>LIC020</v>
      </c>
      <c r="E3012" s="125" t="str">
        <f t="shared" si="308"/>
        <v>LIC020</v>
      </c>
      <c r="F3012" s="158" t="str">
        <f>+VLOOKUP(H3012,'code mapping'!A:C,3,0)</f>
        <v>LIC02</v>
      </c>
      <c r="G3012" s="127" t="s">
        <v>453</v>
      </c>
      <c r="H3012" s="127" t="s">
        <v>788</v>
      </c>
      <c r="I3012" s="127" t="s">
        <v>789</v>
      </c>
      <c r="J3012" s="128">
        <v>220000</v>
      </c>
      <c r="K3012" s="127" t="s">
        <v>510</v>
      </c>
      <c r="L3012" s="151">
        <v>210162</v>
      </c>
      <c r="M3012" s="128">
        <v>0</v>
      </c>
      <c r="N3012" s="127" t="s">
        <v>512</v>
      </c>
      <c r="O3012" s="127" t="s">
        <v>457</v>
      </c>
      <c r="P3012" s="128">
        <v>0</v>
      </c>
      <c r="Q3012" s="128">
        <v>914047.67</v>
      </c>
      <c r="R3012" s="128">
        <v>0</v>
      </c>
      <c r="S3012" s="128">
        <v>0</v>
      </c>
      <c r="T3012" s="128">
        <v>0</v>
      </c>
      <c r="U3012" s="128">
        <v>914047.67</v>
      </c>
      <c r="V3012" s="128">
        <v>0</v>
      </c>
      <c r="W3012" s="128">
        <v>914047.67</v>
      </c>
      <c r="X3012" s="128">
        <v>0</v>
      </c>
      <c r="Y3012" s="128">
        <v>0</v>
      </c>
      <c r="Z3012" s="128">
        <v>0</v>
      </c>
      <c r="AA3012" s="128">
        <v>914047.67</v>
      </c>
      <c r="AB3012" s="126">
        <f t="shared" si="309"/>
        <v>-9.1404766999999998E-2</v>
      </c>
      <c r="AC3012" s="122" t="s">
        <v>1838</v>
      </c>
      <c r="AD3012" s="123">
        <f t="shared" si="305"/>
        <v>1983.9723217250009</v>
      </c>
    </row>
    <row r="3013" spans="1:32" ht="12.75" hidden="1" customHeight="1">
      <c r="A3013" s="125" t="str">
        <f t="shared" si="306"/>
        <v>LIC02Prov  Withholding Brok 2016-17</v>
      </c>
      <c r="B3013" s="125">
        <f>+IFERROR(VLOOKUP(L3013,'TB mapping'!A:D,4,0),0)</f>
        <v>0</v>
      </c>
      <c r="C3013" s="125">
        <f>+IFERROR(VLOOKUP(L3013,'TB mapping'!A:C,3,0),0)</f>
        <v>0</v>
      </c>
      <c r="D3013" s="125" t="str">
        <f t="shared" si="307"/>
        <v>LIC020</v>
      </c>
      <c r="E3013" s="125" t="str">
        <f t="shared" si="308"/>
        <v>LIC020</v>
      </c>
      <c r="F3013" s="158" t="str">
        <f>+VLOOKUP(H3013,'code mapping'!A:C,3,0)</f>
        <v>LIC02</v>
      </c>
      <c r="G3013" s="127" t="s">
        <v>453</v>
      </c>
      <c r="H3013" s="127" t="s">
        <v>788</v>
      </c>
      <c r="I3013" s="127" t="s">
        <v>789</v>
      </c>
      <c r="J3013" s="128">
        <v>220000</v>
      </c>
      <c r="K3013" s="127" t="s">
        <v>510</v>
      </c>
      <c r="L3013" s="151">
        <v>210163</v>
      </c>
      <c r="M3013" s="128">
        <v>0</v>
      </c>
      <c r="N3013" s="127" t="s">
        <v>513</v>
      </c>
      <c r="O3013" s="127" t="s">
        <v>457</v>
      </c>
      <c r="P3013" s="128">
        <v>0</v>
      </c>
      <c r="Q3013" s="128">
        <v>1059012.3899999999</v>
      </c>
      <c r="R3013" s="128">
        <v>0</v>
      </c>
      <c r="S3013" s="128">
        <v>0</v>
      </c>
      <c r="T3013" s="128">
        <v>0</v>
      </c>
      <c r="U3013" s="128">
        <v>1059012.3899999999</v>
      </c>
      <c r="V3013" s="128">
        <v>0</v>
      </c>
      <c r="W3013" s="128">
        <v>1059012.3899999999</v>
      </c>
      <c r="X3013" s="128">
        <v>0</v>
      </c>
      <c r="Y3013" s="128">
        <v>0</v>
      </c>
      <c r="Z3013" s="128">
        <v>0</v>
      </c>
      <c r="AA3013" s="128">
        <v>1059012.3899999999</v>
      </c>
      <c r="AB3013" s="126">
        <f t="shared" si="309"/>
        <v>-0.10590123899999999</v>
      </c>
      <c r="AC3013" s="122" t="s">
        <v>1838</v>
      </c>
      <c r="AD3013" s="123">
        <f t="shared" si="305"/>
        <v>1983.9723217250009</v>
      </c>
    </row>
    <row r="3014" spans="1:32" ht="12.75" hidden="1" customHeight="1">
      <c r="A3014" s="125" t="str">
        <f t="shared" si="306"/>
        <v>LIC02Unit Capital</v>
      </c>
      <c r="B3014" s="125">
        <f>+IFERROR(VLOOKUP(L3014,'TB mapping'!A:D,4,0),0)</f>
        <v>0</v>
      </c>
      <c r="C3014" s="125">
        <f>+IFERROR(VLOOKUP(L3014,'TB mapping'!A:C,3,0),0)</f>
        <v>0</v>
      </c>
      <c r="D3014" s="125" t="str">
        <f t="shared" si="307"/>
        <v>LIC020</v>
      </c>
      <c r="E3014" s="125" t="str">
        <f t="shared" si="308"/>
        <v>LIC020</v>
      </c>
      <c r="F3014" s="158" t="str">
        <f>+VLOOKUP(H3014,'code mapping'!A:C,3,0)</f>
        <v>LIC02</v>
      </c>
      <c r="G3014" s="127" t="s">
        <v>453</v>
      </c>
      <c r="H3014" s="127" t="s">
        <v>788</v>
      </c>
      <c r="I3014" s="127" t="s">
        <v>789</v>
      </c>
      <c r="J3014" s="128">
        <v>301000</v>
      </c>
      <c r="K3014" s="127" t="s">
        <v>514</v>
      </c>
      <c r="L3014" s="151">
        <v>310000</v>
      </c>
      <c r="M3014" s="128">
        <v>0</v>
      </c>
      <c r="N3014" s="127" t="s">
        <v>515</v>
      </c>
      <c r="O3014" s="127" t="s">
        <v>457</v>
      </c>
      <c r="P3014" s="128">
        <v>0</v>
      </c>
      <c r="Q3014" s="128">
        <v>1451607431.9000001</v>
      </c>
      <c r="R3014" s="128">
        <v>0</v>
      </c>
      <c r="S3014" s="128">
        <v>0</v>
      </c>
      <c r="T3014" s="128">
        <v>0</v>
      </c>
      <c r="U3014" s="128">
        <v>1451607431.9000001</v>
      </c>
      <c r="V3014" s="128">
        <v>0</v>
      </c>
      <c r="W3014" s="128">
        <v>1451607431.9000001</v>
      </c>
      <c r="X3014" s="128">
        <v>0</v>
      </c>
      <c r="Y3014" s="128">
        <v>0</v>
      </c>
      <c r="Z3014" s="128">
        <v>0</v>
      </c>
      <c r="AA3014" s="128">
        <v>1451607431.9000001</v>
      </c>
      <c r="AB3014" s="126">
        <f t="shared" si="309"/>
        <v>-145.16074319000001</v>
      </c>
      <c r="AC3014" s="122" t="s">
        <v>1838</v>
      </c>
      <c r="AD3014" s="123">
        <f t="shared" si="305"/>
        <v>1983.9723217250009</v>
      </c>
    </row>
    <row r="3015" spans="1:32" ht="12.75" hidden="1" customHeight="1">
      <c r="A3015" s="125" t="str">
        <f t="shared" si="306"/>
        <v>LIC02Unit Premium Reserve- RD</v>
      </c>
      <c r="B3015" s="125">
        <f>+IFERROR(VLOOKUP(L3015,'TB mapping'!A:D,4,0),0)</f>
        <v>0</v>
      </c>
      <c r="C3015" s="125">
        <f>+IFERROR(VLOOKUP(L3015,'TB mapping'!A:C,3,0),0)</f>
        <v>0</v>
      </c>
      <c r="D3015" s="125" t="str">
        <f t="shared" si="307"/>
        <v>LIC020</v>
      </c>
      <c r="E3015" s="125" t="str">
        <f t="shared" si="308"/>
        <v>LIC020</v>
      </c>
      <c r="F3015" s="158" t="str">
        <f>+VLOOKUP(H3015,'code mapping'!A:C,3,0)</f>
        <v>LIC02</v>
      </c>
      <c r="G3015" s="127" t="s">
        <v>453</v>
      </c>
      <c r="H3015" s="127" t="s">
        <v>788</v>
      </c>
      <c r="I3015" s="127" t="s">
        <v>789</v>
      </c>
      <c r="J3015" s="128">
        <v>303000</v>
      </c>
      <c r="K3015" s="127" t="s">
        <v>516</v>
      </c>
      <c r="L3015" s="151">
        <v>303202</v>
      </c>
      <c r="M3015" s="128">
        <v>0</v>
      </c>
      <c r="N3015" s="127" t="s">
        <v>518</v>
      </c>
      <c r="O3015" s="127" t="s">
        <v>457</v>
      </c>
      <c r="P3015" s="128">
        <v>0</v>
      </c>
      <c r="Q3015" s="128">
        <v>45439517.43</v>
      </c>
      <c r="R3015" s="128">
        <v>0</v>
      </c>
      <c r="S3015" s="128">
        <v>0</v>
      </c>
      <c r="T3015" s="128">
        <v>0</v>
      </c>
      <c r="U3015" s="128">
        <v>45439517.43</v>
      </c>
      <c r="V3015" s="128">
        <v>0</v>
      </c>
      <c r="W3015" s="128">
        <v>45439517.43</v>
      </c>
      <c r="X3015" s="128">
        <v>0</v>
      </c>
      <c r="Y3015" s="128">
        <v>0</v>
      </c>
      <c r="Z3015" s="128">
        <v>0</v>
      </c>
      <c r="AA3015" s="128">
        <v>45439517.43</v>
      </c>
      <c r="AB3015" s="126">
        <f t="shared" si="309"/>
        <v>-4.543951743</v>
      </c>
      <c r="AC3015" s="122" t="s">
        <v>1838</v>
      </c>
      <c r="AD3015" s="123">
        <f t="shared" si="305"/>
        <v>1983.9723217250009</v>
      </c>
    </row>
    <row r="3016" spans="1:32" ht="12.75" hidden="1" customHeight="1">
      <c r="A3016" s="125" t="str">
        <f t="shared" si="306"/>
        <v>LIC02Unit Premium Reserve-DDP</v>
      </c>
      <c r="B3016" s="125">
        <f>+IFERROR(VLOOKUP(L3016,'TB mapping'!A:D,4,0),0)</f>
        <v>0</v>
      </c>
      <c r="C3016" s="125">
        <f>+IFERROR(VLOOKUP(L3016,'TB mapping'!A:C,3,0),0)</f>
        <v>0</v>
      </c>
      <c r="D3016" s="125" t="str">
        <f t="shared" si="307"/>
        <v>LIC020</v>
      </c>
      <c r="E3016" s="125" t="str">
        <f t="shared" si="308"/>
        <v>LIC020</v>
      </c>
      <c r="F3016" s="158" t="str">
        <f>+VLOOKUP(H3016,'code mapping'!A:C,3,0)</f>
        <v>LIC02</v>
      </c>
      <c r="G3016" s="127" t="s">
        <v>453</v>
      </c>
      <c r="H3016" s="127" t="s">
        <v>788</v>
      </c>
      <c r="I3016" s="127" t="s">
        <v>789</v>
      </c>
      <c r="J3016" s="128">
        <v>303000</v>
      </c>
      <c r="K3016" s="127" t="s">
        <v>516</v>
      </c>
      <c r="L3016" s="151">
        <v>303246</v>
      </c>
      <c r="M3016" s="128">
        <v>0</v>
      </c>
      <c r="N3016" s="127" t="s">
        <v>520</v>
      </c>
      <c r="O3016" s="127" t="s">
        <v>457</v>
      </c>
      <c r="P3016" s="128">
        <v>0</v>
      </c>
      <c r="Q3016" s="128">
        <v>9480127.8800000008</v>
      </c>
      <c r="R3016" s="128">
        <v>0</v>
      </c>
      <c r="S3016" s="128">
        <v>0</v>
      </c>
      <c r="T3016" s="128">
        <v>0</v>
      </c>
      <c r="U3016" s="128">
        <v>9480127.8800000008</v>
      </c>
      <c r="V3016" s="128">
        <v>0</v>
      </c>
      <c r="W3016" s="128">
        <v>9480127.8800000008</v>
      </c>
      <c r="X3016" s="128">
        <v>0</v>
      </c>
      <c r="Y3016" s="128">
        <v>0</v>
      </c>
      <c r="Z3016" s="128">
        <v>0</v>
      </c>
      <c r="AA3016" s="128">
        <v>9480127.8800000008</v>
      </c>
      <c r="AB3016" s="126">
        <f t="shared" si="309"/>
        <v>-0.94801278800000011</v>
      </c>
      <c r="AC3016" s="122" t="s">
        <v>1838</v>
      </c>
      <c r="AD3016" s="123">
        <f t="shared" si="305"/>
        <v>1983.9723217250009</v>
      </c>
    </row>
    <row r="3017" spans="1:32" ht="12.75" hidden="1" customHeight="1">
      <c r="A3017" s="125" t="str">
        <f t="shared" si="306"/>
        <v>LIC02Net Earnings</v>
      </c>
      <c r="B3017" s="125">
        <f>+IFERROR(VLOOKUP(L3017,'TB mapping'!A:D,4,0),0)</f>
        <v>0</v>
      </c>
      <c r="C3017" s="125">
        <f>+IFERROR(VLOOKUP(L3017,'TB mapping'!A:C,3,0),0)</f>
        <v>0</v>
      </c>
      <c r="D3017" s="125" t="str">
        <f t="shared" si="307"/>
        <v>LIC020</v>
      </c>
      <c r="E3017" s="125" t="str">
        <f t="shared" si="308"/>
        <v>LIC020</v>
      </c>
      <c r="F3017" s="158" t="str">
        <f>+VLOOKUP(H3017,'code mapping'!A:C,3,0)</f>
        <v>LIC02</v>
      </c>
      <c r="G3017" s="127" t="s">
        <v>453</v>
      </c>
      <c r="H3017" s="127" t="s">
        <v>788</v>
      </c>
      <c r="I3017" s="127" t="s">
        <v>789</v>
      </c>
      <c r="J3017" s="128">
        <v>303000</v>
      </c>
      <c r="K3017" s="127" t="s">
        <v>516</v>
      </c>
      <c r="L3017" s="151">
        <v>390000</v>
      </c>
      <c r="M3017" s="128">
        <v>0</v>
      </c>
      <c r="N3017" s="127" t="s">
        <v>521</v>
      </c>
      <c r="O3017" s="127" t="s">
        <v>457</v>
      </c>
      <c r="P3017" s="128">
        <v>0</v>
      </c>
      <c r="Q3017" s="128">
        <v>319586800.06999999</v>
      </c>
      <c r="R3017" s="128">
        <v>0</v>
      </c>
      <c r="S3017" s="128">
        <v>0</v>
      </c>
      <c r="T3017" s="128">
        <v>0</v>
      </c>
      <c r="U3017" s="128">
        <v>319586800.06999999</v>
      </c>
      <c r="V3017" s="128">
        <v>0</v>
      </c>
      <c r="W3017" s="128">
        <v>319586800.06999999</v>
      </c>
      <c r="X3017" s="128">
        <v>0</v>
      </c>
      <c r="Y3017" s="128">
        <v>0</v>
      </c>
      <c r="Z3017" s="128">
        <v>0</v>
      </c>
      <c r="AA3017" s="128">
        <v>319586800.06999999</v>
      </c>
      <c r="AB3017" s="126">
        <f t="shared" si="309"/>
        <v>-31.958680006999998</v>
      </c>
      <c r="AC3017" s="122" t="s">
        <v>1838</v>
      </c>
      <c r="AD3017" s="123">
        <f t="shared" si="305"/>
        <v>1983.9723217250009</v>
      </c>
    </row>
    <row r="3018" spans="1:32" ht="12.75" hidden="1" customHeight="1">
      <c r="A3018" s="125" t="str">
        <f t="shared" si="306"/>
        <v>LIC02R/L G/P - Equities</v>
      </c>
      <c r="B3018" s="125">
        <f>+IFERROR(VLOOKUP(L3018,'TB mapping'!A:D,4,0),0)</f>
        <v>0</v>
      </c>
      <c r="C3018" s="125">
        <f>+IFERROR(VLOOKUP(L3018,'TB mapping'!A:C,3,0),0)</f>
        <v>5.3</v>
      </c>
      <c r="D3018" s="125" t="str">
        <f t="shared" si="307"/>
        <v>LIC020</v>
      </c>
      <c r="E3018" s="125" t="str">
        <f t="shared" si="308"/>
        <v>LIC025.3</v>
      </c>
      <c r="F3018" s="158" t="str">
        <f>+VLOOKUP(H3018,'code mapping'!A:C,3,0)</f>
        <v>LIC02</v>
      </c>
      <c r="G3018" s="127" t="s">
        <v>453</v>
      </c>
      <c r="H3018" s="127" t="s">
        <v>788</v>
      </c>
      <c r="I3018" s="127" t="s">
        <v>789</v>
      </c>
      <c r="J3018" s="128">
        <v>410000</v>
      </c>
      <c r="K3018" s="127" t="s">
        <v>522</v>
      </c>
      <c r="L3018" s="151">
        <v>411100</v>
      </c>
      <c r="M3018" s="128">
        <v>0</v>
      </c>
      <c r="N3018" s="127" t="s">
        <v>596</v>
      </c>
      <c r="O3018" s="127" t="s">
        <v>457</v>
      </c>
      <c r="P3018" s="128">
        <v>0</v>
      </c>
      <c r="Q3018" s="128">
        <v>299989829.44</v>
      </c>
      <c r="R3018" s="128">
        <v>0</v>
      </c>
      <c r="S3018" s="128">
        <v>0</v>
      </c>
      <c r="T3018" s="128">
        <v>0</v>
      </c>
      <c r="U3018" s="128">
        <v>299989829.44</v>
      </c>
      <c r="V3018" s="128">
        <v>0</v>
      </c>
      <c r="W3018" s="128">
        <v>299989829.44</v>
      </c>
      <c r="X3018" s="128">
        <v>0</v>
      </c>
      <c r="Y3018" s="128">
        <v>0</v>
      </c>
      <c r="Z3018" s="128">
        <v>0</v>
      </c>
      <c r="AA3018" s="128">
        <v>299989829.44</v>
      </c>
      <c r="AB3018" s="126">
        <f t="shared" si="309"/>
        <v>-29.998982943999998</v>
      </c>
      <c r="AC3018" s="122" t="s">
        <v>1838</v>
      </c>
      <c r="AD3018" s="123">
        <f>SUMIF(E:E,E3018,AB:AB)</f>
        <v>-26.372130764999998</v>
      </c>
      <c r="AE3018" s="123">
        <f>-HLOOKUP(F3018,'Sep 2017 HY'!$3:$84,82,0)</f>
        <v>-14.452990997000001</v>
      </c>
      <c r="AF3018" s="123">
        <f>+AD3018-AE3018</f>
        <v>-11.919139767999997</v>
      </c>
    </row>
    <row r="3019" spans="1:32" ht="12.75" hidden="1" customHeight="1">
      <c r="A3019" s="125" t="str">
        <f t="shared" si="306"/>
        <v>LIC02R/L G/P - Corp Bonds/Debenture</v>
      </c>
      <c r="B3019" s="125">
        <f>+IFERROR(VLOOKUP(L3019,'TB mapping'!A:D,4,0),0)</f>
        <v>0</v>
      </c>
      <c r="C3019" s="125">
        <f>+IFERROR(VLOOKUP(L3019,'TB mapping'!A:C,3,0),0)</f>
        <v>5.3</v>
      </c>
      <c r="D3019" s="125" t="str">
        <f t="shared" si="307"/>
        <v>LIC020</v>
      </c>
      <c r="E3019" s="125" t="str">
        <f t="shared" si="308"/>
        <v>LIC025.3</v>
      </c>
      <c r="F3019" s="158" t="str">
        <f>+VLOOKUP(H3019,'code mapping'!A:C,3,0)</f>
        <v>LIC02</v>
      </c>
      <c r="G3019" s="127" t="s">
        <v>453</v>
      </c>
      <c r="H3019" s="127" t="s">
        <v>788</v>
      </c>
      <c r="I3019" s="127" t="s">
        <v>789</v>
      </c>
      <c r="J3019" s="128">
        <v>410000</v>
      </c>
      <c r="K3019" s="127" t="s">
        <v>522</v>
      </c>
      <c r="L3019" s="151">
        <v>412120</v>
      </c>
      <c r="M3019" s="128">
        <v>0</v>
      </c>
      <c r="N3019" s="127" t="s">
        <v>523</v>
      </c>
      <c r="O3019" s="127" t="s">
        <v>457</v>
      </c>
      <c r="P3019" s="128">
        <v>0</v>
      </c>
      <c r="Q3019" s="128">
        <v>119000</v>
      </c>
      <c r="R3019" s="128">
        <v>0</v>
      </c>
      <c r="S3019" s="128">
        <v>0</v>
      </c>
      <c r="T3019" s="128">
        <v>0</v>
      </c>
      <c r="U3019" s="128">
        <v>119000</v>
      </c>
      <c r="V3019" s="128">
        <v>0</v>
      </c>
      <c r="W3019" s="128">
        <v>119000</v>
      </c>
      <c r="X3019" s="128">
        <v>0</v>
      </c>
      <c r="Y3019" s="128">
        <v>0</v>
      </c>
      <c r="Z3019" s="128">
        <v>0</v>
      </c>
      <c r="AA3019" s="128">
        <v>119000</v>
      </c>
      <c r="AB3019" s="126">
        <f t="shared" si="309"/>
        <v>-1.1900000000000001E-2</v>
      </c>
      <c r="AC3019" s="122" t="s">
        <v>1838</v>
      </c>
      <c r="AD3019" s="123">
        <f>SUMIF(E:E,E3019,AB:AB)</f>
        <v>-26.372130764999998</v>
      </c>
    </row>
    <row r="3020" spans="1:32" ht="12.75" hidden="1" customHeight="1">
      <c r="A3020" s="125" t="str">
        <f t="shared" si="306"/>
        <v>LIC02Profit on Sale-Mutual Fd Units</v>
      </c>
      <c r="B3020" s="125">
        <f>+IFERROR(VLOOKUP(L3020,'TB mapping'!A:D,4,0),0)</f>
        <v>0</v>
      </c>
      <c r="C3020" s="125">
        <f>+IFERROR(VLOOKUP(L3020,'TB mapping'!A:C,3,0),0)</f>
        <v>5.3</v>
      </c>
      <c r="D3020" s="125" t="str">
        <f t="shared" si="307"/>
        <v>LIC020</v>
      </c>
      <c r="E3020" s="125" t="str">
        <f t="shared" si="308"/>
        <v>LIC025.3</v>
      </c>
      <c r="F3020" s="158" t="str">
        <f>+VLOOKUP(H3020,'code mapping'!A:C,3,0)</f>
        <v>LIC02</v>
      </c>
      <c r="G3020" s="127" t="s">
        <v>453</v>
      </c>
      <c r="H3020" s="127" t="s">
        <v>788</v>
      </c>
      <c r="I3020" s="127" t="s">
        <v>789</v>
      </c>
      <c r="J3020" s="128">
        <v>410000</v>
      </c>
      <c r="K3020" s="127" t="s">
        <v>522</v>
      </c>
      <c r="L3020" s="151">
        <v>415102</v>
      </c>
      <c r="M3020" s="128">
        <v>0</v>
      </c>
      <c r="N3020" s="127" t="s">
        <v>526</v>
      </c>
      <c r="O3020" s="127" t="s">
        <v>457</v>
      </c>
      <c r="P3020" s="128">
        <v>0</v>
      </c>
      <c r="Q3020" s="128">
        <v>227897.76</v>
      </c>
      <c r="R3020" s="128">
        <v>0</v>
      </c>
      <c r="S3020" s="128">
        <v>0</v>
      </c>
      <c r="T3020" s="128">
        <v>0</v>
      </c>
      <c r="U3020" s="128">
        <v>227897.76</v>
      </c>
      <c r="V3020" s="128">
        <v>0</v>
      </c>
      <c r="W3020" s="128">
        <v>227897.76</v>
      </c>
      <c r="X3020" s="128">
        <v>0</v>
      </c>
      <c r="Y3020" s="128">
        <v>0</v>
      </c>
      <c r="Z3020" s="128">
        <v>0</v>
      </c>
      <c r="AA3020" s="128">
        <v>227897.76</v>
      </c>
      <c r="AB3020" s="126">
        <f t="shared" si="309"/>
        <v>-2.2789776000000001E-2</v>
      </c>
      <c r="AC3020" s="122" t="s">
        <v>1838</v>
      </c>
      <c r="AD3020" s="123">
        <f>SUMIF(E:E,E3020,AB:AB)</f>
        <v>-26.372130764999998</v>
      </c>
    </row>
    <row r="3021" spans="1:32" ht="12.75" hidden="1" customHeight="1">
      <c r="A3021" s="125" t="str">
        <f t="shared" si="306"/>
        <v>LIC02UR/L G/P - Equities</v>
      </c>
      <c r="B3021" s="125">
        <f>+IFERROR(VLOOKUP(L3021,'TB mapping'!A:D,4,0),0)</f>
        <v>0</v>
      </c>
      <c r="C3021" s="125" t="str">
        <f>+IFERROR(VLOOKUP(L3021,'TB mapping'!A:C,3,0),0)</f>
        <v>Ignore</v>
      </c>
      <c r="D3021" s="125" t="str">
        <f t="shared" si="307"/>
        <v>LIC020</v>
      </c>
      <c r="E3021" s="125" t="str">
        <f t="shared" si="308"/>
        <v>LIC02Ignore</v>
      </c>
      <c r="F3021" s="158" t="str">
        <f>+VLOOKUP(H3021,'code mapping'!A:C,3,0)</f>
        <v>LIC02</v>
      </c>
      <c r="G3021" s="127" t="s">
        <v>453</v>
      </c>
      <c r="H3021" s="127" t="s">
        <v>788</v>
      </c>
      <c r="I3021" s="127" t="s">
        <v>789</v>
      </c>
      <c r="J3021" s="128">
        <v>430000</v>
      </c>
      <c r="K3021" s="127" t="s">
        <v>528</v>
      </c>
      <c r="L3021" s="151">
        <v>431100</v>
      </c>
      <c r="M3021" s="128">
        <v>0</v>
      </c>
      <c r="N3021" s="127" t="s">
        <v>597</v>
      </c>
      <c r="O3021" s="127" t="s">
        <v>457</v>
      </c>
      <c r="P3021" s="128">
        <v>0</v>
      </c>
      <c r="Q3021" s="128">
        <v>406849482.10000002</v>
      </c>
      <c r="R3021" s="128">
        <v>0</v>
      </c>
      <c r="S3021" s="128">
        <v>0</v>
      </c>
      <c r="T3021" s="128">
        <v>0</v>
      </c>
      <c r="U3021" s="128">
        <v>406849482.10000002</v>
      </c>
      <c r="V3021" s="128">
        <v>0</v>
      </c>
      <c r="W3021" s="128">
        <v>406849482.10000002</v>
      </c>
      <c r="X3021" s="128">
        <v>0</v>
      </c>
      <c r="Y3021" s="128">
        <v>0</v>
      </c>
      <c r="Z3021" s="128">
        <v>0</v>
      </c>
      <c r="AA3021" s="128">
        <v>406849482.10000002</v>
      </c>
      <c r="AB3021" s="126">
        <f t="shared" si="309"/>
        <v>-40.684948210000002</v>
      </c>
      <c r="AC3021" s="122" t="s">
        <v>1838</v>
      </c>
      <c r="AD3021" s="123">
        <f>SUMIF(C:C,C3021,AB:AB)</f>
        <v>-291.7660984179999</v>
      </c>
    </row>
    <row r="3022" spans="1:32" ht="12.75" hidden="1" customHeight="1">
      <c r="A3022" s="125" t="str">
        <f t="shared" si="306"/>
        <v>LIC02UR/L G/P - Corp Bond/Debenture</v>
      </c>
      <c r="B3022" s="125">
        <f>+IFERROR(VLOOKUP(L3022,'TB mapping'!A:D,4,0),0)</f>
        <v>0</v>
      </c>
      <c r="C3022" s="125" t="str">
        <f>+IFERROR(VLOOKUP(L3022,'TB mapping'!A:C,3,0),0)</f>
        <v>Ignore</v>
      </c>
      <c r="D3022" s="125" t="str">
        <f t="shared" si="307"/>
        <v>LIC020</v>
      </c>
      <c r="E3022" s="125" t="str">
        <f t="shared" si="308"/>
        <v>LIC02Ignore</v>
      </c>
      <c r="F3022" s="158" t="str">
        <f>+VLOOKUP(H3022,'code mapping'!A:C,3,0)</f>
        <v>LIC02</v>
      </c>
      <c r="G3022" s="127" t="s">
        <v>453</v>
      </c>
      <c r="H3022" s="127" t="s">
        <v>788</v>
      </c>
      <c r="I3022" s="127" t="s">
        <v>789</v>
      </c>
      <c r="J3022" s="128">
        <v>430000</v>
      </c>
      <c r="K3022" s="127" t="s">
        <v>528</v>
      </c>
      <c r="L3022" s="151">
        <v>432120</v>
      </c>
      <c r="M3022" s="128">
        <v>0</v>
      </c>
      <c r="N3022" s="127" t="s">
        <v>529</v>
      </c>
      <c r="O3022" s="127" t="s">
        <v>457</v>
      </c>
      <c r="P3022" s="128">
        <v>0</v>
      </c>
      <c r="Q3022" s="128">
        <v>25891.31</v>
      </c>
      <c r="R3022" s="128">
        <v>0</v>
      </c>
      <c r="S3022" s="128">
        <v>0</v>
      </c>
      <c r="T3022" s="128">
        <v>0</v>
      </c>
      <c r="U3022" s="128">
        <v>25891.31</v>
      </c>
      <c r="V3022" s="128">
        <v>0</v>
      </c>
      <c r="W3022" s="128">
        <v>25891.31</v>
      </c>
      <c r="X3022" s="128">
        <v>0</v>
      </c>
      <c r="Y3022" s="128">
        <v>0</v>
      </c>
      <c r="Z3022" s="128">
        <v>0</v>
      </c>
      <c r="AA3022" s="128">
        <v>25891.31</v>
      </c>
      <c r="AB3022" s="126">
        <f t="shared" si="309"/>
        <v>-2.5891310000000002E-3</v>
      </c>
      <c r="AC3022" s="122" t="s">
        <v>1838</v>
      </c>
      <c r="AD3022" s="123">
        <f>SUMIF(C:C,C3022,AB:AB)</f>
        <v>-291.7660984179999</v>
      </c>
    </row>
    <row r="3023" spans="1:32" ht="12.75" hidden="1" customHeight="1">
      <c r="A3023" s="125" t="str">
        <f t="shared" si="306"/>
        <v>LIC02Dividend Income - Equities</v>
      </c>
      <c r="B3023" s="125">
        <f>+IFERROR(VLOOKUP(L3023,'TB mapping'!A:D,4,0),0)</f>
        <v>0</v>
      </c>
      <c r="C3023" s="125">
        <f>+IFERROR(VLOOKUP(L3023,'TB mapping'!A:C,3,0),0)</f>
        <v>5.0999999999999996</v>
      </c>
      <c r="D3023" s="125" t="str">
        <f t="shared" si="307"/>
        <v>LIC020</v>
      </c>
      <c r="E3023" s="125" t="str">
        <f t="shared" si="308"/>
        <v>LIC025.1</v>
      </c>
      <c r="F3023" s="158" t="str">
        <f>+VLOOKUP(H3023,'code mapping'!A:C,3,0)</f>
        <v>LIC02</v>
      </c>
      <c r="G3023" s="127" t="s">
        <v>453</v>
      </c>
      <c r="H3023" s="127" t="s">
        <v>788</v>
      </c>
      <c r="I3023" s="127" t="s">
        <v>789</v>
      </c>
      <c r="J3023" s="128">
        <v>450000</v>
      </c>
      <c r="K3023" s="127" t="s">
        <v>532</v>
      </c>
      <c r="L3023" s="151">
        <v>451100</v>
      </c>
      <c r="M3023" s="128">
        <v>0</v>
      </c>
      <c r="N3023" s="127" t="s">
        <v>598</v>
      </c>
      <c r="O3023" s="127" t="s">
        <v>457</v>
      </c>
      <c r="P3023" s="128">
        <v>0</v>
      </c>
      <c r="Q3023" s="128">
        <v>14075360.15</v>
      </c>
      <c r="R3023" s="128">
        <v>0</v>
      </c>
      <c r="S3023" s="128">
        <v>0</v>
      </c>
      <c r="T3023" s="128">
        <v>0</v>
      </c>
      <c r="U3023" s="128">
        <v>14075360.15</v>
      </c>
      <c r="V3023" s="128">
        <v>0</v>
      </c>
      <c r="W3023" s="128">
        <v>14075360.15</v>
      </c>
      <c r="X3023" s="128">
        <v>0</v>
      </c>
      <c r="Y3023" s="128">
        <v>0</v>
      </c>
      <c r="Z3023" s="128">
        <v>0</v>
      </c>
      <c r="AA3023" s="128">
        <v>14075360.15</v>
      </c>
      <c r="AB3023" s="126">
        <f t="shared" si="309"/>
        <v>-1.407536015</v>
      </c>
      <c r="AC3023" s="122" t="s">
        <v>1838</v>
      </c>
      <c r="AD3023" s="123">
        <f t="shared" ref="AD3023:AD3054" si="310">SUMIF(E:E,E3023,AB:AB)</f>
        <v>-1.407536015</v>
      </c>
      <c r="AE3023" s="123">
        <f>-HLOOKUP(F3023,'Sep 2017 HY'!$3:$84,80,0)</f>
        <v>-1.1735504699999999</v>
      </c>
      <c r="AF3023" s="123">
        <f>+AD3023-AE3023</f>
        <v>-0.23398554500000013</v>
      </c>
    </row>
    <row r="3024" spans="1:32" ht="12.75" hidden="1" customHeight="1">
      <c r="A3024" s="125" t="str">
        <f t="shared" si="306"/>
        <v>LIC02Amort Income -Treasury Bills</v>
      </c>
      <c r="B3024" s="125">
        <f>+IFERROR(VLOOKUP(L3024,'TB mapping'!A:D,4,0),0)</f>
        <v>0</v>
      </c>
      <c r="C3024" s="125">
        <f>+IFERROR(VLOOKUP(L3024,'TB mapping'!A:C,3,0),0)</f>
        <v>5.2</v>
      </c>
      <c r="D3024" s="125" t="str">
        <f t="shared" si="307"/>
        <v>LIC020</v>
      </c>
      <c r="E3024" s="125" t="str">
        <f t="shared" si="308"/>
        <v>LIC025.2</v>
      </c>
      <c r="F3024" s="158" t="str">
        <f>+VLOOKUP(H3024,'code mapping'!A:C,3,0)</f>
        <v>LIC02</v>
      </c>
      <c r="G3024" s="127" t="s">
        <v>453</v>
      </c>
      <c r="H3024" s="127" t="s">
        <v>788</v>
      </c>
      <c r="I3024" s="127" t="s">
        <v>789</v>
      </c>
      <c r="J3024" s="128">
        <v>450000</v>
      </c>
      <c r="K3024" s="127" t="s">
        <v>532</v>
      </c>
      <c r="L3024" s="151">
        <v>452110</v>
      </c>
      <c r="M3024" s="128">
        <v>0</v>
      </c>
      <c r="N3024" s="127" t="s">
        <v>632</v>
      </c>
      <c r="O3024" s="127" t="s">
        <v>457</v>
      </c>
      <c r="P3024" s="128">
        <v>0</v>
      </c>
      <c r="Q3024" s="128">
        <v>9842000</v>
      </c>
      <c r="R3024" s="128">
        <v>0</v>
      </c>
      <c r="S3024" s="128">
        <v>0</v>
      </c>
      <c r="T3024" s="128">
        <v>0</v>
      </c>
      <c r="U3024" s="128">
        <v>9842000</v>
      </c>
      <c r="V3024" s="128">
        <v>0</v>
      </c>
      <c r="W3024" s="128">
        <v>9842000</v>
      </c>
      <c r="X3024" s="128">
        <v>0</v>
      </c>
      <c r="Y3024" s="128">
        <v>0</v>
      </c>
      <c r="Z3024" s="128">
        <v>0</v>
      </c>
      <c r="AA3024" s="128">
        <v>9842000</v>
      </c>
      <c r="AB3024" s="126">
        <f t="shared" si="309"/>
        <v>-0.98419999999999996</v>
      </c>
      <c r="AC3024" s="122" t="s">
        <v>1838</v>
      </c>
      <c r="AD3024" s="123">
        <f t="shared" si="310"/>
        <v>-4.3983060900000002</v>
      </c>
      <c r="AE3024" s="123">
        <f>-HLOOKUP(F3024,'Sep 2017 HY'!$3:$84,81,0)</f>
        <v>-2.1777108550000039</v>
      </c>
      <c r="AF3024" s="123">
        <f>+AD3024-AE3024</f>
        <v>-2.2205952349999962</v>
      </c>
    </row>
    <row r="3025" spans="1:32" ht="12.75" hidden="1" customHeight="1">
      <c r="A3025" s="125" t="str">
        <f t="shared" si="306"/>
        <v>LIC02Interest Income - CCIL Margin</v>
      </c>
      <c r="B3025" s="125">
        <f>+IFERROR(VLOOKUP(L3025,'TB mapping'!A:D,4,0),0)</f>
        <v>0</v>
      </c>
      <c r="C3025" s="125">
        <f>+IFERROR(VLOOKUP(L3025,'TB mapping'!A:C,3,0),0)</f>
        <v>5.2</v>
      </c>
      <c r="D3025" s="125" t="str">
        <f t="shared" si="307"/>
        <v>LIC020</v>
      </c>
      <c r="E3025" s="125" t="str">
        <f t="shared" si="308"/>
        <v>LIC025.2</v>
      </c>
      <c r="F3025" s="158" t="str">
        <f>+VLOOKUP(H3025,'code mapping'!A:C,3,0)</f>
        <v>LIC02</v>
      </c>
      <c r="G3025" s="127" t="s">
        <v>453</v>
      </c>
      <c r="H3025" s="127" t="s">
        <v>788</v>
      </c>
      <c r="I3025" s="127" t="s">
        <v>789</v>
      </c>
      <c r="J3025" s="128">
        <v>450000</v>
      </c>
      <c r="K3025" s="127" t="s">
        <v>532</v>
      </c>
      <c r="L3025" s="151">
        <v>452111</v>
      </c>
      <c r="M3025" s="128">
        <v>0</v>
      </c>
      <c r="N3025" s="127" t="s">
        <v>533</v>
      </c>
      <c r="O3025" s="127" t="s">
        <v>457</v>
      </c>
      <c r="P3025" s="128">
        <v>0</v>
      </c>
      <c r="Q3025" s="128">
        <v>2354.66</v>
      </c>
      <c r="R3025" s="128">
        <v>0</v>
      </c>
      <c r="S3025" s="128">
        <v>0</v>
      </c>
      <c r="T3025" s="128">
        <v>0</v>
      </c>
      <c r="U3025" s="128">
        <v>2354.66</v>
      </c>
      <c r="V3025" s="128">
        <v>0</v>
      </c>
      <c r="W3025" s="128">
        <v>2354.66</v>
      </c>
      <c r="X3025" s="128">
        <v>0</v>
      </c>
      <c r="Y3025" s="128">
        <v>0</v>
      </c>
      <c r="Z3025" s="128">
        <v>0</v>
      </c>
      <c r="AA3025" s="128">
        <v>2354.66</v>
      </c>
      <c r="AB3025" s="126">
        <f t="shared" si="309"/>
        <v>-2.3546599999999998E-4</v>
      </c>
      <c r="AC3025" s="122" t="s">
        <v>1838</v>
      </c>
      <c r="AD3025" s="123">
        <f t="shared" si="310"/>
        <v>-4.3983060900000002</v>
      </c>
    </row>
    <row r="3026" spans="1:32" ht="12.75" hidden="1" customHeight="1">
      <c r="A3026" s="125" t="str">
        <f t="shared" si="306"/>
        <v>LIC02Int Income - Corporate Bonds</v>
      </c>
      <c r="B3026" s="125">
        <f>+IFERROR(VLOOKUP(L3026,'TB mapping'!A:D,4,0),0)</f>
        <v>0</v>
      </c>
      <c r="C3026" s="125">
        <f>+IFERROR(VLOOKUP(L3026,'TB mapping'!A:C,3,0),0)</f>
        <v>5.2</v>
      </c>
      <c r="D3026" s="125" t="str">
        <f t="shared" si="307"/>
        <v>LIC020</v>
      </c>
      <c r="E3026" s="125" t="str">
        <f t="shared" si="308"/>
        <v>LIC025.2</v>
      </c>
      <c r="F3026" s="158" t="str">
        <f>+VLOOKUP(H3026,'code mapping'!A:C,3,0)</f>
        <v>LIC02</v>
      </c>
      <c r="G3026" s="127" t="s">
        <v>453</v>
      </c>
      <c r="H3026" s="127" t="s">
        <v>788</v>
      </c>
      <c r="I3026" s="127" t="s">
        <v>789</v>
      </c>
      <c r="J3026" s="128">
        <v>450000</v>
      </c>
      <c r="K3026" s="127" t="s">
        <v>532</v>
      </c>
      <c r="L3026" s="151">
        <v>452120</v>
      </c>
      <c r="M3026" s="128">
        <v>0</v>
      </c>
      <c r="N3026" s="127" t="s">
        <v>534</v>
      </c>
      <c r="O3026" s="127" t="s">
        <v>457</v>
      </c>
      <c r="P3026" s="128">
        <v>0</v>
      </c>
      <c r="Q3026" s="128">
        <v>23230849.760000002</v>
      </c>
      <c r="R3026" s="128">
        <v>0</v>
      </c>
      <c r="S3026" s="128">
        <v>0</v>
      </c>
      <c r="T3026" s="128">
        <v>0</v>
      </c>
      <c r="U3026" s="128">
        <v>23230849.760000002</v>
      </c>
      <c r="V3026" s="128">
        <v>0</v>
      </c>
      <c r="W3026" s="128">
        <v>23230849.760000002</v>
      </c>
      <c r="X3026" s="128">
        <v>0</v>
      </c>
      <c r="Y3026" s="128">
        <v>0</v>
      </c>
      <c r="Z3026" s="128">
        <v>0</v>
      </c>
      <c r="AA3026" s="128">
        <v>23230849.760000002</v>
      </c>
      <c r="AB3026" s="126">
        <f t="shared" si="309"/>
        <v>-2.3230849760000001</v>
      </c>
      <c r="AC3026" s="122" t="s">
        <v>1838</v>
      </c>
      <c r="AD3026" s="123">
        <f t="shared" si="310"/>
        <v>-4.3983060900000002</v>
      </c>
    </row>
    <row r="3027" spans="1:32" ht="12.75" hidden="1" customHeight="1">
      <c r="A3027" s="125" t="str">
        <f t="shared" si="306"/>
        <v>LIC02Int Income - Fixed Deposit</v>
      </c>
      <c r="B3027" s="125">
        <f>+IFERROR(VLOOKUP(L3027,'TB mapping'!A:D,4,0),0)</f>
        <v>0</v>
      </c>
      <c r="C3027" s="125">
        <f>+IFERROR(VLOOKUP(L3027,'TB mapping'!A:C,3,0),0)</f>
        <v>5.2</v>
      </c>
      <c r="D3027" s="125" t="str">
        <f t="shared" si="307"/>
        <v>LIC020</v>
      </c>
      <c r="E3027" s="125" t="str">
        <f t="shared" si="308"/>
        <v>LIC025.2</v>
      </c>
      <c r="F3027" s="158" t="str">
        <f>+VLOOKUP(H3027,'code mapping'!A:C,3,0)</f>
        <v>LIC02</v>
      </c>
      <c r="G3027" s="127" t="s">
        <v>453</v>
      </c>
      <c r="H3027" s="127" t="s">
        <v>788</v>
      </c>
      <c r="I3027" s="127" t="s">
        <v>789</v>
      </c>
      <c r="J3027" s="128">
        <v>450000</v>
      </c>
      <c r="K3027" s="127" t="s">
        <v>532</v>
      </c>
      <c r="L3027" s="151">
        <v>452223</v>
      </c>
      <c r="M3027" s="128">
        <v>0</v>
      </c>
      <c r="N3027" s="127" t="s">
        <v>775</v>
      </c>
      <c r="O3027" s="127" t="s">
        <v>457</v>
      </c>
      <c r="P3027" s="128">
        <v>0</v>
      </c>
      <c r="Q3027" s="128">
        <v>36822</v>
      </c>
      <c r="R3027" s="128">
        <v>0</v>
      </c>
      <c r="S3027" s="128">
        <v>0</v>
      </c>
      <c r="T3027" s="128">
        <v>0</v>
      </c>
      <c r="U3027" s="128">
        <v>36822</v>
      </c>
      <c r="V3027" s="128">
        <v>0</v>
      </c>
      <c r="W3027" s="128">
        <v>36822</v>
      </c>
      <c r="X3027" s="128">
        <v>0</v>
      </c>
      <c r="Y3027" s="128">
        <v>0</v>
      </c>
      <c r="Z3027" s="128">
        <v>0</v>
      </c>
      <c r="AA3027" s="128">
        <v>36822</v>
      </c>
      <c r="AB3027" s="126">
        <f t="shared" si="309"/>
        <v>-3.6822000000000001E-3</v>
      </c>
      <c r="AC3027" s="122" t="s">
        <v>1838</v>
      </c>
      <c r="AD3027" s="123">
        <f t="shared" si="310"/>
        <v>-4.3983060900000002</v>
      </c>
    </row>
    <row r="3028" spans="1:32" ht="12.75" hidden="1" customHeight="1">
      <c r="A3028" s="125" t="str">
        <f t="shared" si="306"/>
        <v>LIC02Amort. Income - CBLO</v>
      </c>
      <c r="B3028" s="125">
        <f>+IFERROR(VLOOKUP(L3028,'TB mapping'!A:D,4,0),0)</f>
        <v>0</v>
      </c>
      <c r="C3028" s="125">
        <f>+IFERROR(VLOOKUP(L3028,'TB mapping'!A:C,3,0),0)</f>
        <v>5.2</v>
      </c>
      <c r="D3028" s="125" t="str">
        <f t="shared" si="307"/>
        <v>LIC020</v>
      </c>
      <c r="E3028" s="125" t="str">
        <f t="shared" si="308"/>
        <v>LIC025.2</v>
      </c>
      <c r="F3028" s="158" t="str">
        <f>+VLOOKUP(H3028,'code mapping'!A:C,3,0)</f>
        <v>LIC02</v>
      </c>
      <c r="G3028" s="127" t="s">
        <v>453</v>
      </c>
      <c r="H3028" s="127" t="s">
        <v>788</v>
      </c>
      <c r="I3028" s="127" t="s">
        <v>789</v>
      </c>
      <c r="J3028" s="128">
        <v>450000</v>
      </c>
      <c r="K3028" s="127" t="s">
        <v>532</v>
      </c>
      <c r="L3028" s="151">
        <v>452228</v>
      </c>
      <c r="M3028" s="128">
        <v>0</v>
      </c>
      <c r="N3028" s="127" t="s">
        <v>537</v>
      </c>
      <c r="O3028" s="127" t="s">
        <v>457</v>
      </c>
      <c r="P3028" s="128">
        <v>0</v>
      </c>
      <c r="Q3028" s="128">
        <v>10755784.48</v>
      </c>
      <c r="R3028" s="128">
        <v>0</v>
      </c>
      <c r="S3028" s="128">
        <v>0</v>
      </c>
      <c r="T3028" s="128">
        <v>0</v>
      </c>
      <c r="U3028" s="128">
        <v>10755784.48</v>
      </c>
      <c r="V3028" s="128">
        <v>0</v>
      </c>
      <c r="W3028" s="128">
        <v>10755784.48</v>
      </c>
      <c r="X3028" s="128">
        <v>0</v>
      </c>
      <c r="Y3028" s="128">
        <v>0</v>
      </c>
      <c r="Z3028" s="128">
        <v>0</v>
      </c>
      <c r="AA3028" s="128">
        <v>10755784.48</v>
      </c>
      <c r="AB3028" s="126">
        <f t="shared" si="309"/>
        <v>-1.0755784480000001</v>
      </c>
      <c r="AC3028" s="122" t="s">
        <v>1838</v>
      </c>
      <c r="AD3028" s="123">
        <f t="shared" si="310"/>
        <v>-4.3983060900000002</v>
      </c>
    </row>
    <row r="3029" spans="1:32" ht="12.75" hidden="1" customHeight="1">
      <c r="A3029" s="125" t="str">
        <f t="shared" si="306"/>
        <v>LIC02Int Income - Repo Deposits</v>
      </c>
      <c r="B3029" s="125">
        <f>+IFERROR(VLOOKUP(L3029,'TB mapping'!A:D,4,0),0)</f>
        <v>0</v>
      </c>
      <c r="C3029" s="125">
        <f>+IFERROR(VLOOKUP(L3029,'TB mapping'!A:C,3,0),0)</f>
        <v>5.2</v>
      </c>
      <c r="D3029" s="125" t="str">
        <f t="shared" si="307"/>
        <v>LIC020</v>
      </c>
      <c r="E3029" s="125" t="str">
        <f t="shared" si="308"/>
        <v>LIC025.2</v>
      </c>
      <c r="F3029" s="158" t="str">
        <f>+VLOOKUP(H3029,'code mapping'!A:C,3,0)</f>
        <v>LIC02</v>
      </c>
      <c r="G3029" s="127" t="s">
        <v>453</v>
      </c>
      <c r="H3029" s="127" t="s">
        <v>788</v>
      </c>
      <c r="I3029" s="127" t="s">
        <v>789</v>
      </c>
      <c r="J3029" s="128">
        <v>450000</v>
      </c>
      <c r="K3029" s="127" t="s">
        <v>532</v>
      </c>
      <c r="L3029" s="151">
        <v>452230</v>
      </c>
      <c r="M3029" s="128">
        <v>0</v>
      </c>
      <c r="N3029" s="127" t="s">
        <v>538</v>
      </c>
      <c r="O3029" s="127" t="s">
        <v>457</v>
      </c>
      <c r="P3029" s="128">
        <v>0</v>
      </c>
      <c r="Q3029" s="128">
        <v>115250</v>
      </c>
      <c r="R3029" s="128">
        <v>0</v>
      </c>
      <c r="S3029" s="128">
        <v>0</v>
      </c>
      <c r="T3029" s="128">
        <v>0</v>
      </c>
      <c r="U3029" s="128">
        <v>115250</v>
      </c>
      <c r="V3029" s="128">
        <v>0</v>
      </c>
      <c r="W3029" s="128">
        <v>115250</v>
      </c>
      <c r="X3029" s="128">
        <v>0</v>
      </c>
      <c r="Y3029" s="128">
        <v>0</v>
      </c>
      <c r="Z3029" s="128">
        <v>0</v>
      </c>
      <c r="AA3029" s="128">
        <v>115250</v>
      </c>
      <c r="AB3029" s="126">
        <f t="shared" si="309"/>
        <v>-1.1525000000000001E-2</v>
      </c>
      <c r="AC3029" s="122" t="s">
        <v>1838</v>
      </c>
      <c r="AD3029" s="123">
        <f t="shared" si="310"/>
        <v>-4.3983060900000002</v>
      </c>
    </row>
    <row r="3030" spans="1:32" ht="12.75" hidden="1" customHeight="1">
      <c r="A3030" s="125" t="str">
        <f t="shared" si="306"/>
        <v>LIC02Misc Income</v>
      </c>
      <c r="B3030" s="125">
        <f>+IFERROR(VLOOKUP(L3030,'TB mapping'!A:D,4,0),0)</f>
        <v>0</v>
      </c>
      <c r="C3030" s="125">
        <f>+IFERROR(VLOOKUP(L3030,'TB mapping'!A:C,3,0),0)</f>
        <v>5.5</v>
      </c>
      <c r="D3030" s="125" t="str">
        <f t="shared" si="307"/>
        <v>LIC020</v>
      </c>
      <c r="E3030" s="125" t="str">
        <f t="shared" si="308"/>
        <v>LIC025.5</v>
      </c>
      <c r="F3030" s="158" t="str">
        <f>+VLOOKUP(H3030,'code mapping'!A:C,3,0)</f>
        <v>LIC02</v>
      </c>
      <c r="G3030" s="127" t="s">
        <v>453</v>
      </c>
      <c r="H3030" s="127" t="s">
        <v>788</v>
      </c>
      <c r="I3030" s="127" t="s">
        <v>789</v>
      </c>
      <c r="J3030" s="128">
        <v>460000</v>
      </c>
      <c r="K3030" s="127" t="s">
        <v>539</v>
      </c>
      <c r="L3030" s="151">
        <v>452233</v>
      </c>
      <c r="M3030" s="128">
        <v>0</v>
      </c>
      <c r="N3030" s="127" t="s">
        <v>706</v>
      </c>
      <c r="O3030" s="127" t="s">
        <v>457</v>
      </c>
      <c r="P3030" s="128">
        <v>0</v>
      </c>
      <c r="Q3030" s="128">
        <v>1032.5899999999999</v>
      </c>
      <c r="R3030" s="128">
        <v>0</v>
      </c>
      <c r="S3030" s="128">
        <v>0</v>
      </c>
      <c r="T3030" s="128">
        <v>0</v>
      </c>
      <c r="U3030" s="128">
        <v>1032.5899999999999</v>
      </c>
      <c r="V3030" s="128">
        <v>0</v>
      </c>
      <c r="W3030" s="128">
        <v>1032.5899999999999</v>
      </c>
      <c r="X3030" s="128">
        <v>0</v>
      </c>
      <c r="Y3030" s="128">
        <v>0</v>
      </c>
      <c r="Z3030" s="128">
        <v>0</v>
      </c>
      <c r="AA3030" s="128">
        <v>1032.5899999999999</v>
      </c>
      <c r="AB3030" s="126">
        <f t="shared" si="309"/>
        <v>-1.03259E-4</v>
      </c>
      <c r="AC3030" s="122" t="s">
        <v>1838</v>
      </c>
      <c r="AD3030" s="123">
        <f t="shared" si="310"/>
        <v>-2.6443960000000002E-3</v>
      </c>
      <c r="AE3030" s="123">
        <f>-HLOOKUP(F3030,'Sep 2017 HY'!$3:$88,86,0)</f>
        <v>-1.7200709999999999E-3</v>
      </c>
      <c r="AF3030" s="123">
        <f>+AD3030-AE3030</f>
        <v>-9.2432500000000036E-4</v>
      </c>
    </row>
    <row r="3031" spans="1:32" ht="12.75" hidden="1" customHeight="1">
      <c r="A3031" s="125" t="str">
        <f t="shared" si="306"/>
        <v>LIC02Load Income</v>
      </c>
      <c r="B3031" s="125">
        <f>+IFERROR(VLOOKUP(L3031,'TB mapping'!A:D,4,0),0)</f>
        <v>0</v>
      </c>
      <c r="C3031" s="125">
        <f>+IFERROR(VLOOKUP(L3031,'TB mapping'!A:C,3,0),0)</f>
        <v>5.5</v>
      </c>
      <c r="D3031" s="125" t="str">
        <f t="shared" si="307"/>
        <v>LIC020</v>
      </c>
      <c r="E3031" s="125" t="str">
        <f t="shared" si="308"/>
        <v>LIC025.5</v>
      </c>
      <c r="F3031" s="158" t="str">
        <f>+VLOOKUP(H3031,'code mapping'!A:C,3,0)</f>
        <v>LIC02</v>
      </c>
      <c r="G3031" s="127" t="s">
        <v>453</v>
      </c>
      <c r="H3031" s="127" t="s">
        <v>788</v>
      </c>
      <c r="I3031" s="127" t="s">
        <v>789</v>
      </c>
      <c r="J3031" s="128">
        <v>460000</v>
      </c>
      <c r="K3031" s="127" t="s">
        <v>539</v>
      </c>
      <c r="L3031" s="151">
        <v>455103</v>
      </c>
      <c r="M3031" s="128">
        <v>0</v>
      </c>
      <c r="N3031" s="127" t="s">
        <v>540</v>
      </c>
      <c r="O3031" s="127" t="s">
        <v>457</v>
      </c>
      <c r="P3031" s="128">
        <v>0</v>
      </c>
      <c r="Q3031" s="128">
        <v>40536.26</v>
      </c>
      <c r="R3031" s="128">
        <v>0</v>
      </c>
      <c r="S3031" s="128">
        <v>0</v>
      </c>
      <c r="T3031" s="128">
        <v>0</v>
      </c>
      <c r="U3031" s="128">
        <v>40536.26</v>
      </c>
      <c r="V3031" s="128">
        <v>0</v>
      </c>
      <c r="W3031" s="128">
        <v>40536.26</v>
      </c>
      <c r="X3031" s="128">
        <v>0</v>
      </c>
      <c r="Y3031" s="128">
        <v>0</v>
      </c>
      <c r="Z3031" s="128">
        <v>0</v>
      </c>
      <c r="AA3031" s="128">
        <v>40536.26</v>
      </c>
      <c r="AB3031" s="126">
        <f t="shared" si="309"/>
        <v>-4.0536260000000003E-3</v>
      </c>
      <c r="AC3031" s="122" t="s">
        <v>1838</v>
      </c>
      <c r="AD3031" s="123">
        <f t="shared" si="310"/>
        <v>-2.6443960000000002E-3</v>
      </c>
    </row>
    <row r="3032" spans="1:32" ht="12.75" hidden="1" customHeight="1">
      <c r="A3032" s="125" t="str">
        <f t="shared" si="306"/>
        <v>LIC02Other Income</v>
      </c>
      <c r="B3032" s="125">
        <f>+IFERROR(VLOOKUP(L3032,'TB mapping'!A:D,4,0),0)</f>
        <v>0</v>
      </c>
      <c r="C3032" s="125">
        <f>+IFERROR(VLOOKUP(L3032,'TB mapping'!A:C,3,0),0)</f>
        <v>5.5</v>
      </c>
      <c r="D3032" s="125" t="str">
        <f t="shared" si="307"/>
        <v>LIC020</v>
      </c>
      <c r="E3032" s="125" t="str">
        <f t="shared" si="308"/>
        <v>LIC025.5</v>
      </c>
      <c r="F3032" s="158" t="str">
        <f>+VLOOKUP(H3032,'code mapping'!A:C,3,0)</f>
        <v>LIC02</v>
      </c>
      <c r="G3032" s="127" t="s">
        <v>453</v>
      </c>
      <c r="H3032" s="127" t="s">
        <v>788</v>
      </c>
      <c r="I3032" s="127" t="s">
        <v>789</v>
      </c>
      <c r="J3032" s="128">
        <v>460000</v>
      </c>
      <c r="K3032" s="127" t="s">
        <v>539</v>
      </c>
      <c r="L3032" s="151">
        <v>460000</v>
      </c>
      <c r="M3032" s="128">
        <v>0</v>
      </c>
      <c r="N3032" s="127" t="s">
        <v>541</v>
      </c>
      <c r="O3032" s="127" t="s">
        <v>457</v>
      </c>
      <c r="P3032" s="128">
        <v>-15124.89</v>
      </c>
      <c r="Q3032" s="128">
        <v>0</v>
      </c>
      <c r="R3032" s="128">
        <v>0</v>
      </c>
      <c r="S3032" s="128">
        <v>0</v>
      </c>
      <c r="T3032" s="128">
        <v>-15124.89</v>
      </c>
      <c r="U3032" s="128">
        <v>0</v>
      </c>
      <c r="V3032" s="128">
        <v>-15124.89</v>
      </c>
      <c r="W3032" s="128">
        <v>0</v>
      </c>
      <c r="X3032" s="128">
        <v>0</v>
      </c>
      <c r="Y3032" s="128">
        <v>0</v>
      </c>
      <c r="Z3032" s="128">
        <v>-15124.89</v>
      </c>
      <c r="AA3032" s="128">
        <v>0</v>
      </c>
      <c r="AB3032" s="126">
        <f t="shared" si="309"/>
        <v>1.5124889999999999E-3</v>
      </c>
      <c r="AC3032" s="122" t="s">
        <v>1838</v>
      </c>
      <c r="AD3032" s="123">
        <f t="shared" si="310"/>
        <v>-2.6443960000000002E-3</v>
      </c>
    </row>
    <row r="3033" spans="1:32" ht="12.75" hidden="1" customHeight="1">
      <c r="A3033" s="125" t="str">
        <f t="shared" si="306"/>
        <v>LIC02Interplan Adjustment- RD</v>
      </c>
      <c r="B3033" s="125">
        <f>+IFERROR(VLOOKUP(L3033,'TB mapping'!A:D,4,0),0)</f>
        <v>0</v>
      </c>
      <c r="C3033" s="125">
        <f>+IFERROR(VLOOKUP(L3033,'TB mapping'!A:C,3,0),0)</f>
        <v>5.5</v>
      </c>
      <c r="D3033" s="125" t="str">
        <f t="shared" si="307"/>
        <v>LIC020</v>
      </c>
      <c r="E3033" s="125" t="str">
        <f t="shared" si="308"/>
        <v>LIC025.5</v>
      </c>
      <c r="F3033" s="158" t="str">
        <f>+VLOOKUP(H3033,'code mapping'!A:C,3,0)</f>
        <v>LIC02</v>
      </c>
      <c r="G3033" s="127" t="s">
        <v>453</v>
      </c>
      <c r="H3033" s="127" t="s">
        <v>788</v>
      </c>
      <c r="I3033" s="127" t="s">
        <v>789</v>
      </c>
      <c r="J3033" s="128">
        <v>460000</v>
      </c>
      <c r="K3033" s="127" t="s">
        <v>539</v>
      </c>
      <c r="L3033" s="151">
        <v>460102</v>
      </c>
      <c r="M3033" s="128">
        <v>0</v>
      </c>
      <c r="N3033" s="127" t="s">
        <v>543</v>
      </c>
      <c r="O3033" s="127" t="s">
        <v>457</v>
      </c>
      <c r="P3033" s="128">
        <v>0</v>
      </c>
      <c r="Q3033" s="128">
        <v>1517.97</v>
      </c>
      <c r="R3033" s="128">
        <v>0</v>
      </c>
      <c r="S3033" s="128">
        <v>0</v>
      </c>
      <c r="T3033" s="128">
        <v>0</v>
      </c>
      <c r="U3033" s="128">
        <v>1517.97</v>
      </c>
      <c r="V3033" s="128">
        <v>0</v>
      </c>
      <c r="W3033" s="128">
        <v>1517.97</v>
      </c>
      <c r="X3033" s="128">
        <v>0</v>
      </c>
      <c r="Y3033" s="128">
        <v>0</v>
      </c>
      <c r="Z3033" s="128">
        <v>0</v>
      </c>
      <c r="AA3033" s="128">
        <v>1517.97</v>
      </c>
      <c r="AB3033" s="126">
        <f t="shared" si="309"/>
        <v>-1.5179700000000001E-4</v>
      </c>
      <c r="AC3033" s="122" t="s">
        <v>1838</v>
      </c>
      <c r="AD3033" s="123">
        <f t="shared" si="310"/>
        <v>-2.6443960000000002E-3</v>
      </c>
    </row>
    <row r="3034" spans="1:32" ht="12.75" hidden="1" customHeight="1">
      <c r="A3034" s="125" t="str">
        <f t="shared" si="306"/>
        <v>LIC02Interplan Adjustment- DDP</v>
      </c>
      <c r="B3034" s="125">
        <f>+IFERROR(VLOOKUP(L3034,'TB mapping'!A:D,4,0),0)</f>
        <v>0</v>
      </c>
      <c r="C3034" s="125">
        <f>+IFERROR(VLOOKUP(L3034,'TB mapping'!A:C,3,0),0)</f>
        <v>5.5</v>
      </c>
      <c r="D3034" s="125" t="str">
        <f t="shared" si="307"/>
        <v>LIC020</v>
      </c>
      <c r="E3034" s="125" t="str">
        <f t="shared" si="308"/>
        <v>LIC025.5</v>
      </c>
      <c r="F3034" s="158" t="str">
        <f>+VLOOKUP(H3034,'code mapping'!A:C,3,0)</f>
        <v>LIC02</v>
      </c>
      <c r="G3034" s="127" t="s">
        <v>453</v>
      </c>
      <c r="H3034" s="127" t="s">
        <v>788</v>
      </c>
      <c r="I3034" s="127" t="s">
        <v>789</v>
      </c>
      <c r="J3034" s="128">
        <v>460000</v>
      </c>
      <c r="K3034" s="127" t="s">
        <v>539</v>
      </c>
      <c r="L3034" s="151">
        <v>460144</v>
      </c>
      <c r="M3034" s="128">
        <v>0</v>
      </c>
      <c r="N3034" s="127" t="s">
        <v>545</v>
      </c>
      <c r="O3034" s="127" t="s">
        <v>457</v>
      </c>
      <c r="P3034" s="128">
        <v>-1517.97</v>
      </c>
      <c r="Q3034" s="128">
        <v>0</v>
      </c>
      <c r="R3034" s="128">
        <v>0</v>
      </c>
      <c r="S3034" s="128">
        <v>0</v>
      </c>
      <c r="T3034" s="128">
        <v>-1517.97</v>
      </c>
      <c r="U3034" s="128">
        <v>0</v>
      </c>
      <c r="V3034" s="128">
        <v>-1517.97</v>
      </c>
      <c r="W3034" s="128">
        <v>0</v>
      </c>
      <c r="X3034" s="128">
        <v>0</v>
      </c>
      <c r="Y3034" s="128">
        <v>0</v>
      </c>
      <c r="Z3034" s="128">
        <v>-1517.97</v>
      </c>
      <c r="AA3034" s="128">
        <v>0</v>
      </c>
      <c r="AB3034" s="126">
        <f t="shared" si="309"/>
        <v>1.5179700000000001E-4</v>
      </c>
      <c r="AC3034" s="122" t="s">
        <v>1838</v>
      </c>
      <c r="AD3034" s="123">
        <f t="shared" si="310"/>
        <v>-2.6443960000000002E-3</v>
      </c>
    </row>
    <row r="3035" spans="1:32" ht="12.75" hidden="1" customHeight="1">
      <c r="A3035" s="125" t="str">
        <f t="shared" si="306"/>
        <v>LIC02R/L L/P - Equities</v>
      </c>
      <c r="B3035" s="125">
        <f>+IFERROR(VLOOKUP(L3035,'TB mapping'!A:D,4,0),0)</f>
        <v>0</v>
      </c>
      <c r="C3035" s="125">
        <f>+IFERROR(VLOOKUP(L3035,'TB mapping'!A:C,3,0),0)</f>
        <v>5.3</v>
      </c>
      <c r="D3035" s="125" t="str">
        <f t="shared" si="307"/>
        <v>LIC020</v>
      </c>
      <c r="E3035" s="125" t="str">
        <f t="shared" si="308"/>
        <v>LIC025.3</v>
      </c>
      <c r="F3035" s="158" t="str">
        <f>+VLOOKUP(H3035,'code mapping'!A:C,3,0)</f>
        <v>LIC02</v>
      </c>
      <c r="G3035" s="127" t="s">
        <v>453</v>
      </c>
      <c r="H3035" s="127" t="s">
        <v>788</v>
      </c>
      <c r="I3035" s="127" t="s">
        <v>789</v>
      </c>
      <c r="J3035" s="128">
        <v>510000</v>
      </c>
      <c r="K3035" s="127" t="s">
        <v>546</v>
      </c>
      <c r="L3035" s="151">
        <v>511100</v>
      </c>
      <c r="M3035" s="128">
        <v>0</v>
      </c>
      <c r="N3035" s="127" t="s">
        <v>599</v>
      </c>
      <c r="O3035" s="127" t="s">
        <v>457</v>
      </c>
      <c r="P3035" s="128">
        <v>-35632019.549999997</v>
      </c>
      <c r="Q3035" s="128">
        <v>0</v>
      </c>
      <c r="R3035" s="128">
        <v>0</v>
      </c>
      <c r="S3035" s="128">
        <v>0</v>
      </c>
      <c r="T3035" s="128">
        <v>-35632019.549999997</v>
      </c>
      <c r="U3035" s="128">
        <v>0</v>
      </c>
      <c r="V3035" s="128">
        <v>-35632019.549999997</v>
      </c>
      <c r="W3035" s="128">
        <v>0</v>
      </c>
      <c r="X3035" s="128">
        <v>0</v>
      </c>
      <c r="Y3035" s="128">
        <v>0</v>
      </c>
      <c r="Z3035" s="128">
        <v>-35632019.549999997</v>
      </c>
      <c r="AA3035" s="128">
        <v>0</v>
      </c>
      <c r="AB3035" s="126">
        <f t="shared" si="309"/>
        <v>3.5632019549999998</v>
      </c>
      <c r="AC3035" s="122" t="s">
        <v>1838</v>
      </c>
      <c r="AD3035" s="123">
        <f t="shared" si="310"/>
        <v>-26.372130764999998</v>
      </c>
    </row>
    <row r="3036" spans="1:32" ht="12.75" hidden="1" customHeight="1">
      <c r="A3036" s="125" t="str">
        <f t="shared" si="306"/>
        <v>LIC02R/L L/P - Corp Bond/Debenture</v>
      </c>
      <c r="B3036" s="125">
        <f>+IFERROR(VLOOKUP(L3036,'TB mapping'!A:D,4,0),0)</f>
        <v>0</v>
      </c>
      <c r="C3036" s="125">
        <f>+IFERROR(VLOOKUP(L3036,'TB mapping'!A:C,3,0),0)</f>
        <v>5.3</v>
      </c>
      <c r="D3036" s="125" t="str">
        <f t="shared" si="307"/>
        <v>LIC020</v>
      </c>
      <c r="E3036" s="125" t="str">
        <f t="shared" si="308"/>
        <v>LIC025.3</v>
      </c>
      <c r="F3036" s="158" t="str">
        <f>+VLOOKUP(H3036,'code mapping'!A:C,3,0)</f>
        <v>LIC02</v>
      </c>
      <c r="G3036" s="127" t="s">
        <v>453</v>
      </c>
      <c r="H3036" s="127" t="s">
        <v>788</v>
      </c>
      <c r="I3036" s="127" t="s">
        <v>789</v>
      </c>
      <c r="J3036" s="128">
        <v>510000</v>
      </c>
      <c r="K3036" s="127" t="s">
        <v>546</v>
      </c>
      <c r="L3036" s="151">
        <v>512120</v>
      </c>
      <c r="M3036" s="128">
        <v>0</v>
      </c>
      <c r="N3036" s="127" t="s">
        <v>547</v>
      </c>
      <c r="O3036" s="127" t="s">
        <v>457</v>
      </c>
      <c r="P3036" s="128">
        <v>-983400</v>
      </c>
      <c r="Q3036" s="128">
        <v>0</v>
      </c>
      <c r="R3036" s="128">
        <v>0</v>
      </c>
      <c r="S3036" s="128">
        <v>0</v>
      </c>
      <c r="T3036" s="128">
        <v>-983400</v>
      </c>
      <c r="U3036" s="128">
        <v>0</v>
      </c>
      <c r="V3036" s="128">
        <v>-983400</v>
      </c>
      <c r="W3036" s="128">
        <v>0</v>
      </c>
      <c r="X3036" s="128">
        <v>0</v>
      </c>
      <c r="Y3036" s="128">
        <v>0</v>
      </c>
      <c r="Z3036" s="128">
        <v>-983400</v>
      </c>
      <c r="AA3036" s="128">
        <v>0</v>
      </c>
      <c r="AB3036" s="126">
        <f t="shared" si="309"/>
        <v>9.8339999999999997E-2</v>
      </c>
      <c r="AC3036" s="122" t="s">
        <v>1838</v>
      </c>
      <c r="AD3036" s="123">
        <f t="shared" si="310"/>
        <v>-26.372130764999998</v>
      </c>
    </row>
    <row r="3037" spans="1:32" ht="12.75" hidden="1" customHeight="1">
      <c r="A3037" s="125" t="str">
        <f t="shared" si="306"/>
        <v>LIC02SEBI Fees</v>
      </c>
      <c r="B3037" s="125">
        <f>+IFERROR(VLOOKUP(L3037,'TB mapping'!A:D,4,0),0)</f>
        <v>0</v>
      </c>
      <c r="C3037" s="125">
        <f>+IFERROR(VLOOKUP(L3037,'TB mapping'!A:C,3,0),0)</f>
        <v>6.3</v>
      </c>
      <c r="D3037" s="125" t="str">
        <f t="shared" si="307"/>
        <v>LIC020</v>
      </c>
      <c r="E3037" s="125" t="str">
        <f t="shared" si="308"/>
        <v>LIC026.3</v>
      </c>
      <c r="F3037" s="158" t="str">
        <f>+VLOOKUP(H3037,'code mapping'!A:C,3,0)</f>
        <v>LIC02</v>
      </c>
      <c r="G3037" s="127" t="s">
        <v>453</v>
      </c>
      <c r="H3037" s="127" t="s">
        <v>788</v>
      </c>
      <c r="I3037" s="127" t="s">
        <v>789</v>
      </c>
      <c r="J3037" s="128">
        <v>550000</v>
      </c>
      <c r="K3037" s="127" t="s">
        <v>550</v>
      </c>
      <c r="L3037" s="151">
        <v>553007</v>
      </c>
      <c r="M3037" s="128">
        <v>0</v>
      </c>
      <c r="N3037" s="127" t="s">
        <v>551</v>
      </c>
      <c r="O3037" s="127" t="s">
        <v>457</v>
      </c>
      <c r="P3037" s="128">
        <v>-25777.9</v>
      </c>
      <c r="Q3037" s="128">
        <v>0</v>
      </c>
      <c r="R3037" s="128">
        <v>0</v>
      </c>
      <c r="S3037" s="128">
        <v>0</v>
      </c>
      <c r="T3037" s="128">
        <v>-25777.9</v>
      </c>
      <c r="U3037" s="128">
        <v>0</v>
      </c>
      <c r="V3037" s="128">
        <v>-25777.9</v>
      </c>
      <c r="W3037" s="128">
        <v>0</v>
      </c>
      <c r="X3037" s="128">
        <v>0</v>
      </c>
      <c r="Y3037" s="128">
        <v>0</v>
      </c>
      <c r="Z3037" s="128">
        <v>-25777.9</v>
      </c>
      <c r="AA3037" s="128">
        <v>0</v>
      </c>
      <c r="AB3037" s="126">
        <f t="shared" si="309"/>
        <v>2.5777899999999999E-3</v>
      </c>
      <c r="AC3037" s="122" t="s">
        <v>1838</v>
      </c>
      <c r="AD3037" s="123">
        <f t="shared" si="310"/>
        <v>6.5490421729999992</v>
      </c>
    </row>
    <row r="3038" spans="1:32" ht="12.75" hidden="1" customHeight="1">
      <c r="A3038" s="125" t="str">
        <f t="shared" si="306"/>
        <v>LIC02Audit Fee</v>
      </c>
      <c r="B3038" s="125">
        <f>+IFERROR(VLOOKUP(L3038,'TB mapping'!A:D,4,0),0)</f>
        <v>0</v>
      </c>
      <c r="C3038" s="125">
        <f>+IFERROR(VLOOKUP(L3038,'TB mapping'!A:C,3,0),0)</f>
        <v>6.3</v>
      </c>
      <c r="D3038" s="125" t="str">
        <f t="shared" si="307"/>
        <v>LIC020</v>
      </c>
      <c r="E3038" s="125" t="str">
        <f t="shared" si="308"/>
        <v>LIC026.3</v>
      </c>
      <c r="F3038" s="158" t="str">
        <f>+VLOOKUP(H3038,'code mapping'!A:C,3,0)</f>
        <v>LIC02</v>
      </c>
      <c r="G3038" s="127" t="s">
        <v>453</v>
      </c>
      <c r="H3038" s="127" t="s">
        <v>788</v>
      </c>
      <c r="I3038" s="127" t="s">
        <v>789</v>
      </c>
      <c r="J3038" s="128">
        <v>550000</v>
      </c>
      <c r="K3038" s="127" t="s">
        <v>550</v>
      </c>
      <c r="L3038" s="151">
        <v>553105</v>
      </c>
      <c r="M3038" s="128">
        <v>0</v>
      </c>
      <c r="N3038" s="127" t="s">
        <v>552</v>
      </c>
      <c r="O3038" s="127" t="s">
        <v>457</v>
      </c>
      <c r="P3038" s="128">
        <v>-37503.26</v>
      </c>
      <c r="Q3038" s="128">
        <v>0</v>
      </c>
      <c r="R3038" s="128">
        <v>0</v>
      </c>
      <c r="S3038" s="128">
        <v>0</v>
      </c>
      <c r="T3038" s="128">
        <v>-37503.26</v>
      </c>
      <c r="U3038" s="128">
        <v>0</v>
      </c>
      <c r="V3038" s="128">
        <v>-37503.26</v>
      </c>
      <c r="W3038" s="128">
        <v>0</v>
      </c>
      <c r="X3038" s="128">
        <v>0</v>
      </c>
      <c r="Y3038" s="128">
        <v>0</v>
      </c>
      <c r="Z3038" s="128">
        <v>-37503.26</v>
      </c>
      <c r="AA3038" s="128">
        <v>0</v>
      </c>
      <c r="AB3038" s="126">
        <f t="shared" si="309"/>
        <v>3.750326E-3</v>
      </c>
      <c r="AC3038" s="122" t="s">
        <v>1838</v>
      </c>
      <c r="AD3038" s="123">
        <f t="shared" si="310"/>
        <v>6.5490421729999992</v>
      </c>
    </row>
    <row r="3039" spans="1:32" ht="12.75" hidden="1" customHeight="1">
      <c r="A3039" s="125" t="str">
        <f t="shared" si="306"/>
        <v>LIC02Custody Fee</v>
      </c>
      <c r="B3039" s="125">
        <f>+IFERROR(VLOOKUP(L3039,'TB mapping'!A:D,4,0),0)</f>
        <v>0</v>
      </c>
      <c r="C3039" s="125">
        <f>+IFERROR(VLOOKUP(L3039,'TB mapping'!A:C,3,0),0)</f>
        <v>6.3</v>
      </c>
      <c r="D3039" s="125" t="str">
        <f t="shared" si="307"/>
        <v>LIC020</v>
      </c>
      <c r="E3039" s="125" t="str">
        <f t="shared" si="308"/>
        <v>LIC026.3</v>
      </c>
      <c r="F3039" s="158" t="str">
        <f>+VLOOKUP(H3039,'code mapping'!A:C,3,0)</f>
        <v>LIC02</v>
      </c>
      <c r="G3039" s="127" t="s">
        <v>453</v>
      </c>
      <c r="H3039" s="127" t="s">
        <v>788</v>
      </c>
      <c r="I3039" s="127" t="s">
        <v>789</v>
      </c>
      <c r="J3039" s="128">
        <v>550000</v>
      </c>
      <c r="K3039" s="127" t="s">
        <v>550</v>
      </c>
      <c r="L3039" s="151">
        <v>553107</v>
      </c>
      <c r="M3039" s="128">
        <v>0</v>
      </c>
      <c r="N3039" s="127" t="s">
        <v>553</v>
      </c>
      <c r="O3039" s="127" t="s">
        <v>457</v>
      </c>
      <c r="P3039" s="128">
        <v>-816754.25</v>
      </c>
      <c r="Q3039" s="128">
        <v>0</v>
      </c>
      <c r="R3039" s="128">
        <v>0</v>
      </c>
      <c r="S3039" s="128">
        <v>0</v>
      </c>
      <c r="T3039" s="128">
        <v>-816754.25</v>
      </c>
      <c r="U3039" s="128">
        <v>0</v>
      </c>
      <c r="V3039" s="128">
        <v>-816754.25</v>
      </c>
      <c r="W3039" s="128">
        <v>0</v>
      </c>
      <c r="X3039" s="128">
        <v>0</v>
      </c>
      <c r="Y3039" s="128">
        <v>0</v>
      </c>
      <c r="Z3039" s="128">
        <v>-816754.25</v>
      </c>
      <c r="AA3039" s="128">
        <v>0</v>
      </c>
      <c r="AB3039" s="126">
        <f t="shared" si="309"/>
        <v>8.1675424999999996E-2</v>
      </c>
      <c r="AC3039" s="122" t="s">
        <v>1838</v>
      </c>
      <c r="AD3039" s="123">
        <f t="shared" si="310"/>
        <v>6.5490421729999992</v>
      </c>
    </row>
    <row r="3040" spans="1:32" ht="12.75" hidden="1" customHeight="1">
      <c r="A3040" s="125" t="str">
        <f t="shared" si="306"/>
        <v>LIC02Expense Allocation Account</v>
      </c>
      <c r="B3040" s="125">
        <f>+IFERROR(VLOOKUP(L3040,'TB mapping'!A:D,4,0),0)</f>
        <v>0</v>
      </c>
      <c r="C3040" s="125">
        <f>+IFERROR(VLOOKUP(L3040,'TB mapping'!A:C,3,0),0)</f>
        <v>6.3</v>
      </c>
      <c r="D3040" s="125" t="str">
        <f t="shared" si="307"/>
        <v>LIC020</v>
      </c>
      <c r="E3040" s="125" t="str">
        <f t="shared" si="308"/>
        <v>LIC026.3</v>
      </c>
      <c r="F3040" s="158" t="str">
        <f>+VLOOKUP(H3040,'code mapping'!A:C,3,0)</f>
        <v>LIC02</v>
      </c>
      <c r="G3040" s="127" t="s">
        <v>453</v>
      </c>
      <c r="H3040" s="127" t="s">
        <v>788</v>
      </c>
      <c r="I3040" s="127" t="s">
        <v>789</v>
      </c>
      <c r="J3040" s="128">
        <v>550000</v>
      </c>
      <c r="K3040" s="127" t="s">
        <v>550</v>
      </c>
      <c r="L3040" s="151">
        <v>553111</v>
      </c>
      <c r="M3040" s="128">
        <v>0</v>
      </c>
      <c r="N3040" s="127" t="s">
        <v>554</v>
      </c>
      <c r="O3040" s="127" t="s">
        <v>457</v>
      </c>
      <c r="P3040" s="128">
        <v>0</v>
      </c>
      <c r="Q3040" s="128">
        <v>1827078.77</v>
      </c>
      <c r="R3040" s="128">
        <v>0</v>
      </c>
      <c r="S3040" s="128">
        <v>0</v>
      </c>
      <c r="T3040" s="128">
        <v>0</v>
      </c>
      <c r="U3040" s="128">
        <v>1827078.77</v>
      </c>
      <c r="V3040" s="128">
        <v>0</v>
      </c>
      <c r="W3040" s="128">
        <v>1827078.77</v>
      </c>
      <c r="X3040" s="128">
        <v>0</v>
      </c>
      <c r="Y3040" s="128">
        <v>0</v>
      </c>
      <c r="Z3040" s="128">
        <v>0</v>
      </c>
      <c r="AA3040" s="128">
        <v>1827078.77</v>
      </c>
      <c r="AB3040" s="126">
        <f t="shared" si="309"/>
        <v>-0.18270787699999999</v>
      </c>
      <c r="AC3040" s="122" t="s">
        <v>1838</v>
      </c>
      <c r="AD3040" s="123">
        <f t="shared" si="310"/>
        <v>6.5490421729999992</v>
      </c>
    </row>
    <row r="3041" spans="1:30" ht="12.75" hidden="1" customHeight="1">
      <c r="A3041" s="125" t="str">
        <f t="shared" si="306"/>
        <v>LIC02Trustee Fee</v>
      </c>
      <c r="B3041" s="125">
        <f>+IFERROR(VLOOKUP(L3041,'TB mapping'!A:D,4,0),0)</f>
        <v>6.2</v>
      </c>
      <c r="C3041" s="125">
        <f>+IFERROR(VLOOKUP(L3041,'TB mapping'!A:C,3,0),0)</f>
        <v>6.3</v>
      </c>
      <c r="D3041" s="125" t="str">
        <f t="shared" si="307"/>
        <v>LIC026.2</v>
      </c>
      <c r="E3041" s="125" t="str">
        <f t="shared" si="308"/>
        <v>LIC026.3</v>
      </c>
      <c r="F3041" s="158" t="str">
        <f>+VLOOKUP(H3041,'code mapping'!A:C,3,0)</f>
        <v>LIC02</v>
      </c>
      <c r="G3041" s="127" t="s">
        <v>453</v>
      </c>
      <c r="H3041" s="127" t="s">
        <v>788</v>
      </c>
      <c r="I3041" s="127" t="s">
        <v>789</v>
      </c>
      <c r="J3041" s="128">
        <v>550000</v>
      </c>
      <c r="K3041" s="127" t="s">
        <v>550</v>
      </c>
      <c r="L3041" s="151">
        <v>553131</v>
      </c>
      <c r="M3041" s="128">
        <v>0</v>
      </c>
      <c r="N3041" s="127" t="s">
        <v>555</v>
      </c>
      <c r="O3041" s="127" t="s">
        <v>457</v>
      </c>
      <c r="P3041" s="128">
        <v>-23323.29</v>
      </c>
      <c r="Q3041" s="128">
        <v>0</v>
      </c>
      <c r="R3041" s="128">
        <v>0</v>
      </c>
      <c r="S3041" s="128">
        <v>0</v>
      </c>
      <c r="T3041" s="128">
        <v>-23323.29</v>
      </c>
      <c r="U3041" s="128">
        <v>0</v>
      </c>
      <c r="V3041" s="128">
        <v>-23323.29</v>
      </c>
      <c r="W3041" s="128">
        <v>0</v>
      </c>
      <c r="X3041" s="128">
        <v>0</v>
      </c>
      <c r="Y3041" s="128">
        <v>0</v>
      </c>
      <c r="Z3041" s="128">
        <v>-23323.29</v>
      </c>
      <c r="AA3041" s="128">
        <v>0</v>
      </c>
      <c r="AB3041" s="126">
        <f t="shared" si="309"/>
        <v>2.3323290000000002E-3</v>
      </c>
      <c r="AC3041" s="122" t="s">
        <v>1838</v>
      </c>
      <c r="AD3041" s="123">
        <f t="shared" si="310"/>
        <v>6.5490421729999992</v>
      </c>
    </row>
    <row r="3042" spans="1:30" ht="12.75" hidden="1" customHeight="1">
      <c r="A3042" s="125" t="str">
        <f t="shared" si="306"/>
        <v>LIC02Bank Charges</v>
      </c>
      <c r="B3042" s="125">
        <f>+IFERROR(VLOOKUP(L3042,'TB mapping'!A:D,4,0),0)</f>
        <v>0</v>
      </c>
      <c r="C3042" s="125">
        <f>+IFERROR(VLOOKUP(L3042,'TB mapping'!A:C,3,0),0)</f>
        <v>6.3</v>
      </c>
      <c r="D3042" s="125" t="str">
        <f t="shared" si="307"/>
        <v>LIC020</v>
      </c>
      <c r="E3042" s="125" t="str">
        <f t="shared" si="308"/>
        <v>LIC026.3</v>
      </c>
      <c r="F3042" s="158" t="str">
        <f>+VLOOKUP(H3042,'code mapping'!A:C,3,0)</f>
        <v>LIC02</v>
      </c>
      <c r="G3042" s="127" t="s">
        <v>453</v>
      </c>
      <c r="H3042" s="127" t="s">
        <v>788</v>
      </c>
      <c r="I3042" s="127" t="s">
        <v>789</v>
      </c>
      <c r="J3042" s="128">
        <v>550000</v>
      </c>
      <c r="K3042" s="127" t="s">
        <v>550</v>
      </c>
      <c r="L3042" s="151">
        <v>553141</v>
      </c>
      <c r="M3042" s="128">
        <v>0</v>
      </c>
      <c r="N3042" s="127" t="s">
        <v>556</v>
      </c>
      <c r="O3042" s="127" t="s">
        <v>457</v>
      </c>
      <c r="P3042" s="128">
        <v>-201579.23</v>
      </c>
      <c r="Q3042" s="128">
        <v>0</v>
      </c>
      <c r="R3042" s="128">
        <v>0</v>
      </c>
      <c r="S3042" s="128">
        <v>0</v>
      </c>
      <c r="T3042" s="128">
        <v>-201579.23</v>
      </c>
      <c r="U3042" s="128">
        <v>0</v>
      </c>
      <c r="V3042" s="128">
        <v>-201579.23</v>
      </c>
      <c r="W3042" s="128">
        <v>0</v>
      </c>
      <c r="X3042" s="128">
        <v>0</v>
      </c>
      <c r="Y3042" s="128">
        <v>0</v>
      </c>
      <c r="Z3042" s="128">
        <v>-201579.23</v>
      </c>
      <c r="AA3042" s="128">
        <v>0</v>
      </c>
      <c r="AB3042" s="126">
        <f t="shared" si="309"/>
        <v>2.0157923000000001E-2</v>
      </c>
      <c r="AC3042" s="122" t="s">
        <v>1838</v>
      </c>
      <c r="AD3042" s="123">
        <f t="shared" si="310"/>
        <v>6.5490421729999992</v>
      </c>
    </row>
    <row r="3043" spans="1:30" ht="12.75" hidden="1" customHeight="1">
      <c r="A3043" s="125" t="str">
        <f t="shared" si="306"/>
        <v>LIC02Marketing Fees</v>
      </c>
      <c r="B3043" s="125">
        <f>+IFERROR(VLOOKUP(L3043,'TB mapping'!A:D,4,0),0)</f>
        <v>0</v>
      </c>
      <c r="C3043" s="125">
        <f>+IFERROR(VLOOKUP(L3043,'TB mapping'!A:C,3,0),0)</f>
        <v>6.3</v>
      </c>
      <c r="D3043" s="125" t="str">
        <f t="shared" si="307"/>
        <v>LIC020</v>
      </c>
      <c r="E3043" s="125" t="str">
        <f t="shared" si="308"/>
        <v>LIC026.3</v>
      </c>
      <c r="F3043" s="158" t="str">
        <f>+VLOOKUP(H3043,'code mapping'!A:C,3,0)</f>
        <v>LIC02</v>
      </c>
      <c r="G3043" s="127" t="s">
        <v>453</v>
      </c>
      <c r="H3043" s="127" t="s">
        <v>788</v>
      </c>
      <c r="I3043" s="127" t="s">
        <v>789</v>
      </c>
      <c r="J3043" s="128">
        <v>550000</v>
      </c>
      <c r="K3043" s="127" t="s">
        <v>550</v>
      </c>
      <c r="L3043" s="151">
        <v>553147</v>
      </c>
      <c r="M3043" s="128">
        <v>0</v>
      </c>
      <c r="N3043" s="127" t="s">
        <v>712</v>
      </c>
      <c r="O3043" s="127" t="s">
        <v>457</v>
      </c>
      <c r="P3043" s="128">
        <v>-25035.23</v>
      </c>
      <c r="Q3043" s="128">
        <v>0</v>
      </c>
      <c r="R3043" s="128">
        <v>0</v>
      </c>
      <c r="S3043" s="128">
        <v>0</v>
      </c>
      <c r="T3043" s="128">
        <v>-25035.23</v>
      </c>
      <c r="U3043" s="128">
        <v>0</v>
      </c>
      <c r="V3043" s="128">
        <v>-25035.23</v>
      </c>
      <c r="W3043" s="128">
        <v>0</v>
      </c>
      <c r="X3043" s="128">
        <v>0</v>
      </c>
      <c r="Y3043" s="128">
        <v>0</v>
      </c>
      <c r="Z3043" s="128">
        <v>-25035.23</v>
      </c>
      <c r="AA3043" s="128">
        <v>0</v>
      </c>
      <c r="AB3043" s="126">
        <f t="shared" si="309"/>
        <v>2.5035230000000001E-3</v>
      </c>
      <c r="AC3043" s="122" t="s">
        <v>1838</v>
      </c>
      <c r="AD3043" s="123">
        <f t="shared" si="310"/>
        <v>6.5490421729999992</v>
      </c>
    </row>
    <row r="3044" spans="1:30" ht="12.75" hidden="1" customHeight="1">
      <c r="A3044" s="125" t="str">
        <f t="shared" si="306"/>
        <v>LIC02Investor Education Fund Exps</v>
      </c>
      <c r="B3044" s="125">
        <f>+IFERROR(VLOOKUP(L3044,'TB mapping'!A:D,4,0),0)</f>
        <v>0</v>
      </c>
      <c r="C3044" s="125">
        <f>+IFERROR(VLOOKUP(L3044,'TB mapping'!A:C,3,0),0)</f>
        <v>6.3</v>
      </c>
      <c r="D3044" s="125" t="str">
        <f t="shared" si="307"/>
        <v>LIC020</v>
      </c>
      <c r="E3044" s="125" t="str">
        <f t="shared" si="308"/>
        <v>LIC026.3</v>
      </c>
      <c r="F3044" s="158" t="str">
        <f>+VLOOKUP(H3044,'code mapping'!A:C,3,0)</f>
        <v>LIC02</v>
      </c>
      <c r="G3044" s="127" t="s">
        <v>453</v>
      </c>
      <c r="H3044" s="127" t="s">
        <v>788</v>
      </c>
      <c r="I3044" s="127" t="s">
        <v>789</v>
      </c>
      <c r="J3044" s="128">
        <v>550000</v>
      </c>
      <c r="K3044" s="127" t="s">
        <v>550</v>
      </c>
      <c r="L3044" s="151">
        <v>553171</v>
      </c>
      <c r="M3044" s="128">
        <v>0</v>
      </c>
      <c r="N3044" s="127" t="s">
        <v>557</v>
      </c>
      <c r="O3044" s="127" t="s">
        <v>457</v>
      </c>
      <c r="P3044" s="128">
        <v>-242175.49</v>
      </c>
      <c r="Q3044" s="128">
        <v>0</v>
      </c>
      <c r="R3044" s="128">
        <v>0</v>
      </c>
      <c r="S3044" s="128">
        <v>0</v>
      </c>
      <c r="T3044" s="128">
        <v>-242175.49</v>
      </c>
      <c r="U3044" s="128">
        <v>0</v>
      </c>
      <c r="V3044" s="128">
        <v>-242175.49</v>
      </c>
      <c r="W3044" s="128">
        <v>0</v>
      </c>
      <c r="X3044" s="128">
        <v>0</v>
      </c>
      <c r="Y3044" s="128">
        <v>0</v>
      </c>
      <c r="Z3044" s="128">
        <v>-242175.49</v>
      </c>
      <c r="AA3044" s="128">
        <v>0</v>
      </c>
      <c r="AB3044" s="126">
        <f t="shared" si="309"/>
        <v>2.4217548999999998E-2</v>
      </c>
      <c r="AC3044" s="122" t="s">
        <v>1838</v>
      </c>
      <c r="AD3044" s="123">
        <f t="shared" si="310"/>
        <v>6.5490421729999992</v>
      </c>
    </row>
    <row r="3045" spans="1:30" ht="12.75" hidden="1" customHeight="1">
      <c r="A3045" s="125" t="str">
        <f t="shared" si="306"/>
        <v>LIC02Service Tax on Management Fees</v>
      </c>
      <c r="B3045" s="125">
        <f>+IFERROR(VLOOKUP(L3045,'TB mapping'!A:D,4,0),0)</f>
        <v>6.1</v>
      </c>
      <c r="C3045" s="125">
        <f>+IFERROR(VLOOKUP(L3045,'TB mapping'!A:C,3,0),0)</f>
        <v>6.3</v>
      </c>
      <c r="D3045" s="125" t="str">
        <f t="shared" si="307"/>
        <v>LIC026.1</v>
      </c>
      <c r="E3045" s="125" t="str">
        <f t="shared" si="308"/>
        <v>LIC026.3</v>
      </c>
      <c r="F3045" s="158" t="str">
        <f>+VLOOKUP(H3045,'code mapping'!A:C,3,0)</f>
        <v>LIC02</v>
      </c>
      <c r="G3045" s="127" t="s">
        <v>453</v>
      </c>
      <c r="H3045" s="127" t="s">
        <v>788</v>
      </c>
      <c r="I3045" s="127" t="s">
        <v>789</v>
      </c>
      <c r="J3045" s="128">
        <v>550000</v>
      </c>
      <c r="K3045" s="127" t="s">
        <v>550</v>
      </c>
      <c r="L3045" s="151">
        <v>553172</v>
      </c>
      <c r="M3045" s="128">
        <v>0</v>
      </c>
      <c r="N3045" s="127" t="s">
        <v>558</v>
      </c>
      <c r="O3045" s="127" t="s">
        <v>457</v>
      </c>
      <c r="P3045" s="128">
        <v>-760442.54</v>
      </c>
      <c r="Q3045" s="128">
        <v>0</v>
      </c>
      <c r="R3045" s="128">
        <v>0</v>
      </c>
      <c r="S3045" s="128">
        <v>0</v>
      </c>
      <c r="T3045" s="128">
        <v>-760442.54</v>
      </c>
      <c r="U3045" s="128">
        <v>0</v>
      </c>
      <c r="V3045" s="128">
        <v>-760442.54</v>
      </c>
      <c r="W3045" s="128">
        <v>0</v>
      </c>
      <c r="X3045" s="128">
        <v>0</v>
      </c>
      <c r="Y3045" s="128">
        <v>0</v>
      </c>
      <c r="Z3045" s="128">
        <v>-760442.54</v>
      </c>
      <c r="AA3045" s="128">
        <v>0</v>
      </c>
      <c r="AB3045" s="126">
        <f t="shared" si="309"/>
        <v>7.6044254000000006E-2</v>
      </c>
      <c r="AC3045" s="122" t="s">
        <v>1838</v>
      </c>
      <c r="AD3045" s="123">
        <f t="shared" si="310"/>
        <v>6.5490421729999992</v>
      </c>
    </row>
    <row r="3046" spans="1:30" ht="12.75" hidden="1" customHeight="1">
      <c r="A3046" s="125" t="str">
        <f t="shared" si="306"/>
        <v>LIC02CCIL Expenses</v>
      </c>
      <c r="B3046" s="125">
        <f>+IFERROR(VLOOKUP(L3046,'TB mapping'!A:D,4,0),0)</f>
        <v>0</v>
      </c>
      <c r="C3046" s="125">
        <f>+IFERROR(VLOOKUP(L3046,'TB mapping'!A:C,3,0),0)</f>
        <v>6.3</v>
      </c>
      <c r="D3046" s="125" t="str">
        <f t="shared" si="307"/>
        <v>LIC020</v>
      </c>
      <c r="E3046" s="125" t="str">
        <f t="shared" si="308"/>
        <v>LIC026.3</v>
      </c>
      <c r="F3046" s="158" t="str">
        <f>+VLOOKUP(H3046,'code mapping'!A:C,3,0)</f>
        <v>LIC02</v>
      </c>
      <c r="G3046" s="127" t="s">
        <v>453</v>
      </c>
      <c r="H3046" s="127" t="s">
        <v>788</v>
      </c>
      <c r="I3046" s="127" t="s">
        <v>789</v>
      </c>
      <c r="J3046" s="128">
        <v>550000</v>
      </c>
      <c r="K3046" s="127" t="s">
        <v>550</v>
      </c>
      <c r="L3046" s="151">
        <v>553176</v>
      </c>
      <c r="M3046" s="128">
        <v>0</v>
      </c>
      <c r="N3046" s="127" t="s">
        <v>559</v>
      </c>
      <c r="O3046" s="127" t="s">
        <v>457</v>
      </c>
      <c r="P3046" s="128">
        <v>-55212.3</v>
      </c>
      <c r="Q3046" s="128">
        <v>0</v>
      </c>
      <c r="R3046" s="128">
        <v>0</v>
      </c>
      <c r="S3046" s="128">
        <v>0</v>
      </c>
      <c r="T3046" s="128">
        <v>-55212.3</v>
      </c>
      <c r="U3046" s="128">
        <v>0</v>
      </c>
      <c r="V3046" s="128">
        <v>-55212.3</v>
      </c>
      <c r="W3046" s="128">
        <v>0</v>
      </c>
      <c r="X3046" s="128">
        <v>0</v>
      </c>
      <c r="Y3046" s="128">
        <v>0</v>
      </c>
      <c r="Z3046" s="128">
        <v>-55212.3</v>
      </c>
      <c r="AA3046" s="128">
        <v>0</v>
      </c>
      <c r="AB3046" s="126">
        <f t="shared" si="309"/>
        <v>5.5212300000000002E-3</v>
      </c>
      <c r="AC3046" s="122" t="s">
        <v>1838</v>
      </c>
      <c r="AD3046" s="123">
        <f t="shared" si="310"/>
        <v>6.5490421729999992</v>
      </c>
    </row>
    <row r="3047" spans="1:30" ht="12.75" hidden="1" customHeight="1">
      <c r="A3047" s="125" t="str">
        <f t="shared" si="306"/>
        <v>LIC02Out of Pocket Expenses - R&amp;T</v>
      </c>
      <c r="B3047" s="125">
        <f>+IFERROR(VLOOKUP(L3047,'TB mapping'!A:D,4,0),0)</f>
        <v>0</v>
      </c>
      <c r="C3047" s="125">
        <f>+IFERROR(VLOOKUP(L3047,'TB mapping'!A:C,3,0),0)</f>
        <v>6.3</v>
      </c>
      <c r="D3047" s="125" t="str">
        <f t="shared" si="307"/>
        <v>LIC020</v>
      </c>
      <c r="E3047" s="125" t="str">
        <f t="shared" si="308"/>
        <v>LIC026.3</v>
      </c>
      <c r="F3047" s="158" t="str">
        <f>+VLOOKUP(H3047,'code mapping'!A:C,3,0)</f>
        <v>LIC02</v>
      </c>
      <c r="G3047" s="127" t="s">
        <v>453</v>
      </c>
      <c r="H3047" s="127" t="s">
        <v>788</v>
      </c>
      <c r="I3047" s="127" t="s">
        <v>789</v>
      </c>
      <c r="J3047" s="128">
        <v>550000</v>
      </c>
      <c r="K3047" s="127" t="s">
        <v>550</v>
      </c>
      <c r="L3047" s="151">
        <v>553180</v>
      </c>
      <c r="M3047" s="128">
        <v>0</v>
      </c>
      <c r="N3047" s="127" t="s">
        <v>560</v>
      </c>
      <c r="O3047" s="127" t="s">
        <v>457</v>
      </c>
      <c r="P3047" s="128">
        <v>-222348.31</v>
      </c>
      <c r="Q3047" s="128">
        <v>0</v>
      </c>
      <c r="R3047" s="128">
        <v>0</v>
      </c>
      <c r="S3047" s="128">
        <v>0</v>
      </c>
      <c r="T3047" s="128">
        <v>-222348.31</v>
      </c>
      <c r="U3047" s="128">
        <v>0</v>
      </c>
      <c r="V3047" s="128">
        <v>-222348.31</v>
      </c>
      <c r="W3047" s="128">
        <v>0</v>
      </c>
      <c r="X3047" s="128">
        <v>0</v>
      </c>
      <c r="Y3047" s="128">
        <v>0</v>
      </c>
      <c r="Z3047" s="128">
        <v>-222348.31</v>
      </c>
      <c r="AA3047" s="128">
        <v>0</v>
      </c>
      <c r="AB3047" s="126">
        <f t="shared" si="309"/>
        <v>2.2234831E-2</v>
      </c>
      <c r="AC3047" s="122" t="s">
        <v>1838</v>
      </c>
      <c r="AD3047" s="123">
        <f t="shared" si="310"/>
        <v>6.5490421729999992</v>
      </c>
    </row>
    <row r="3048" spans="1:30" ht="12.75" hidden="1" customHeight="1">
      <c r="A3048" s="125" t="str">
        <f t="shared" si="306"/>
        <v>LIC02Other Expenses</v>
      </c>
      <c r="B3048" s="125">
        <f>+IFERROR(VLOOKUP(L3048,'TB mapping'!A:D,4,0),0)</f>
        <v>0</v>
      </c>
      <c r="C3048" s="125">
        <f>+IFERROR(VLOOKUP(L3048,'TB mapping'!A:C,3,0),0)</f>
        <v>6.3</v>
      </c>
      <c r="D3048" s="125" t="str">
        <f t="shared" si="307"/>
        <v>LIC020</v>
      </c>
      <c r="E3048" s="125" t="str">
        <f t="shared" si="308"/>
        <v>LIC026.3</v>
      </c>
      <c r="F3048" s="158" t="str">
        <f>+VLOOKUP(H3048,'code mapping'!A:C,3,0)</f>
        <v>LIC02</v>
      </c>
      <c r="G3048" s="127" t="s">
        <v>453</v>
      </c>
      <c r="H3048" s="127" t="s">
        <v>788</v>
      </c>
      <c r="I3048" s="127" t="s">
        <v>789</v>
      </c>
      <c r="J3048" s="128">
        <v>550000</v>
      </c>
      <c r="K3048" s="127" t="s">
        <v>550</v>
      </c>
      <c r="L3048" s="151">
        <v>553190</v>
      </c>
      <c r="M3048" s="128">
        <v>0</v>
      </c>
      <c r="N3048" s="127" t="s">
        <v>561</v>
      </c>
      <c r="O3048" s="127" t="s">
        <v>457</v>
      </c>
      <c r="P3048" s="128">
        <v>0</v>
      </c>
      <c r="Q3048" s="128">
        <v>648731.07000000007</v>
      </c>
      <c r="R3048" s="128">
        <v>0</v>
      </c>
      <c r="S3048" s="128">
        <v>0</v>
      </c>
      <c r="T3048" s="128">
        <v>0</v>
      </c>
      <c r="U3048" s="128">
        <v>648731.07000000007</v>
      </c>
      <c r="V3048" s="128">
        <v>0</v>
      </c>
      <c r="W3048" s="128">
        <v>648731.07000000007</v>
      </c>
      <c r="X3048" s="128">
        <v>0</v>
      </c>
      <c r="Y3048" s="128">
        <v>0</v>
      </c>
      <c r="Z3048" s="128">
        <v>0</v>
      </c>
      <c r="AA3048" s="128">
        <v>648731.07000000007</v>
      </c>
      <c r="AB3048" s="126">
        <f t="shared" si="309"/>
        <v>-6.4873107000000013E-2</v>
      </c>
      <c r="AC3048" s="122" t="s">
        <v>1838</v>
      </c>
      <c r="AD3048" s="123">
        <f t="shared" si="310"/>
        <v>6.5490421729999992</v>
      </c>
    </row>
    <row r="3049" spans="1:30" ht="12.75" hidden="1" customHeight="1">
      <c r="A3049" s="125" t="str">
        <f t="shared" si="306"/>
        <v>LIC02Other Expenses-RD</v>
      </c>
      <c r="B3049" s="125">
        <f>+IFERROR(VLOOKUP(L3049,'TB mapping'!A:D,4,0),0)</f>
        <v>0</v>
      </c>
      <c r="C3049" s="125">
        <f>+IFERROR(VLOOKUP(L3049,'TB mapping'!A:C,3,0),0)</f>
        <v>6.3</v>
      </c>
      <c r="D3049" s="125" t="str">
        <f t="shared" si="307"/>
        <v>LIC020</v>
      </c>
      <c r="E3049" s="125" t="str">
        <f t="shared" si="308"/>
        <v>LIC026.3</v>
      </c>
      <c r="F3049" s="158" t="str">
        <f>+VLOOKUP(H3049,'code mapping'!A:C,3,0)</f>
        <v>LIC02</v>
      </c>
      <c r="G3049" s="127" t="s">
        <v>453</v>
      </c>
      <c r="H3049" s="127" t="s">
        <v>788</v>
      </c>
      <c r="I3049" s="127" t="s">
        <v>789</v>
      </c>
      <c r="J3049" s="128">
        <v>550000</v>
      </c>
      <c r="K3049" s="127" t="s">
        <v>550</v>
      </c>
      <c r="L3049" s="151">
        <v>553192</v>
      </c>
      <c r="M3049" s="128">
        <v>0</v>
      </c>
      <c r="N3049" s="127" t="s">
        <v>563</v>
      </c>
      <c r="O3049" s="127" t="s">
        <v>457</v>
      </c>
      <c r="P3049" s="128">
        <v>-5217349.25</v>
      </c>
      <c r="Q3049" s="128">
        <v>0</v>
      </c>
      <c r="R3049" s="128">
        <v>0</v>
      </c>
      <c r="S3049" s="128">
        <v>0</v>
      </c>
      <c r="T3049" s="128">
        <v>-5217349.25</v>
      </c>
      <c r="U3049" s="128">
        <v>0</v>
      </c>
      <c r="V3049" s="128">
        <v>-5217349.25</v>
      </c>
      <c r="W3049" s="128">
        <v>0</v>
      </c>
      <c r="X3049" s="128">
        <v>0</v>
      </c>
      <c r="Y3049" s="128">
        <v>0</v>
      </c>
      <c r="Z3049" s="128">
        <v>-5217349.25</v>
      </c>
      <c r="AA3049" s="128">
        <v>0</v>
      </c>
      <c r="AB3049" s="126">
        <f t="shared" si="309"/>
        <v>0.52173492499999996</v>
      </c>
      <c r="AC3049" s="122" t="s">
        <v>1838</v>
      </c>
      <c r="AD3049" s="123">
        <f t="shared" si="310"/>
        <v>6.5490421729999992</v>
      </c>
    </row>
    <row r="3050" spans="1:30" ht="12.75" hidden="1" customHeight="1">
      <c r="A3050" s="125" t="str">
        <f t="shared" si="306"/>
        <v>LIC02Other Exp - Brok - Indirect</v>
      </c>
      <c r="B3050" s="125">
        <f>+IFERROR(VLOOKUP(L3050,'TB mapping'!A:D,4,0),0)</f>
        <v>0</v>
      </c>
      <c r="C3050" s="125">
        <f>+IFERROR(VLOOKUP(L3050,'TB mapping'!A:C,3,0),0)</f>
        <v>6.3</v>
      </c>
      <c r="D3050" s="125" t="str">
        <f t="shared" si="307"/>
        <v>LIC020</v>
      </c>
      <c r="E3050" s="125" t="str">
        <f t="shared" si="308"/>
        <v>LIC026.3</v>
      </c>
      <c r="F3050" s="158" t="str">
        <f>+VLOOKUP(H3050,'code mapping'!A:C,3,0)</f>
        <v>LIC02</v>
      </c>
      <c r="G3050" s="127" t="s">
        <v>453</v>
      </c>
      <c r="H3050" s="127" t="s">
        <v>788</v>
      </c>
      <c r="I3050" s="127" t="s">
        <v>789</v>
      </c>
      <c r="J3050" s="128">
        <v>550000</v>
      </c>
      <c r="K3050" s="127" t="s">
        <v>550</v>
      </c>
      <c r="L3050" s="151">
        <v>553202</v>
      </c>
      <c r="M3050" s="128">
        <v>0</v>
      </c>
      <c r="N3050" s="127" t="s">
        <v>564</v>
      </c>
      <c r="O3050" s="127" t="s">
        <v>457</v>
      </c>
      <c r="P3050" s="128">
        <v>-11469040.460000001</v>
      </c>
      <c r="Q3050" s="128">
        <v>0</v>
      </c>
      <c r="R3050" s="128">
        <v>0</v>
      </c>
      <c r="S3050" s="128">
        <v>0</v>
      </c>
      <c r="T3050" s="128">
        <v>-11469040.460000001</v>
      </c>
      <c r="U3050" s="128">
        <v>0</v>
      </c>
      <c r="V3050" s="128">
        <v>-11469040.460000001</v>
      </c>
      <c r="W3050" s="128">
        <v>0</v>
      </c>
      <c r="X3050" s="128">
        <v>0</v>
      </c>
      <c r="Y3050" s="128">
        <v>0</v>
      </c>
      <c r="Z3050" s="128">
        <v>-11469040.460000001</v>
      </c>
      <c r="AA3050" s="128">
        <v>0</v>
      </c>
      <c r="AB3050" s="126">
        <f t="shared" si="309"/>
        <v>1.1469040460000002</v>
      </c>
      <c r="AC3050" s="122" t="s">
        <v>1838</v>
      </c>
      <c r="AD3050" s="123">
        <f t="shared" si="310"/>
        <v>6.5490421729999992</v>
      </c>
    </row>
    <row r="3051" spans="1:30" ht="12.75" hidden="1" customHeight="1">
      <c r="A3051" s="125" t="str">
        <f t="shared" si="306"/>
        <v>LIC02Brokerage/Dist Exps</v>
      </c>
      <c r="B3051" s="125">
        <f>+IFERROR(VLOOKUP(L3051,'TB mapping'!A:D,4,0),0)</f>
        <v>0</v>
      </c>
      <c r="C3051" s="125">
        <f>+IFERROR(VLOOKUP(L3051,'TB mapping'!A:C,3,0),0)</f>
        <v>6.3</v>
      </c>
      <c r="D3051" s="125" t="str">
        <f t="shared" si="307"/>
        <v>LIC020</v>
      </c>
      <c r="E3051" s="125" t="str">
        <f t="shared" si="308"/>
        <v>LIC026.3</v>
      </c>
      <c r="F3051" s="158" t="str">
        <f>+VLOOKUP(H3051,'code mapping'!A:C,3,0)</f>
        <v>LIC02</v>
      </c>
      <c r="G3051" s="127" t="s">
        <v>453</v>
      </c>
      <c r="H3051" s="127" t="s">
        <v>788</v>
      </c>
      <c r="I3051" s="127" t="s">
        <v>789</v>
      </c>
      <c r="J3051" s="128">
        <v>550000</v>
      </c>
      <c r="K3051" s="127" t="s">
        <v>550</v>
      </c>
      <c r="L3051" s="151">
        <v>553208</v>
      </c>
      <c r="M3051" s="128">
        <v>0</v>
      </c>
      <c r="N3051" s="127" t="s">
        <v>565</v>
      </c>
      <c r="O3051" s="127" t="s">
        <v>457</v>
      </c>
      <c r="P3051" s="128">
        <v>0</v>
      </c>
      <c r="Q3051" s="128">
        <v>4313938.22</v>
      </c>
      <c r="R3051" s="128">
        <v>0</v>
      </c>
      <c r="S3051" s="128">
        <v>0</v>
      </c>
      <c r="T3051" s="128">
        <v>0</v>
      </c>
      <c r="U3051" s="128">
        <v>4313938.22</v>
      </c>
      <c r="V3051" s="128">
        <v>0</v>
      </c>
      <c r="W3051" s="128">
        <v>4313938.22</v>
      </c>
      <c r="X3051" s="128">
        <v>0</v>
      </c>
      <c r="Y3051" s="128">
        <v>0</v>
      </c>
      <c r="Z3051" s="128">
        <v>0</v>
      </c>
      <c r="AA3051" s="128">
        <v>4313938.22</v>
      </c>
      <c r="AB3051" s="126">
        <f t="shared" si="309"/>
        <v>-0.43139382199999998</v>
      </c>
      <c r="AC3051" s="122" t="s">
        <v>1838</v>
      </c>
      <c r="AD3051" s="123">
        <f t="shared" si="310"/>
        <v>6.5490421729999992</v>
      </c>
    </row>
    <row r="3052" spans="1:30" ht="12.75" hidden="1" customHeight="1">
      <c r="A3052" s="125" t="str">
        <f t="shared" si="306"/>
        <v>LIC02Internal Audit Fee</v>
      </c>
      <c r="B3052" s="125">
        <f>+IFERROR(VLOOKUP(L3052,'TB mapping'!A:D,4,0),0)</f>
        <v>0</v>
      </c>
      <c r="C3052" s="125">
        <f>+IFERROR(VLOOKUP(L3052,'TB mapping'!A:C,3,0),0)</f>
        <v>6.3</v>
      </c>
      <c r="D3052" s="125" t="str">
        <f t="shared" si="307"/>
        <v>LIC020</v>
      </c>
      <c r="E3052" s="125" t="str">
        <f t="shared" si="308"/>
        <v>LIC026.3</v>
      </c>
      <c r="F3052" s="158" t="str">
        <f>+VLOOKUP(H3052,'code mapping'!A:C,3,0)</f>
        <v>LIC02</v>
      </c>
      <c r="G3052" s="127" t="s">
        <v>453</v>
      </c>
      <c r="H3052" s="127" t="s">
        <v>788</v>
      </c>
      <c r="I3052" s="127" t="s">
        <v>789</v>
      </c>
      <c r="J3052" s="128">
        <v>550000</v>
      </c>
      <c r="K3052" s="127" t="s">
        <v>550</v>
      </c>
      <c r="L3052" s="151">
        <v>553213</v>
      </c>
      <c r="M3052" s="128">
        <v>0</v>
      </c>
      <c r="N3052" s="127" t="s">
        <v>566</v>
      </c>
      <c r="O3052" s="127" t="s">
        <v>457</v>
      </c>
      <c r="P3052" s="128">
        <v>-33732.78</v>
      </c>
      <c r="Q3052" s="128">
        <v>0</v>
      </c>
      <c r="R3052" s="128">
        <v>0</v>
      </c>
      <c r="S3052" s="128">
        <v>0</v>
      </c>
      <c r="T3052" s="128">
        <v>-33732.78</v>
      </c>
      <c r="U3052" s="128">
        <v>0</v>
      </c>
      <c r="V3052" s="128">
        <v>-33732.78</v>
      </c>
      <c r="W3052" s="128">
        <v>0</v>
      </c>
      <c r="X3052" s="128">
        <v>0</v>
      </c>
      <c r="Y3052" s="128">
        <v>0</v>
      </c>
      <c r="Z3052" s="128">
        <v>-33732.78</v>
      </c>
      <c r="AA3052" s="128">
        <v>0</v>
      </c>
      <c r="AB3052" s="126">
        <f t="shared" si="309"/>
        <v>3.373278E-3</v>
      </c>
      <c r="AC3052" s="122" t="s">
        <v>1838</v>
      </c>
      <c r="AD3052" s="123">
        <f t="shared" si="310"/>
        <v>6.5490421729999992</v>
      </c>
    </row>
    <row r="3053" spans="1:30" ht="12.75" hidden="1" customHeight="1">
      <c r="A3053" s="125" t="str">
        <f t="shared" si="306"/>
        <v>LIC02Other Expenses-DDP</v>
      </c>
      <c r="B3053" s="125">
        <f>+IFERROR(VLOOKUP(L3053,'TB mapping'!A:D,4,0),0)</f>
        <v>0</v>
      </c>
      <c r="C3053" s="125">
        <f>+IFERROR(VLOOKUP(L3053,'TB mapping'!A:C,3,0),0)</f>
        <v>6.3</v>
      </c>
      <c r="D3053" s="125" t="str">
        <f t="shared" si="307"/>
        <v>LIC020</v>
      </c>
      <c r="E3053" s="125" t="str">
        <f t="shared" si="308"/>
        <v>LIC026.3</v>
      </c>
      <c r="F3053" s="158" t="str">
        <f>+VLOOKUP(H3053,'code mapping'!A:C,3,0)</f>
        <v>LIC02</v>
      </c>
      <c r="G3053" s="127" t="s">
        <v>453</v>
      </c>
      <c r="H3053" s="127" t="s">
        <v>788</v>
      </c>
      <c r="I3053" s="127" t="s">
        <v>789</v>
      </c>
      <c r="J3053" s="128">
        <v>550000</v>
      </c>
      <c r="K3053" s="127" t="s">
        <v>550</v>
      </c>
      <c r="L3053" s="151">
        <v>553330</v>
      </c>
      <c r="M3053" s="128">
        <v>0</v>
      </c>
      <c r="N3053" s="127" t="s">
        <v>568</v>
      </c>
      <c r="O3053" s="127" t="s">
        <v>457</v>
      </c>
      <c r="P3053" s="128">
        <v>-103193.86</v>
      </c>
      <c r="Q3053" s="128">
        <v>0</v>
      </c>
      <c r="R3053" s="128">
        <v>0</v>
      </c>
      <c r="S3053" s="128">
        <v>0</v>
      </c>
      <c r="T3053" s="128">
        <v>-103193.86</v>
      </c>
      <c r="U3053" s="128">
        <v>0</v>
      </c>
      <c r="V3053" s="128">
        <v>-103193.86</v>
      </c>
      <c r="W3053" s="128">
        <v>0</v>
      </c>
      <c r="X3053" s="128">
        <v>0</v>
      </c>
      <c r="Y3053" s="128">
        <v>0</v>
      </c>
      <c r="Z3053" s="128">
        <v>-103193.86</v>
      </c>
      <c r="AA3053" s="128">
        <v>0</v>
      </c>
      <c r="AB3053" s="126">
        <f t="shared" si="309"/>
        <v>1.0319386E-2</v>
      </c>
      <c r="AC3053" s="122" t="s">
        <v>1838</v>
      </c>
      <c r="AD3053" s="123">
        <f t="shared" si="310"/>
        <v>6.5490421729999992</v>
      </c>
    </row>
    <row r="3054" spans="1:30" ht="12.75" hidden="1" customHeight="1">
      <c r="A3054" s="125" t="str">
        <f t="shared" si="306"/>
        <v>LIC02Exp-Additional TER</v>
      </c>
      <c r="B3054" s="125">
        <f>+IFERROR(VLOOKUP(L3054,'TB mapping'!A:D,4,0),0)</f>
        <v>0</v>
      </c>
      <c r="C3054" s="125">
        <f>+IFERROR(VLOOKUP(L3054,'TB mapping'!A:C,3,0),0)</f>
        <v>6.3</v>
      </c>
      <c r="D3054" s="125" t="str">
        <f t="shared" si="307"/>
        <v>LIC020</v>
      </c>
      <c r="E3054" s="125" t="str">
        <f t="shared" si="308"/>
        <v>LIC026.3</v>
      </c>
      <c r="F3054" s="158" t="str">
        <f>+VLOOKUP(H3054,'code mapping'!A:C,3,0)</f>
        <v>LIC02</v>
      </c>
      <c r="G3054" s="127" t="s">
        <v>453</v>
      </c>
      <c r="H3054" s="127" t="s">
        <v>788</v>
      </c>
      <c r="I3054" s="127" t="s">
        <v>789</v>
      </c>
      <c r="J3054" s="128">
        <v>550000</v>
      </c>
      <c r="K3054" s="127" t="s">
        <v>550</v>
      </c>
      <c r="L3054" s="151">
        <v>553900</v>
      </c>
      <c r="M3054" s="128">
        <v>0</v>
      </c>
      <c r="N3054" s="127" t="s">
        <v>638</v>
      </c>
      <c r="O3054" s="127" t="s">
        <v>457</v>
      </c>
      <c r="P3054" s="128">
        <v>-3964348.45</v>
      </c>
      <c r="Q3054" s="128">
        <v>0</v>
      </c>
      <c r="R3054" s="128">
        <v>0</v>
      </c>
      <c r="S3054" s="128">
        <v>0</v>
      </c>
      <c r="T3054" s="128">
        <v>-3964348.45</v>
      </c>
      <c r="U3054" s="128">
        <v>0</v>
      </c>
      <c r="V3054" s="128">
        <v>-3964348.45</v>
      </c>
      <c r="W3054" s="128">
        <v>0</v>
      </c>
      <c r="X3054" s="128">
        <v>0</v>
      </c>
      <c r="Y3054" s="128">
        <v>0</v>
      </c>
      <c r="Z3054" s="128">
        <v>-3964348.45</v>
      </c>
      <c r="AA3054" s="128">
        <v>0</v>
      </c>
      <c r="AB3054" s="126">
        <f t="shared" si="309"/>
        <v>0.39643484500000004</v>
      </c>
      <c r="AC3054" s="122" t="s">
        <v>1838</v>
      </c>
      <c r="AD3054" s="123">
        <f t="shared" si="310"/>
        <v>6.5490421729999992</v>
      </c>
    </row>
    <row r="3055" spans="1:30" ht="12.75" hidden="1" customHeight="1">
      <c r="A3055" s="125" t="str">
        <f t="shared" si="306"/>
        <v>LIC02Inv Educ Fund Expense - Amfi</v>
      </c>
      <c r="B3055" s="125">
        <f>+IFERROR(VLOOKUP(L3055,'TB mapping'!A:D,4,0),0)</f>
        <v>0</v>
      </c>
      <c r="C3055" s="125">
        <f>+IFERROR(VLOOKUP(L3055,'TB mapping'!A:C,3,0),0)</f>
        <v>6.3</v>
      </c>
      <c r="D3055" s="125" t="str">
        <f t="shared" si="307"/>
        <v>LIC020</v>
      </c>
      <c r="E3055" s="125" t="str">
        <f t="shared" si="308"/>
        <v>LIC026.3</v>
      </c>
      <c r="F3055" s="158" t="str">
        <f>+VLOOKUP(H3055,'code mapping'!A:C,3,0)</f>
        <v>LIC02</v>
      </c>
      <c r="G3055" s="127" t="s">
        <v>453</v>
      </c>
      <c r="H3055" s="127" t="s">
        <v>788</v>
      </c>
      <c r="I3055" s="127" t="s">
        <v>789</v>
      </c>
      <c r="J3055" s="128">
        <v>550000</v>
      </c>
      <c r="K3055" s="127" t="s">
        <v>550</v>
      </c>
      <c r="L3055" s="151">
        <v>554526</v>
      </c>
      <c r="M3055" s="128">
        <v>0</v>
      </c>
      <c r="N3055" s="127" t="s">
        <v>569</v>
      </c>
      <c r="O3055" s="127" t="s">
        <v>457</v>
      </c>
      <c r="P3055" s="128">
        <v>-242175.49</v>
      </c>
      <c r="Q3055" s="128">
        <v>0</v>
      </c>
      <c r="R3055" s="128">
        <v>0</v>
      </c>
      <c r="S3055" s="128">
        <v>0</v>
      </c>
      <c r="T3055" s="128">
        <v>-242175.49</v>
      </c>
      <c r="U3055" s="128">
        <v>0</v>
      </c>
      <c r="V3055" s="128">
        <v>-242175.49</v>
      </c>
      <c r="W3055" s="128">
        <v>0</v>
      </c>
      <c r="X3055" s="128">
        <v>0</v>
      </c>
      <c r="Y3055" s="128">
        <v>0</v>
      </c>
      <c r="Z3055" s="128">
        <v>-242175.49</v>
      </c>
      <c r="AA3055" s="128">
        <v>0</v>
      </c>
      <c r="AB3055" s="126">
        <f t="shared" si="309"/>
        <v>2.4217548999999998E-2</v>
      </c>
      <c r="AC3055" s="122" t="s">
        <v>1838</v>
      </c>
      <c r="AD3055" s="123">
        <f t="shared" ref="AD3055:AD3072" si="311">SUMIF(E:E,E3055,AB:AB)</f>
        <v>6.5490421729999992</v>
      </c>
    </row>
    <row r="3056" spans="1:30" ht="12.75" hidden="1" customHeight="1">
      <c r="A3056" s="125" t="str">
        <f t="shared" si="306"/>
        <v>LIC02Client Servicing Expenes</v>
      </c>
      <c r="B3056" s="125">
        <f>+IFERROR(VLOOKUP(L3056,'TB mapping'!A:D,4,0),0)</f>
        <v>0</v>
      </c>
      <c r="C3056" s="125">
        <f>+IFERROR(VLOOKUP(L3056,'TB mapping'!A:C,3,0),0)</f>
        <v>6.3</v>
      </c>
      <c r="D3056" s="125" t="str">
        <f t="shared" si="307"/>
        <v>LIC020</v>
      </c>
      <c r="E3056" s="125" t="str">
        <f t="shared" si="308"/>
        <v>LIC026.3</v>
      </c>
      <c r="F3056" s="158" t="str">
        <f>+VLOOKUP(H3056,'code mapping'!A:C,3,0)</f>
        <v>LIC02</v>
      </c>
      <c r="G3056" s="127" t="s">
        <v>453</v>
      </c>
      <c r="H3056" s="127" t="s">
        <v>788</v>
      </c>
      <c r="I3056" s="127" t="s">
        <v>789</v>
      </c>
      <c r="J3056" s="128">
        <v>550000</v>
      </c>
      <c r="K3056" s="127" t="s">
        <v>550</v>
      </c>
      <c r="L3056" s="151">
        <v>555157</v>
      </c>
      <c r="M3056" s="128">
        <v>0</v>
      </c>
      <c r="N3056" s="127" t="s">
        <v>571</v>
      </c>
      <c r="O3056" s="127" t="s">
        <v>457</v>
      </c>
      <c r="P3056" s="128">
        <v>-10875235.57</v>
      </c>
      <c r="Q3056" s="128">
        <v>0</v>
      </c>
      <c r="R3056" s="128">
        <v>0</v>
      </c>
      <c r="S3056" s="128">
        <v>0</v>
      </c>
      <c r="T3056" s="128">
        <v>-10875235.57</v>
      </c>
      <c r="U3056" s="128">
        <v>0</v>
      </c>
      <c r="V3056" s="128">
        <v>-10875235.57</v>
      </c>
      <c r="W3056" s="128">
        <v>0</v>
      </c>
      <c r="X3056" s="128">
        <v>0</v>
      </c>
      <c r="Y3056" s="128">
        <v>0</v>
      </c>
      <c r="Z3056" s="128">
        <v>-10875235.57</v>
      </c>
      <c r="AA3056" s="128">
        <v>0</v>
      </c>
      <c r="AB3056" s="126">
        <f t="shared" si="309"/>
        <v>1.0875235570000001</v>
      </c>
      <c r="AC3056" s="122" t="s">
        <v>1838</v>
      </c>
      <c r="AD3056" s="123">
        <f t="shared" si="311"/>
        <v>6.5490421729999992</v>
      </c>
    </row>
    <row r="3057" spans="1:30" ht="12.75" hidden="1" customHeight="1">
      <c r="A3057" s="125" t="str">
        <f t="shared" si="306"/>
        <v>LIC02Management Fee-Reclassfication</v>
      </c>
      <c r="B3057" s="125">
        <f>+IFERROR(VLOOKUP(L3057,'TB mapping'!A:D,4,0),0)</f>
        <v>6.1</v>
      </c>
      <c r="C3057" s="125">
        <f>+IFERROR(VLOOKUP(L3057,'TB mapping'!A:C,3,0),0)</f>
        <v>6.3</v>
      </c>
      <c r="D3057" s="125" t="str">
        <f t="shared" si="307"/>
        <v>LIC026.1</v>
      </c>
      <c r="E3057" s="125" t="str">
        <f t="shared" si="308"/>
        <v>LIC026.3</v>
      </c>
      <c r="F3057" s="158" t="str">
        <f>+VLOOKUP(H3057,'code mapping'!A:C,3,0)</f>
        <v>LIC02</v>
      </c>
      <c r="G3057" s="127" t="s">
        <v>453</v>
      </c>
      <c r="H3057" s="127" t="s">
        <v>788</v>
      </c>
      <c r="I3057" s="127" t="s">
        <v>789</v>
      </c>
      <c r="J3057" s="128">
        <v>550000</v>
      </c>
      <c r="K3057" s="127" t="s">
        <v>550</v>
      </c>
      <c r="L3057" s="151">
        <v>555274</v>
      </c>
      <c r="M3057" s="128">
        <v>0</v>
      </c>
      <c r="N3057" s="127" t="s">
        <v>583</v>
      </c>
      <c r="O3057" s="127" t="s">
        <v>457</v>
      </c>
      <c r="P3057" s="128">
        <v>-5762711.6900000004</v>
      </c>
      <c r="Q3057" s="128">
        <v>0</v>
      </c>
      <c r="R3057" s="128">
        <v>0</v>
      </c>
      <c r="S3057" s="128">
        <v>0</v>
      </c>
      <c r="T3057" s="128">
        <v>-5762711.6900000004</v>
      </c>
      <c r="U3057" s="128">
        <v>0</v>
      </c>
      <c r="V3057" s="128">
        <v>-5762711.6900000004</v>
      </c>
      <c r="W3057" s="128">
        <v>0</v>
      </c>
      <c r="X3057" s="128">
        <v>0</v>
      </c>
      <c r="Y3057" s="128">
        <v>0</v>
      </c>
      <c r="Z3057" s="128">
        <v>-5762711.6900000004</v>
      </c>
      <c r="AA3057" s="128">
        <v>0</v>
      </c>
      <c r="AB3057" s="126">
        <f t="shared" si="309"/>
        <v>0.57627116900000008</v>
      </c>
      <c r="AC3057" s="122" t="s">
        <v>1838</v>
      </c>
      <c r="AD3057" s="123">
        <f t="shared" si="311"/>
        <v>6.5490421729999992</v>
      </c>
    </row>
    <row r="3058" spans="1:30" ht="12.75" hidden="1" customHeight="1">
      <c r="A3058" s="125" t="str">
        <f t="shared" si="306"/>
        <v>LIC02Brokerage_Indirect_Reclassify</v>
      </c>
      <c r="B3058" s="125">
        <f>+IFERROR(VLOOKUP(L3058,'TB mapping'!A:D,4,0),0)</f>
        <v>0</v>
      </c>
      <c r="C3058" s="125">
        <f>+IFERROR(VLOOKUP(L3058,'TB mapping'!A:C,3,0),0)</f>
        <v>6.3</v>
      </c>
      <c r="D3058" s="125" t="str">
        <f t="shared" si="307"/>
        <v>LIC020</v>
      </c>
      <c r="E3058" s="125" t="str">
        <f t="shared" si="308"/>
        <v>LIC026.3</v>
      </c>
      <c r="F3058" s="158" t="str">
        <f>+VLOOKUP(H3058,'code mapping'!A:C,3,0)</f>
        <v>LIC02</v>
      </c>
      <c r="G3058" s="127" t="s">
        <v>453</v>
      </c>
      <c r="H3058" s="127" t="s">
        <v>788</v>
      </c>
      <c r="I3058" s="127" t="s">
        <v>789</v>
      </c>
      <c r="J3058" s="128">
        <v>550000</v>
      </c>
      <c r="K3058" s="127" t="s">
        <v>550</v>
      </c>
      <c r="L3058" s="151">
        <v>555275</v>
      </c>
      <c r="M3058" s="128">
        <v>0</v>
      </c>
      <c r="N3058" s="127" t="s">
        <v>600</v>
      </c>
      <c r="O3058" s="127" t="s">
        <v>457</v>
      </c>
      <c r="P3058" s="128">
        <v>0</v>
      </c>
      <c r="Q3058" s="128">
        <v>2500000.0099999998</v>
      </c>
      <c r="R3058" s="128">
        <v>0</v>
      </c>
      <c r="S3058" s="128">
        <v>0</v>
      </c>
      <c r="T3058" s="128">
        <v>0</v>
      </c>
      <c r="U3058" s="128">
        <v>2500000.0099999998</v>
      </c>
      <c r="V3058" s="128">
        <v>0</v>
      </c>
      <c r="W3058" s="128">
        <v>2500000.0099999998</v>
      </c>
      <c r="X3058" s="128">
        <v>0</v>
      </c>
      <c r="Y3058" s="128">
        <v>0</v>
      </c>
      <c r="Z3058" s="128">
        <v>0</v>
      </c>
      <c r="AA3058" s="128">
        <v>2500000.0099999998</v>
      </c>
      <c r="AB3058" s="126">
        <f t="shared" si="309"/>
        <v>-0.25000000099999997</v>
      </c>
      <c r="AC3058" s="122" t="s">
        <v>1838</v>
      </c>
      <c r="AD3058" s="123">
        <f t="shared" si="311"/>
        <v>6.5490421729999992</v>
      </c>
    </row>
    <row r="3059" spans="1:30" ht="12.75" hidden="1" customHeight="1">
      <c r="A3059" s="125" t="str">
        <f t="shared" si="306"/>
        <v>LIC02CGST on Reclassify of Exp</v>
      </c>
      <c r="B3059" s="125">
        <f>+IFERROR(VLOOKUP(L3059,'TB mapping'!A:D,4,0),0)</f>
        <v>0</v>
      </c>
      <c r="C3059" s="125">
        <f>+IFERROR(VLOOKUP(L3059,'TB mapping'!A:C,3,0),0)</f>
        <v>6.3</v>
      </c>
      <c r="D3059" s="125" t="str">
        <f t="shared" si="307"/>
        <v>LIC020</v>
      </c>
      <c r="E3059" s="125" t="str">
        <f t="shared" si="308"/>
        <v>LIC026.3</v>
      </c>
      <c r="F3059" s="158" t="str">
        <f>+VLOOKUP(H3059,'code mapping'!A:C,3,0)</f>
        <v>LIC02</v>
      </c>
      <c r="G3059" s="127" t="s">
        <v>453</v>
      </c>
      <c r="H3059" s="127" t="s">
        <v>788</v>
      </c>
      <c r="I3059" s="127" t="s">
        <v>789</v>
      </c>
      <c r="J3059" s="128">
        <v>550000</v>
      </c>
      <c r="K3059" s="127" t="s">
        <v>550</v>
      </c>
      <c r="L3059" s="151">
        <v>555276</v>
      </c>
      <c r="M3059" s="128">
        <v>0</v>
      </c>
      <c r="N3059" s="127" t="s">
        <v>572</v>
      </c>
      <c r="O3059" s="127" t="s">
        <v>457</v>
      </c>
      <c r="P3059" s="128">
        <v>-190677.97</v>
      </c>
      <c r="Q3059" s="128">
        <v>0</v>
      </c>
      <c r="R3059" s="128">
        <v>0</v>
      </c>
      <c r="S3059" s="128">
        <v>0</v>
      </c>
      <c r="T3059" s="128">
        <v>-190677.97</v>
      </c>
      <c r="U3059" s="128">
        <v>0</v>
      </c>
      <c r="V3059" s="128">
        <v>-190677.97</v>
      </c>
      <c r="W3059" s="128">
        <v>0</v>
      </c>
      <c r="X3059" s="128">
        <v>0</v>
      </c>
      <c r="Y3059" s="128">
        <v>0</v>
      </c>
      <c r="Z3059" s="128">
        <v>-190677.97</v>
      </c>
      <c r="AA3059" s="128">
        <v>0</v>
      </c>
      <c r="AB3059" s="126">
        <f t="shared" si="309"/>
        <v>1.9067797000000001E-2</v>
      </c>
      <c r="AC3059" s="122" t="s">
        <v>1838</v>
      </c>
      <c r="AD3059" s="123">
        <f t="shared" si="311"/>
        <v>6.5490421729999992</v>
      </c>
    </row>
    <row r="3060" spans="1:30" ht="12.75" hidden="1" customHeight="1">
      <c r="A3060" s="125" t="str">
        <f t="shared" si="306"/>
        <v>LIC02SGST on Reclassify of Exp</v>
      </c>
      <c r="B3060" s="125">
        <f>+IFERROR(VLOOKUP(L3060,'TB mapping'!A:D,4,0),0)</f>
        <v>0</v>
      </c>
      <c r="C3060" s="125">
        <f>+IFERROR(VLOOKUP(L3060,'TB mapping'!A:C,3,0),0)</f>
        <v>6.3</v>
      </c>
      <c r="D3060" s="125" t="str">
        <f t="shared" si="307"/>
        <v>LIC020</v>
      </c>
      <c r="E3060" s="125" t="str">
        <f t="shared" si="308"/>
        <v>LIC026.3</v>
      </c>
      <c r="F3060" s="158" t="str">
        <f>+VLOOKUP(H3060,'code mapping'!A:C,3,0)</f>
        <v>LIC02</v>
      </c>
      <c r="G3060" s="127" t="s">
        <v>453</v>
      </c>
      <c r="H3060" s="127" t="s">
        <v>788</v>
      </c>
      <c r="I3060" s="127" t="s">
        <v>789</v>
      </c>
      <c r="J3060" s="128">
        <v>550000</v>
      </c>
      <c r="K3060" s="127" t="s">
        <v>550</v>
      </c>
      <c r="L3060" s="151">
        <v>555277</v>
      </c>
      <c r="M3060" s="128">
        <v>0</v>
      </c>
      <c r="N3060" s="127" t="s">
        <v>573</v>
      </c>
      <c r="O3060" s="127" t="s">
        <v>457</v>
      </c>
      <c r="P3060" s="128">
        <v>-190677.97</v>
      </c>
      <c r="Q3060" s="128">
        <v>0</v>
      </c>
      <c r="R3060" s="128">
        <v>0</v>
      </c>
      <c r="S3060" s="128">
        <v>0</v>
      </c>
      <c r="T3060" s="128">
        <v>-190677.97</v>
      </c>
      <c r="U3060" s="128">
        <v>0</v>
      </c>
      <c r="V3060" s="128">
        <v>-190677.97</v>
      </c>
      <c r="W3060" s="128">
        <v>0</v>
      </c>
      <c r="X3060" s="128">
        <v>0</v>
      </c>
      <c r="Y3060" s="128">
        <v>0</v>
      </c>
      <c r="Z3060" s="128">
        <v>-190677.97</v>
      </c>
      <c r="AA3060" s="128">
        <v>0</v>
      </c>
      <c r="AB3060" s="126">
        <f t="shared" si="309"/>
        <v>1.9067797000000001E-2</v>
      </c>
      <c r="AC3060" s="122" t="s">
        <v>1838</v>
      </c>
      <c r="AD3060" s="123">
        <f t="shared" si="311"/>
        <v>6.5490421729999992</v>
      </c>
    </row>
    <row r="3061" spans="1:30" ht="12.75" hidden="1" customHeight="1">
      <c r="A3061" s="125" t="str">
        <f t="shared" si="306"/>
        <v>LIC02CGST on Mfees</v>
      </c>
      <c r="B3061" s="125">
        <f>+IFERROR(VLOOKUP(L3061,'TB mapping'!A:D,4,0),0)</f>
        <v>6.1</v>
      </c>
      <c r="C3061" s="125">
        <f>+IFERROR(VLOOKUP(L3061,'TB mapping'!A:C,3,0),0)</f>
        <v>6.3</v>
      </c>
      <c r="D3061" s="125" t="str">
        <f t="shared" si="307"/>
        <v>LIC026.1</v>
      </c>
      <c r="E3061" s="125" t="str">
        <f t="shared" si="308"/>
        <v>LIC026.3</v>
      </c>
      <c r="F3061" s="158" t="str">
        <f>+VLOOKUP(H3061,'code mapping'!A:C,3,0)</f>
        <v>LIC02</v>
      </c>
      <c r="G3061" s="127" t="s">
        <v>453</v>
      </c>
      <c r="H3061" s="127" t="s">
        <v>788</v>
      </c>
      <c r="I3061" s="127" t="s">
        <v>789</v>
      </c>
      <c r="J3061" s="128">
        <v>550000</v>
      </c>
      <c r="K3061" s="127" t="s">
        <v>550</v>
      </c>
      <c r="L3061" s="151">
        <v>555597</v>
      </c>
      <c r="M3061" s="128">
        <v>0</v>
      </c>
      <c r="N3061" s="127" t="s">
        <v>574</v>
      </c>
      <c r="O3061" s="127" t="s">
        <v>457</v>
      </c>
      <c r="P3061" s="128">
        <v>-2432537.2400000002</v>
      </c>
      <c r="Q3061" s="128">
        <v>0</v>
      </c>
      <c r="R3061" s="128">
        <v>0</v>
      </c>
      <c r="S3061" s="128">
        <v>0</v>
      </c>
      <c r="T3061" s="128">
        <v>-2432537.2400000002</v>
      </c>
      <c r="U3061" s="128">
        <v>0</v>
      </c>
      <c r="V3061" s="128">
        <v>-2432537.2400000002</v>
      </c>
      <c r="W3061" s="128">
        <v>0</v>
      </c>
      <c r="X3061" s="128">
        <v>0</v>
      </c>
      <c r="Y3061" s="128">
        <v>0</v>
      </c>
      <c r="Z3061" s="128">
        <v>-2432537.2400000002</v>
      </c>
      <c r="AA3061" s="128">
        <v>0</v>
      </c>
      <c r="AB3061" s="126">
        <f t="shared" si="309"/>
        <v>0.24325372400000003</v>
      </c>
      <c r="AC3061" s="122" t="s">
        <v>1838</v>
      </c>
      <c r="AD3061" s="123">
        <f t="shared" si="311"/>
        <v>6.5490421729999992</v>
      </c>
    </row>
    <row r="3062" spans="1:30" ht="12.75" hidden="1" customHeight="1">
      <c r="A3062" s="125" t="str">
        <f t="shared" si="306"/>
        <v>LIC02SGST on Mfees</v>
      </c>
      <c r="B3062" s="125">
        <f>+IFERROR(VLOOKUP(L3062,'TB mapping'!A:D,4,0),0)</f>
        <v>6.1</v>
      </c>
      <c r="C3062" s="125">
        <f>+IFERROR(VLOOKUP(L3062,'TB mapping'!A:C,3,0),0)</f>
        <v>6.3</v>
      </c>
      <c r="D3062" s="125" t="str">
        <f t="shared" si="307"/>
        <v>LIC026.1</v>
      </c>
      <c r="E3062" s="125" t="str">
        <f t="shared" si="308"/>
        <v>LIC026.3</v>
      </c>
      <c r="F3062" s="158" t="str">
        <f>+VLOOKUP(H3062,'code mapping'!A:C,3,0)</f>
        <v>LIC02</v>
      </c>
      <c r="G3062" s="127" t="s">
        <v>453</v>
      </c>
      <c r="H3062" s="127" t="s">
        <v>788</v>
      </c>
      <c r="I3062" s="127" t="s">
        <v>789</v>
      </c>
      <c r="J3062" s="128">
        <v>550000</v>
      </c>
      <c r="K3062" s="127" t="s">
        <v>550</v>
      </c>
      <c r="L3062" s="151">
        <v>555598</v>
      </c>
      <c r="M3062" s="128">
        <v>0</v>
      </c>
      <c r="N3062" s="127" t="s">
        <v>575</v>
      </c>
      <c r="O3062" s="127" t="s">
        <v>457</v>
      </c>
      <c r="P3062" s="128">
        <v>-2432539.21</v>
      </c>
      <c r="Q3062" s="128">
        <v>0</v>
      </c>
      <c r="R3062" s="128">
        <v>0</v>
      </c>
      <c r="S3062" s="128">
        <v>0</v>
      </c>
      <c r="T3062" s="128">
        <v>-2432539.21</v>
      </c>
      <c r="U3062" s="128">
        <v>0</v>
      </c>
      <c r="V3062" s="128">
        <v>-2432539.21</v>
      </c>
      <c r="W3062" s="128">
        <v>0</v>
      </c>
      <c r="X3062" s="128">
        <v>0</v>
      </c>
      <c r="Y3062" s="128">
        <v>0</v>
      </c>
      <c r="Z3062" s="128">
        <v>-2432539.21</v>
      </c>
      <c r="AA3062" s="128">
        <v>0</v>
      </c>
      <c r="AB3062" s="126">
        <f t="shared" si="309"/>
        <v>0.24325392099999998</v>
      </c>
      <c r="AC3062" s="122" t="s">
        <v>1838</v>
      </c>
      <c r="AD3062" s="123">
        <f t="shared" si="311"/>
        <v>6.5490421729999992</v>
      </c>
    </row>
    <row r="3063" spans="1:30" ht="12.75" hidden="1" customHeight="1">
      <c r="A3063" s="125" t="str">
        <f t="shared" si="306"/>
        <v>LIC02CGST on Mfees -GDP</v>
      </c>
      <c r="B3063" s="125">
        <f>+IFERROR(VLOOKUP(L3063,'TB mapping'!A:D,4,0),0)</f>
        <v>6.1</v>
      </c>
      <c r="C3063" s="125">
        <f>+IFERROR(VLOOKUP(L3063,'TB mapping'!A:C,3,0),0)</f>
        <v>6.3</v>
      </c>
      <c r="D3063" s="125" t="str">
        <f t="shared" si="307"/>
        <v>LIC026.1</v>
      </c>
      <c r="E3063" s="125" t="str">
        <f t="shared" si="308"/>
        <v>LIC026.3</v>
      </c>
      <c r="F3063" s="158" t="str">
        <f>+VLOOKUP(H3063,'code mapping'!A:C,3,0)</f>
        <v>LIC02</v>
      </c>
      <c r="G3063" s="127" t="s">
        <v>453</v>
      </c>
      <c r="H3063" s="127" t="s">
        <v>788</v>
      </c>
      <c r="I3063" s="127" t="s">
        <v>789</v>
      </c>
      <c r="J3063" s="128">
        <v>550000</v>
      </c>
      <c r="K3063" s="127" t="s">
        <v>550</v>
      </c>
      <c r="L3063" s="151">
        <v>555599</v>
      </c>
      <c r="M3063" s="128">
        <v>0</v>
      </c>
      <c r="N3063" s="127" t="s">
        <v>576</v>
      </c>
      <c r="O3063" s="127" t="s">
        <v>457</v>
      </c>
      <c r="P3063" s="128">
        <v>-1.97</v>
      </c>
      <c r="Q3063" s="128">
        <v>0</v>
      </c>
      <c r="R3063" s="128">
        <v>0</v>
      </c>
      <c r="S3063" s="128">
        <v>0</v>
      </c>
      <c r="T3063" s="128">
        <v>-1.97</v>
      </c>
      <c r="U3063" s="128">
        <v>0</v>
      </c>
      <c r="V3063" s="128">
        <v>-1.97</v>
      </c>
      <c r="W3063" s="128">
        <v>0</v>
      </c>
      <c r="X3063" s="128">
        <v>0</v>
      </c>
      <c r="Y3063" s="128">
        <v>0</v>
      </c>
      <c r="Z3063" s="128">
        <v>-1.97</v>
      </c>
      <c r="AA3063" s="128">
        <v>0</v>
      </c>
      <c r="AB3063" s="126">
        <f t="shared" si="309"/>
        <v>1.97E-7</v>
      </c>
      <c r="AC3063" s="122" t="s">
        <v>1838</v>
      </c>
      <c r="AD3063" s="123">
        <f t="shared" si="311"/>
        <v>6.5490421729999992</v>
      </c>
    </row>
    <row r="3064" spans="1:30" ht="12.75" hidden="1" customHeight="1">
      <c r="A3064" s="125" t="str">
        <f t="shared" si="306"/>
        <v>LIC02CGST on Mfees -Regular</v>
      </c>
      <c r="B3064" s="125">
        <f>+IFERROR(VLOOKUP(L3064,'TB mapping'!A:D,4,0),0)</f>
        <v>6.1</v>
      </c>
      <c r="C3064" s="125">
        <f>+IFERROR(VLOOKUP(L3064,'TB mapping'!A:C,3,0),0)</f>
        <v>6.3</v>
      </c>
      <c r="D3064" s="125" t="str">
        <f t="shared" si="307"/>
        <v>LIC026.1</v>
      </c>
      <c r="E3064" s="125" t="str">
        <f t="shared" si="308"/>
        <v>LIC026.3</v>
      </c>
      <c r="F3064" s="158" t="str">
        <f>+VLOOKUP(H3064,'code mapping'!A:C,3,0)</f>
        <v>LIC02</v>
      </c>
      <c r="G3064" s="127" t="s">
        <v>453</v>
      </c>
      <c r="H3064" s="127" t="s">
        <v>788</v>
      </c>
      <c r="I3064" s="127" t="s">
        <v>789</v>
      </c>
      <c r="J3064" s="128">
        <v>550000</v>
      </c>
      <c r="K3064" s="127" t="s">
        <v>550</v>
      </c>
      <c r="L3064" s="151">
        <v>555605</v>
      </c>
      <c r="M3064" s="128">
        <v>0</v>
      </c>
      <c r="N3064" s="127" t="s">
        <v>743</v>
      </c>
      <c r="O3064" s="127" t="s">
        <v>457</v>
      </c>
      <c r="P3064" s="128">
        <v>-76271.19</v>
      </c>
      <c r="Q3064" s="128">
        <v>0</v>
      </c>
      <c r="R3064" s="128">
        <v>0</v>
      </c>
      <c r="S3064" s="128">
        <v>0</v>
      </c>
      <c r="T3064" s="128">
        <v>-76271.19</v>
      </c>
      <c r="U3064" s="128">
        <v>0</v>
      </c>
      <c r="V3064" s="128">
        <v>-76271.19</v>
      </c>
      <c r="W3064" s="128">
        <v>0</v>
      </c>
      <c r="X3064" s="128">
        <v>0</v>
      </c>
      <c r="Y3064" s="128">
        <v>0</v>
      </c>
      <c r="Z3064" s="128">
        <v>-76271.19</v>
      </c>
      <c r="AA3064" s="128">
        <v>0</v>
      </c>
      <c r="AB3064" s="126">
        <f t="shared" si="309"/>
        <v>7.6271189999999999E-3</v>
      </c>
      <c r="AC3064" s="122" t="s">
        <v>1838</v>
      </c>
      <c r="AD3064" s="123">
        <f t="shared" si="311"/>
        <v>6.5490421729999992</v>
      </c>
    </row>
    <row r="3065" spans="1:30" ht="12.75" hidden="1" customHeight="1">
      <c r="A3065" s="125" t="str">
        <f t="shared" ref="A3065:A3128" si="312">+F3065&amp;N3065</f>
        <v>LIC02SGST on Mfees -Regular</v>
      </c>
      <c r="B3065" s="125">
        <f>+IFERROR(VLOOKUP(L3065,'TB mapping'!A:D,4,0),0)</f>
        <v>6.1</v>
      </c>
      <c r="C3065" s="125">
        <f>+IFERROR(VLOOKUP(L3065,'TB mapping'!A:C,3,0),0)</f>
        <v>6.3</v>
      </c>
      <c r="D3065" s="125" t="str">
        <f t="shared" ref="D3065:D3128" si="313">+F3065&amp;B3065</f>
        <v>LIC026.1</v>
      </c>
      <c r="E3065" s="125" t="str">
        <f t="shared" ref="E3065:E3128" si="314">+F3065&amp;C3065</f>
        <v>LIC026.3</v>
      </c>
      <c r="F3065" s="158" t="str">
        <f>+VLOOKUP(H3065,'code mapping'!A:C,3,0)</f>
        <v>LIC02</v>
      </c>
      <c r="G3065" s="127" t="s">
        <v>453</v>
      </c>
      <c r="H3065" s="127" t="s">
        <v>788</v>
      </c>
      <c r="I3065" s="127" t="s">
        <v>789</v>
      </c>
      <c r="J3065" s="128">
        <v>550000</v>
      </c>
      <c r="K3065" s="127" t="s">
        <v>550</v>
      </c>
      <c r="L3065" s="151">
        <v>555606</v>
      </c>
      <c r="M3065" s="128">
        <v>0</v>
      </c>
      <c r="N3065" s="127" t="s">
        <v>744</v>
      </c>
      <c r="O3065" s="127" t="s">
        <v>457</v>
      </c>
      <c r="P3065" s="128">
        <v>-76271.19</v>
      </c>
      <c r="Q3065" s="128">
        <v>0</v>
      </c>
      <c r="R3065" s="128">
        <v>0</v>
      </c>
      <c r="S3065" s="128">
        <v>0</v>
      </c>
      <c r="T3065" s="128">
        <v>-76271.19</v>
      </c>
      <c r="U3065" s="128">
        <v>0</v>
      </c>
      <c r="V3065" s="128">
        <v>-76271.19</v>
      </c>
      <c r="W3065" s="128">
        <v>0</v>
      </c>
      <c r="X3065" s="128">
        <v>0</v>
      </c>
      <c r="Y3065" s="128">
        <v>0</v>
      </c>
      <c r="Z3065" s="128">
        <v>-76271.19</v>
      </c>
      <c r="AA3065" s="128">
        <v>0</v>
      </c>
      <c r="AB3065" s="126">
        <f t="shared" ref="AB3065:AB3128" si="315">SUM(-Z3065-AA3065)/10^7</f>
        <v>7.6271189999999999E-3</v>
      </c>
      <c r="AC3065" s="122" t="s">
        <v>1838</v>
      </c>
      <c r="AD3065" s="123">
        <f t="shared" si="311"/>
        <v>6.5490421729999992</v>
      </c>
    </row>
    <row r="3066" spans="1:30" ht="12.75" hidden="1" customHeight="1">
      <c r="A3066" s="125" t="str">
        <f t="shared" si="312"/>
        <v>LIC02CGST on Mfees -DDP</v>
      </c>
      <c r="B3066" s="125">
        <f>+IFERROR(VLOOKUP(L3066,'TB mapping'!A:D,4,0),0)</f>
        <v>6.1</v>
      </c>
      <c r="C3066" s="125">
        <f>+IFERROR(VLOOKUP(L3066,'TB mapping'!A:C,3,0),0)</f>
        <v>6.3</v>
      </c>
      <c r="D3066" s="125" t="str">
        <f t="shared" si="313"/>
        <v>LIC026.1</v>
      </c>
      <c r="E3066" s="125" t="str">
        <f t="shared" si="314"/>
        <v>LIC026.3</v>
      </c>
      <c r="F3066" s="158" t="str">
        <f>+VLOOKUP(H3066,'code mapping'!A:C,3,0)</f>
        <v>LIC02</v>
      </c>
      <c r="G3066" s="127" t="s">
        <v>453</v>
      </c>
      <c r="H3066" s="127" t="s">
        <v>788</v>
      </c>
      <c r="I3066" s="127" t="s">
        <v>789</v>
      </c>
      <c r="J3066" s="128">
        <v>550000</v>
      </c>
      <c r="K3066" s="127" t="s">
        <v>550</v>
      </c>
      <c r="L3066" s="151">
        <v>555839</v>
      </c>
      <c r="M3066" s="128">
        <v>0</v>
      </c>
      <c r="N3066" s="127" t="s">
        <v>794</v>
      </c>
      <c r="O3066" s="127" t="s">
        <v>457</v>
      </c>
      <c r="P3066" s="128">
        <v>0</v>
      </c>
      <c r="Q3066" s="128">
        <v>3285.59</v>
      </c>
      <c r="R3066" s="128">
        <v>0</v>
      </c>
      <c r="S3066" s="128">
        <v>0</v>
      </c>
      <c r="T3066" s="128">
        <v>0</v>
      </c>
      <c r="U3066" s="128">
        <v>3285.59</v>
      </c>
      <c r="V3066" s="128">
        <v>0</v>
      </c>
      <c r="W3066" s="128">
        <v>3285.59</v>
      </c>
      <c r="X3066" s="128">
        <v>0</v>
      </c>
      <c r="Y3066" s="128">
        <v>0</v>
      </c>
      <c r="Z3066" s="128">
        <v>0</v>
      </c>
      <c r="AA3066" s="128">
        <v>3285.59</v>
      </c>
      <c r="AB3066" s="126">
        <f t="shared" si="315"/>
        <v>-3.2855900000000002E-4</v>
      </c>
      <c r="AC3066" s="122" t="s">
        <v>1838</v>
      </c>
      <c r="AD3066" s="123">
        <f t="shared" si="311"/>
        <v>6.5490421729999992</v>
      </c>
    </row>
    <row r="3067" spans="1:30" ht="12.75" hidden="1" customHeight="1">
      <c r="A3067" s="125" t="str">
        <f t="shared" si="312"/>
        <v>LIC02SGST on Mfees -DDP</v>
      </c>
      <c r="B3067" s="125">
        <f>+IFERROR(VLOOKUP(L3067,'TB mapping'!A:D,4,0),0)</f>
        <v>6.1</v>
      </c>
      <c r="C3067" s="125">
        <f>+IFERROR(VLOOKUP(L3067,'TB mapping'!A:C,3,0),0)</f>
        <v>6.3</v>
      </c>
      <c r="D3067" s="125" t="str">
        <f t="shared" si="313"/>
        <v>LIC026.1</v>
      </c>
      <c r="E3067" s="125" t="str">
        <f t="shared" si="314"/>
        <v>LIC026.3</v>
      </c>
      <c r="F3067" s="158" t="str">
        <f>+VLOOKUP(H3067,'code mapping'!A:C,3,0)</f>
        <v>LIC02</v>
      </c>
      <c r="G3067" s="127" t="s">
        <v>453</v>
      </c>
      <c r="H3067" s="127" t="s">
        <v>788</v>
      </c>
      <c r="I3067" s="127" t="s">
        <v>789</v>
      </c>
      <c r="J3067" s="128">
        <v>550000</v>
      </c>
      <c r="K3067" s="127" t="s">
        <v>550</v>
      </c>
      <c r="L3067" s="151">
        <v>555840</v>
      </c>
      <c r="M3067" s="128">
        <v>0</v>
      </c>
      <c r="N3067" s="127" t="s">
        <v>795</v>
      </c>
      <c r="O3067" s="127" t="s">
        <v>457</v>
      </c>
      <c r="P3067" s="128">
        <v>0</v>
      </c>
      <c r="Q3067" s="128">
        <v>3285.59</v>
      </c>
      <c r="R3067" s="128">
        <v>0</v>
      </c>
      <c r="S3067" s="128">
        <v>0</v>
      </c>
      <c r="T3067" s="128">
        <v>0</v>
      </c>
      <c r="U3067" s="128">
        <v>3285.59</v>
      </c>
      <c r="V3067" s="128">
        <v>0</v>
      </c>
      <c r="W3067" s="128">
        <v>3285.59</v>
      </c>
      <c r="X3067" s="128">
        <v>0</v>
      </c>
      <c r="Y3067" s="128">
        <v>0</v>
      </c>
      <c r="Z3067" s="128">
        <v>0</v>
      </c>
      <c r="AA3067" s="128">
        <v>3285.59</v>
      </c>
      <c r="AB3067" s="126">
        <f t="shared" si="315"/>
        <v>-3.2855900000000002E-4</v>
      </c>
      <c r="AC3067" s="122" t="s">
        <v>1838</v>
      </c>
      <c r="AD3067" s="123">
        <f t="shared" si="311"/>
        <v>6.5490421729999992</v>
      </c>
    </row>
    <row r="3068" spans="1:30" ht="12.75" hidden="1" customHeight="1">
      <c r="A3068" s="125" t="str">
        <f t="shared" si="312"/>
        <v>LIC02Operating Expenses</v>
      </c>
      <c r="B3068" s="125">
        <f>+IFERROR(VLOOKUP(L3068,'TB mapping'!A:D,4,0),0)</f>
        <v>0</v>
      </c>
      <c r="C3068" s="125">
        <f>+IFERROR(VLOOKUP(L3068,'TB mapping'!A:C,3,0),0)</f>
        <v>6.3</v>
      </c>
      <c r="D3068" s="125" t="str">
        <f t="shared" si="313"/>
        <v>LIC020</v>
      </c>
      <c r="E3068" s="125" t="str">
        <f t="shared" si="314"/>
        <v>LIC026.3</v>
      </c>
      <c r="F3068" s="158" t="str">
        <f>+VLOOKUP(H3068,'code mapping'!A:C,3,0)</f>
        <v>LIC02</v>
      </c>
      <c r="G3068" s="127" t="s">
        <v>453</v>
      </c>
      <c r="H3068" s="127" t="s">
        <v>788</v>
      </c>
      <c r="I3068" s="127" t="s">
        <v>789</v>
      </c>
      <c r="J3068" s="128">
        <v>550000</v>
      </c>
      <c r="K3068" s="127" t="s">
        <v>550</v>
      </c>
      <c r="L3068" s="151">
        <v>556421</v>
      </c>
      <c r="M3068" s="128">
        <v>0</v>
      </c>
      <c r="N3068" s="127" t="s">
        <v>578</v>
      </c>
      <c r="O3068" s="127" t="s">
        <v>457</v>
      </c>
      <c r="P3068" s="128">
        <v>-45403.29</v>
      </c>
      <c r="Q3068" s="128">
        <v>0</v>
      </c>
      <c r="R3068" s="128">
        <v>0</v>
      </c>
      <c r="S3068" s="128">
        <v>0</v>
      </c>
      <c r="T3068" s="128">
        <v>-45403.29</v>
      </c>
      <c r="U3068" s="128">
        <v>0</v>
      </c>
      <c r="V3068" s="128">
        <v>-45403.29</v>
      </c>
      <c r="W3068" s="128">
        <v>0</v>
      </c>
      <c r="X3068" s="128">
        <v>0</v>
      </c>
      <c r="Y3068" s="128">
        <v>0</v>
      </c>
      <c r="Z3068" s="128">
        <v>-45403.29</v>
      </c>
      <c r="AA3068" s="128">
        <v>0</v>
      </c>
      <c r="AB3068" s="126">
        <f t="shared" si="315"/>
        <v>4.5403290000000001E-3</v>
      </c>
      <c r="AC3068" s="122" t="s">
        <v>1838</v>
      </c>
      <c r="AD3068" s="123">
        <f t="shared" si="311"/>
        <v>6.5490421729999992</v>
      </c>
    </row>
    <row r="3069" spans="1:30" ht="12.75" hidden="1" customHeight="1">
      <c r="A3069" s="125" t="str">
        <f t="shared" si="312"/>
        <v>LIC02Management Fee</v>
      </c>
      <c r="B3069" s="125">
        <f>+IFERROR(VLOOKUP(L3069,'TB mapping'!A:D,4,0),0)</f>
        <v>6.1</v>
      </c>
      <c r="C3069" s="125">
        <f>+IFERROR(VLOOKUP(L3069,'TB mapping'!A:C,3,0),0)</f>
        <v>6.3</v>
      </c>
      <c r="D3069" s="125" t="str">
        <f t="shared" si="313"/>
        <v>LIC026.1</v>
      </c>
      <c r="E3069" s="125" t="str">
        <f t="shared" si="314"/>
        <v>LIC026.3</v>
      </c>
      <c r="F3069" s="158" t="str">
        <f>+VLOOKUP(H3069,'code mapping'!A:C,3,0)</f>
        <v>LIC02</v>
      </c>
      <c r="G3069" s="127" t="s">
        <v>453</v>
      </c>
      <c r="H3069" s="127" t="s">
        <v>788</v>
      </c>
      <c r="I3069" s="127" t="s">
        <v>789</v>
      </c>
      <c r="J3069" s="128">
        <v>555100</v>
      </c>
      <c r="K3069" s="127" t="s">
        <v>579</v>
      </c>
      <c r="L3069" s="151">
        <v>555100</v>
      </c>
      <c r="M3069" s="128">
        <v>0</v>
      </c>
      <c r="N3069" s="127" t="s">
        <v>580</v>
      </c>
      <c r="O3069" s="127" t="s">
        <v>457</v>
      </c>
      <c r="P3069" s="128">
        <v>-12364867.75</v>
      </c>
      <c r="Q3069" s="128">
        <v>0</v>
      </c>
      <c r="R3069" s="128">
        <v>0</v>
      </c>
      <c r="S3069" s="128">
        <v>0</v>
      </c>
      <c r="T3069" s="128">
        <v>-12364867.75</v>
      </c>
      <c r="U3069" s="128">
        <v>0</v>
      </c>
      <c r="V3069" s="128">
        <v>-12364867.75</v>
      </c>
      <c r="W3069" s="128">
        <v>0</v>
      </c>
      <c r="X3069" s="128">
        <v>0</v>
      </c>
      <c r="Y3069" s="128">
        <v>0</v>
      </c>
      <c r="Z3069" s="128">
        <v>-12364867.75</v>
      </c>
      <c r="AA3069" s="128">
        <v>0</v>
      </c>
      <c r="AB3069" s="126">
        <f t="shared" si="315"/>
        <v>1.2364867749999999</v>
      </c>
      <c r="AC3069" s="122" t="s">
        <v>1838</v>
      </c>
      <c r="AD3069" s="123">
        <f t="shared" si="311"/>
        <v>6.5490421729999992</v>
      </c>
    </row>
    <row r="3070" spans="1:30" ht="12.75" hidden="1" customHeight="1">
      <c r="A3070" s="125" t="str">
        <f t="shared" si="312"/>
        <v>LIC02Management Fees-RD</v>
      </c>
      <c r="B3070" s="125">
        <f>+IFERROR(VLOOKUP(L3070,'TB mapping'!A:D,4,0),0)</f>
        <v>6.1</v>
      </c>
      <c r="C3070" s="125">
        <f>+IFERROR(VLOOKUP(L3070,'TB mapping'!A:C,3,0),0)</f>
        <v>6.3</v>
      </c>
      <c r="D3070" s="125" t="str">
        <f t="shared" si="313"/>
        <v>LIC026.1</v>
      </c>
      <c r="E3070" s="125" t="str">
        <f t="shared" si="314"/>
        <v>LIC026.3</v>
      </c>
      <c r="F3070" s="158" t="str">
        <f>+VLOOKUP(H3070,'code mapping'!A:C,3,0)</f>
        <v>LIC02</v>
      </c>
      <c r="G3070" s="127" t="s">
        <v>453</v>
      </c>
      <c r="H3070" s="127" t="s">
        <v>788</v>
      </c>
      <c r="I3070" s="127" t="s">
        <v>789</v>
      </c>
      <c r="J3070" s="128">
        <v>555100</v>
      </c>
      <c r="K3070" s="127" t="s">
        <v>579</v>
      </c>
      <c r="L3070" s="151">
        <v>555192</v>
      </c>
      <c r="M3070" s="128">
        <v>0</v>
      </c>
      <c r="N3070" s="127" t="s">
        <v>582</v>
      </c>
      <c r="O3070" s="127" t="s">
        <v>457</v>
      </c>
      <c r="P3070" s="128">
        <v>-15810615.58</v>
      </c>
      <c r="Q3070" s="128">
        <v>0</v>
      </c>
      <c r="R3070" s="128">
        <v>0</v>
      </c>
      <c r="S3070" s="128">
        <v>0</v>
      </c>
      <c r="T3070" s="128">
        <v>-15810615.58</v>
      </c>
      <c r="U3070" s="128">
        <v>0</v>
      </c>
      <c r="V3070" s="128">
        <v>-15810615.58</v>
      </c>
      <c r="W3070" s="128">
        <v>0</v>
      </c>
      <c r="X3070" s="128">
        <v>0</v>
      </c>
      <c r="Y3070" s="128">
        <v>0</v>
      </c>
      <c r="Z3070" s="128">
        <v>-15810615.58</v>
      </c>
      <c r="AA3070" s="128">
        <v>0</v>
      </c>
      <c r="AB3070" s="126">
        <f t="shared" si="315"/>
        <v>1.581061558</v>
      </c>
      <c r="AC3070" s="122" t="s">
        <v>1838</v>
      </c>
      <c r="AD3070" s="123">
        <f t="shared" si="311"/>
        <v>6.5490421729999992</v>
      </c>
    </row>
    <row r="3071" spans="1:30" ht="12.75" hidden="1" customHeight="1">
      <c r="A3071" s="125" t="str">
        <f t="shared" si="312"/>
        <v>LIC02Management Fees-DDP</v>
      </c>
      <c r="B3071" s="125">
        <f>+IFERROR(VLOOKUP(L3071,'TB mapping'!A:D,4,0),0)</f>
        <v>6.1</v>
      </c>
      <c r="C3071" s="125">
        <f>+IFERROR(VLOOKUP(L3071,'TB mapping'!A:C,3,0),0)</f>
        <v>6.3</v>
      </c>
      <c r="D3071" s="125" t="str">
        <f t="shared" si="313"/>
        <v>LIC026.1</v>
      </c>
      <c r="E3071" s="125" t="str">
        <f t="shared" si="314"/>
        <v>LIC026.3</v>
      </c>
      <c r="F3071" s="158" t="str">
        <f>+VLOOKUP(H3071,'code mapping'!A:C,3,0)</f>
        <v>LIC02</v>
      </c>
      <c r="G3071" s="127" t="s">
        <v>453</v>
      </c>
      <c r="H3071" s="127" t="s">
        <v>788</v>
      </c>
      <c r="I3071" s="127" t="s">
        <v>789</v>
      </c>
      <c r="J3071" s="128">
        <v>555100</v>
      </c>
      <c r="K3071" s="127" t="s">
        <v>579</v>
      </c>
      <c r="L3071" s="151">
        <v>555330</v>
      </c>
      <c r="M3071" s="128">
        <v>0</v>
      </c>
      <c r="N3071" s="127" t="s">
        <v>585</v>
      </c>
      <c r="O3071" s="127" t="s">
        <v>457</v>
      </c>
      <c r="P3071" s="128">
        <v>-241480.65</v>
      </c>
      <c r="Q3071" s="128">
        <v>0</v>
      </c>
      <c r="R3071" s="128">
        <v>0</v>
      </c>
      <c r="S3071" s="128">
        <v>0</v>
      </c>
      <c r="T3071" s="128">
        <v>-241480.65</v>
      </c>
      <c r="U3071" s="128">
        <v>0</v>
      </c>
      <c r="V3071" s="128">
        <v>-241480.65</v>
      </c>
      <c r="W3071" s="128">
        <v>0</v>
      </c>
      <c r="X3071" s="128">
        <v>0</v>
      </c>
      <c r="Y3071" s="128">
        <v>0</v>
      </c>
      <c r="Z3071" s="128">
        <v>-241480.65</v>
      </c>
      <c r="AA3071" s="128">
        <v>0</v>
      </c>
      <c r="AB3071" s="126">
        <f t="shared" si="315"/>
        <v>2.4148065E-2</v>
      </c>
      <c r="AC3071" s="122" t="s">
        <v>1838</v>
      </c>
      <c r="AD3071" s="123">
        <f t="shared" si="311"/>
        <v>6.5490421729999992</v>
      </c>
    </row>
    <row r="3072" spans="1:30" ht="12.75" hidden="1" customHeight="1">
      <c r="A3072" s="125" t="str">
        <f t="shared" si="312"/>
        <v>LIC02Management Fees-Regular</v>
      </c>
      <c r="B3072" s="125">
        <f>+IFERROR(VLOOKUP(L3072,'TB mapping'!A:D,4,0),0)</f>
        <v>6.1</v>
      </c>
      <c r="C3072" s="125">
        <f>+IFERROR(VLOOKUP(L3072,'TB mapping'!A:C,3,0),0)</f>
        <v>6.3</v>
      </c>
      <c r="D3072" s="125" t="str">
        <f t="shared" si="313"/>
        <v>LIC026.1</v>
      </c>
      <c r="E3072" s="125" t="str">
        <f t="shared" si="314"/>
        <v>LIC026.3</v>
      </c>
      <c r="F3072" s="158" t="str">
        <f>+VLOOKUP(H3072,'code mapping'!A:C,3,0)</f>
        <v>LIC02</v>
      </c>
      <c r="G3072" s="127" t="s">
        <v>453</v>
      </c>
      <c r="H3072" s="127" t="s">
        <v>788</v>
      </c>
      <c r="I3072" s="127" t="s">
        <v>789</v>
      </c>
      <c r="J3072" s="128">
        <v>555100</v>
      </c>
      <c r="K3072" s="127" t="s">
        <v>579</v>
      </c>
      <c r="L3072" s="151">
        <v>555521</v>
      </c>
      <c r="M3072" s="128">
        <v>0</v>
      </c>
      <c r="N3072" s="127" t="s">
        <v>745</v>
      </c>
      <c r="O3072" s="127" t="s">
        <v>457</v>
      </c>
      <c r="P3072" s="128">
        <v>-847457.62</v>
      </c>
      <c r="Q3072" s="128">
        <v>0</v>
      </c>
      <c r="R3072" s="128">
        <v>0</v>
      </c>
      <c r="S3072" s="128">
        <v>0</v>
      </c>
      <c r="T3072" s="128">
        <v>-847457.62</v>
      </c>
      <c r="U3072" s="128">
        <v>0</v>
      </c>
      <c r="V3072" s="128">
        <v>-847457.62</v>
      </c>
      <c r="W3072" s="128">
        <v>0</v>
      </c>
      <c r="X3072" s="128">
        <v>0</v>
      </c>
      <c r="Y3072" s="128">
        <v>0</v>
      </c>
      <c r="Z3072" s="128">
        <v>-847457.62</v>
      </c>
      <c r="AA3072" s="128">
        <v>0</v>
      </c>
      <c r="AB3072" s="126">
        <f t="shared" si="315"/>
        <v>8.4745762000000002E-2</v>
      </c>
      <c r="AC3072" s="122" t="s">
        <v>1838</v>
      </c>
      <c r="AD3072" s="123">
        <f t="shared" si="311"/>
        <v>6.5490421729999992</v>
      </c>
    </row>
    <row r="3073" spans="1:30" ht="12.75" hidden="1" customHeight="1">
      <c r="A3073" s="125" t="str">
        <f t="shared" si="312"/>
        <v>LIC36Investment - Treasury Bills</v>
      </c>
      <c r="B3073" s="125">
        <f>+IFERROR(VLOOKUP(L3073,'TB mapping'!A:D,4,0),0)</f>
        <v>0</v>
      </c>
      <c r="C3073" s="125">
        <f>+IFERROR(VLOOKUP(L3073,'TB mapping'!A:C,3,0),0)</f>
        <v>0</v>
      </c>
      <c r="D3073" s="125" t="str">
        <f t="shared" si="313"/>
        <v>LIC360</v>
      </c>
      <c r="E3073" s="125" t="str">
        <f t="shared" si="314"/>
        <v>LIC360</v>
      </c>
      <c r="F3073" s="158" t="str">
        <f>+VLOOKUP(H3073,'code mapping'!A:C,3,0)</f>
        <v>LIC36</v>
      </c>
      <c r="G3073" s="127" t="s">
        <v>453</v>
      </c>
      <c r="H3073" s="127" t="s">
        <v>810</v>
      </c>
      <c r="I3073" s="127" t="s">
        <v>60</v>
      </c>
      <c r="J3073" s="128">
        <v>102000</v>
      </c>
      <c r="K3073" s="127" t="s">
        <v>455</v>
      </c>
      <c r="L3073" s="151">
        <v>102110</v>
      </c>
      <c r="M3073" s="128">
        <v>0</v>
      </c>
      <c r="N3073" s="127" t="s">
        <v>643</v>
      </c>
      <c r="O3073" s="127" t="s">
        <v>457</v>
      </c>
      <c r="P3073" s="128">
        <v>-2106836903</v>
      </c>
      <c r="Q3073" s="128">
        <v>0</v>
      </c>
      <c r="R3073" s="128">
        <v>0</v>
      </c>
      <c r="S3073" s="128">
        <v>0</v>
      </c>
      <c r="T3073" s="128">
        <v>-2106836903</v>
      </c>
      <c r="U3073" s="128">
        <v>0</v>
      </c>
      <c r="V3073" s="128">
        <v>-2106836903</v>
      </c>
      <c r="W3073" s="128">
        <v>0</v>
      </c>
      <c r="X3073" s="128">
        <v>0</v>
      </c>
      <c r="Y3073" s="128">
        <v>0</v>
      </c>
      <c r="Z3073" s="128">
        <v>-2106836903</v>
      </c>
      <c r="AA3073" s="128">
        <v>0</v>
      </c>
      <c r="AB3073" s="126">
        <f t="shared" si="315"/>
        <v>210.68369029999999</v>
      </c>
      <c r="AC3073" s="122" t="s">
        <v>1838</v>
      </c>
      <c r="AD3073" s="123">
        <f t="shared" ref="AD3073:AD3104" si="316">SUMIF(C:C,C3073,AB:AB)</f>
        <v>1983.9723217250009</v>
      </c>
    </row>
    <row r="3074" spans="1:30" ht="12.75" hidden="1" customHeight="1">
      <c r="A3074" s="125" t="str">
        <f t="shared" si="312"/>
        <v>LIC36Investment - Corp Bond/Debent.</v>
      </c>
      <c r="B3074" s="125">
        <f>+IFERROR(VLOOKUP(L3074,'TB mapping'!A:D,4,0),0)</f>
        <v>0</v>
      </c>
      <c r="C3074" s="125">
        <f>+IFERROR(VLOOKUP(L3074,'TB mapping'!A:C,3,0),0)</f>
        <v>0</v>
      </c>
      <c r="D3074" s="125" t="str">
        <f t="shared" si="313"/>
        <v>LIC360</v>
      </c>
      <c r="E3074" s="125" t="str">
        <f t="shared" si="314"/>
        <v>LIC360</v>
      </c>
      <c r="F3074" s="158" t="str">
        <f>+VLOOKUP(H3074,'code mapping'!A:C,3,0)</f>
        <v>LIC36</v>
      </c>
      <c r="G3074" s="127" t="s">
        <v>453</v>
      </c>
      <c r="H3074" s="127" t="s">
        <v>810</v>
      </c>
      <c r="I3074" s="127" t="s">
        <v>60</v>
      </c>
      <c r="J3074" s="128">
        <v>102000</v>
      </c>
      <c r="K3074" s="127" t="s">
        <v>455</v>
      </c>
      <c r="L3074" s="151">
        <v>102120</v>
      </c>
      <c r="M3074" s="128">
        <v>0</v>
      </c>
      <c r="N3074" s="127" t="s">
        <v>456</v>
      </c>
      <c r="O3074" s="127" t="s">
        <v>457</v>
      </c>
      <c r="P3074" s="128">
        <v>-1091923920</v>
      </c>
      <c r="Q3074" s="128">
        <v>0</v>
      </c>
      <c r="R3074" s="128">
        <v>0</v>
      </c>
      <c r="S3074" s="128">
        <v>0</v>
      </c>
      <c r="T3074" s="128">
        <v>-1091923920</v>
      </c>
      <c r="U3074" s="128">
        <v>0</v>
      </c>
      <c r="V3074" s="128">
        <v>-1091923920</v>
      </c>
      <c r="W3074" s="128">
        <v>0</v>
      </c>
      <c r="X3074" s="128">
        <v>0</v>
      </c>
      <c r="Y3074" s="128">
        <v>0</v>
      </c>
      <c r="Z3074" s="128">
        <v>-1091923920</v>
      </c>
      <c r="AA3074" s="128">
        <v>0</v>
      </c>
      <c r="AB3074" s="126">
        <f t="shared" si="315"/>
        <v>109.192392</v>
      </c>
      <c r="AC3074" s="122" t="s">
        <v>1838</v>
      </c>
      <c r="AD3074" s="123">
        <f t="shared" si="316"/>
        <v>1983.9723217250009</v>
      </c>
    </row>
    <row r="3075" spans="1:30" ht="12.75" hidden="1" customHeight="1">
      <c r="A3075" s="125" t="str">
        <f t="shared" si="312"/>
        <v>LIC36Investment - Commercial Paper</v>
      </c>
      <c r="B3075" s="125">
        <f>+IFERROR(VLOOKUP(L3075,'TB mapping'!A:D,4,0),0)</f>
        <v>0</v>
      </c>
      <c r="C3075" s="125">
        <f>+IFERROR(VLOOKUP(L3075,'TB mapping'!A:C,3,0),0)</f>
        <v>0</v>
      </c>
      <c r="D3075" s="125" t="str">
        <f t="shared" si="313"/>
        <v>LIC360</v>
      </c>
      <c r="E3075" s="125" t="str">
        <f t="shared" si="314"/>
        <v>LIC360</v>
      </c>
      <c r="F3075" s="158" t="str">
        <f>+VLOOKUP(H3075,'code mapping'!A:C,3,0)</f>
        <v>LIC36</v>
      </c>
      <c r="G3075" s="127" t="s">
        <v>453</v>
      </c>
      <c r="H3075" s="127" t="s">
        <v>810</v>
      </c>
      <c r="I3075" s="127" t="s">
        <v>60</v>
      </c>
      <c r="J3075" s="128">
        <v>102000</v>
      </c>
      <c r="K3075" s="127" t="s">
        <v>455</v>
      </c>
      <c r="L3075" s="151">
        <v>102180</v>
      </c>
      <c r="M3075" s="128">
        <v>0</v>
      </c>
      <c r="N3075" s="127" t="s">
        <v>644</v>
      </c>
      <c r="O3075" s="127" t="s">
        <v>457</v>
      </c>
      <c r="P3075" s="128">
        <v>-64685032247.5</v>
      </c>
      <c r="Q3075" s="128">
        <v>0</v>
      </c>
      <c r="R3075" s="128">
        <v>0</v>
      </c>
      <c r="S3075" s="128">
        <v>0</v>
      </c>
      <c r="T3075" s="128">
        <v>-64685032247.5</v>
      </c>
      <c r="U3075" s="128">
        <v>0</v>
      </c>
      <c r="V3075" s="128">
        <v>-64685032247.5</v>
      </c>
      <c r="W3075" s="128">
        <v>0</v>
      </c>
      <c r="X3075" s="128">
        <v>0</v>
      </c>
      <c r="Y3075" s="128">
        <v>0</v>
      </c>
      <c r="Z3075" s="128">
        <v>-64685032247.5</v>
      </c>
      <c r="AA3075" s="128">
        <v>0</v>
      </c>
      <c r="AB3075" s="126">
        <f t="shared" si="315"/>
        <v>6468.5032247500003</v>
      </c>
      <c r="AC3075" s="122" t="s">
        <v>1838</v>
      </c>
      <c r="AD3075" s="123">
        <f t="shared" si="316"/>
        <v>1983.9723217250009</v>
      </c>
    </row>
    <row r="3076" spans="1:30" ht="12.75" hidden="1" customHeight="1">
      <c r="A3076" s="125" t="str">
        <f t="shared" si="312"/>
        <v>LIC36Investment - Cert of Deposits</v>
      </c>
      <c r="B3076" s="125">
        <f>+IFERROR(VLOOKUP(L3076,'TB mapping'!A:D,4,0),0)</f>
        <v>0</v>
      </c>
      <c r="C3076" s="125">
        <f>+IFERROR(VLOOKUP(L3076,'TB mapping'!A:C,3,0),0)</f>
        <v>0</v>
      </c>
      <c r="D3076" s="125" t="str">
        <f t="shared" si="313"/>
        <v>LIC360</v>
      </c>
      <c r="E3076" s="125" t="str">
        <f t="shared" si="314"/>
        <v>LIC360</v>
      </c>
      <c r="F3076" s="158" t="str">
        <f>+VLOOKUP(H3076,'code mapping'!A:C,3,0)</f>
        <v>LIC36</v>
      </c>
      <c r="G3076" s="127" t="s">
        <v>453</v>
      </c>
      <c r="H3076" s="127" t="s">
        <v>810</v>
      </c>
      <c r="I3076" s="127" t="s">
        <v>60</v>
      </c>
      <c r="J3076" s="128">
        <v>102000</v>
      </c>
      <c r="K3076" s="127" t="s">
        <v>455</v>
      </c>
      <c r="L3076" s="151">
        <v>102190</v>
      </c>
      <c r="M3076" s="128">
        <v>0</v>
      </c>
      <c r="N3076" s="127" t="s">
        <v>730</v>
      </c>
      <c r="O3076" s="127" t="s">
        <v>457</v>
      </c>
      <c r="P3076" s="128">
        <v>-21080510889.740002</v>
      </c>
      <c r="Q3076" s="128">
        <v>0</v>
      </c>
      <c r="R3076" s="128">
        <v>0</v>
      </c>
      <c r="S3076" s="128">
        <v>0</v>
      </c>
      <c r="T3076" s="128">
        <v>-21080510889.740002</v>
      </c>
      <c r="U3076" s="128">
        <v>0</v>
      </c>
      <c r="V3076" s="128">
        <v>-21080510889.740002</v>
      </c>
      <c r="W3076" s="128">
        <v>0</v>
      </c>
      <c r="X3076" s="128">
        <v>0</v>
      </c>
      <c r="Y3076" s="128">
        <v>0</v>
      </c>
      <c r="Z3076" s="128">
        <v>-21080510889.740002</v>
      </c>
      <c r="AA3076" s="128">
        <v>0</v>
      </c>
      <c r="AB3076" s="126">
        <f t="shared" si="315"/>
        <v>2108.0510889740003</v>
      </c>
      <c r="AC3076" s="122" t="s">
        <v>1838</v>
      </c>
      <c r="AD3076" s="123">
        <f t="shared" si="316"/>
        <v>1983.9723217250009</v>
      </c>
    </row>
    <row r="3077" spans="1:30" ht="12.75" hidden="1" customHeight="1">
      <c r="A3077" s="125" t="str">
        <f t="shared" si="312"/>
        <v>LIC36Investment - Fixed Deposit</v>
      </c>
      <c r="B3077" s="125">
        <f>+IFERROR(VLOOKUP(L3077,'TB mapping'!A:D,4,0),0)</f>
        <v>0</v>
      </c>
      <c r="C3077" s="125">
        <f>+IFERROR(VLOOKUP(L3077,'TB mapping'!A:C,3,0),0)</f>
        <v>0</v>
      </c>
      <c r="D3077" s="125" t="str">
        <f t="shared" si="313"/>
        <v>LIC360</v>
      </c>
      <c r="E3077" s="125" t="str">
        <f t="shared" si="314"/>
        <v>LIC360</v>
      </c>
      <c r="F3077" s="158" t="str">
        <f>+VLOOKUP(H3077,'code mapping'!A:C,3,0)</f>
        <v>LIC36</v>
      </c>
      <c r="G3077" s="127" t="s">
        <v>453</v>
      </c>
      <c r="H3077" s="127" t="s">
        <v>810</v>
      </c>
      <c r="I3077" s="127" t="s">
        <v>60</v>
      </c>
      <c r="J3077" s="128">
        <v>110000</v>
      </c>
      <c r="K3077" s="127" t="s">
        <v>462</v>
      </c>
      <c r="L3077" s="151">
        <v>102220</v>
      </c>
      <c r="M3077" s="128">
        <v>0</v>
      </c>
      <c r="N3077" s="127" t="s">
        <v>811</v>
      </c>
      <c r="O3077" s="127" t="s">
        <v>457</v>
      </c>
      <c r="P3077" s="128">
        <v>-2500000000</v>
      </c>
      <c r="Q3077" s="128">
        <v>0</v>
      </c>
      <c r="R3077" s="128">
        <v>0</v>
      </c>
      <c r="S3077" s="128">
        <v>0</v>
      </c>
      <c r="T3077" s="128">
        <v>-2500000000</v>
      </c>
      <c r="U3077" s="128">
        <v>0</v>
      </c>
      <c r="V3077" s="128">
        <v>-2500000000</v>
      </c>
      <c r="W3077" s="128">
        <v>0</v>
      </c>
      <c r="X3077" s="128">
        <v>0</v>
      </c>
      <c r="Y3077" s="128">
        <v>0</v>
      </c>
      <c r="Z3077" s="128">
        <v>-2500000000</v>
      </c>
      <c r="AA3077" s="128">
        <v>0</v>
      </c>
      <c r="AB3077" s="126">
        <f t="shared" si="315"/>
        <v>250</v>
      </c>
      <c r="AC3077" s="122" t="s">
        <v>1838</v>
      </c>
      <c r="AD3077" s="123">
        <f t="shared" si="316"/>
        <v>1983.9723217250009</v>
      </c>
    </row>
    <row r="3078" spans="1:30" ht="12.75" hidden="1" customHeight="1">
      <c r="A3078" s="125" t="str">
        <f t="shared" si="312"/>
        <v>LIC36Margin Money Deposits</v>
      </c>
      <c r="B3078" s="125">
        <f>+IFERROR(VLOOKUP(L3078,'TB mapping'!A:D,4,0),0)</f>
        <v>0</v>
      </c>
      <c r="C3078" s="125">
        <f>+IFERROR(VLOOKUP(L3078,'TB mapping'!A:C,3,0),0)</f>
        <v>0</v>
      </c>
      <c r="D3078" s="125" t="str">
        <f t="shared" si="313"/>
        <v>LIC360</v>
      </c>
      <c r="E3078" s="125" t="str">
        <f t="shared" si="314"/>
        <v>LIC360</v>
      </c>
      <c r="F3078" s="158" t="str">
        <f>+VLOOKUP(H3078,'code mapping'!A:C,3,0)</f>
        <v>LIC36</v>
      </c>
      <c r="G3078" s="127" t="s">
        <v>453</v>
      </c>
      <c r="H3078" s="127" t="s">
        <v>810</v>
      </c>
      <c r="I3078" s="127" t="s">
        <v>60</v>
      </c>
      <c r="J3078" s="128">
        <v>110000</v>
      </c>
      <c r="K3078" s="127" t="s">
        <v>462</v>
      </c>
      <c r="L3078" s="151">
        <v>110110</v>
      </c>
      <c r="M3078" s="128">
        <v>0</v>
      </c>
      <c r="N3078" s="127" t="s">
        <v>464</v>
      </c>
      <c r="O3078" s="127" t="s">
        <v>457</v>
      </c>
      <c r="P3078" s="128">
        <v>-25934683.190000001</v>
      </c>
      <c r="Q3078" s="128">
        <v>0</v>
      </c>
      <c r="R3078" s="128">
        <v>0</v>
      </c>
      <c r="S3078" s="128">
        <v>0</v>
      </c>
      <c r="T3078" s="128">
        <v>-25934683.190000001</v>
      </c>
      <c r="U3078" s="128">
        <v>0</v>
      </c>
      <c r="V3078" s="128">
        <v>-25934683.190000001</v>
      </c>
      <c r="W3078" s="128">
        <v>0</v>
      </c>
      <c r="X3078" s="128">
        <v>0</v>
      </c>
      <c r="Y3078" s="128">
        <v>0</v>
      </c>
      <c r="Z3078" s="128">
        <v>-25934683.190000001</v>
      </c>
      <c r="AA3078" s="128">
        <v>0</v>
      </c>
      <c r="AB3078" s="126">
        <f t="shared" si="315"/>
        <v>2.5934683190000003</v>
      </c>
      <c r="AC3078" s="122" t="s">
        <v>1838</v>
      </c>
      <c r="AD3078" s="123">
        <f t="shared" si="316"/>
        <v>1983.9723217250009</v>
      </c>
    </row>
    <row r="3079" spans="1:30" ht="12.75" hidden="1" customHeight="1">
      <c r="A3079" s="125" t="str">
        <f t="shared" si="312"/>
        <v>LIC36Margin Deposit For CCIL</v>
      </c>
      <c r="B3079" s="125">
        <f>+IFERROR(VLOOKUP(L3079,'TB mapping'!A:D,4,0),0)</f>
        <v>0</v>
      </c>
      <c r="C3079" s="125">
        <f>+IFERROR(VLOOKUP(L3079,'TB mapping'!A:C,3,0),0)</f>
        <v>0</v>
      </c>
      <c r="D3079" s="125" t="str">
        <f t="shared" si="313"/>
        <v>LIC360</v>
      </c>
      <c r="E3079" s="125" t="str">
        <f t="shared" si="314"/>
        <v>LIC360</v>
      </c>
      <c r="F3079" s="158" t="str">
        <f>+VLOOKUP(H3079,'code mapping'!A:C,3,0)</f>
        <v>LIC36</v>
      </c>
      <c r="G3079" s="127" t="s">
        <v>453</v>
      </c>
      <c r="H3079" s="127" t="s">
        <v>810</v>
      </c>
      <c r="I3079" s="127" t="s">
        <v>60</v>
      </c>
      <c r="J3079" s="128">
        <v>110000</v>
      </c>
      <c r="K3079" s="127" t="s">
        <v>462</v>
      </c>
      <c r="L3079" s="151">
        <v>110116</v>
      </c>
      <c r="M3079" s="128">
        <v>0</v>
      </c>
      <c r="N3079" s="127" t="s">
        <v>465</v>
      </c>
      <c r="O3079" s="127" t="s">
        <v>457</v>
      </c>
      <c r="P3079" s="128">
        <v>-7183318.0700000003</v>
      </c>
      <c r="Q3079" s="128">
        <v>0</v>
      </c>
      <c r="R3079" s="128">
        <v>0</v>
      </c>
      <c r="S3079" s="128">
        <v>0</v>
      </c>
      <c r="T3079" s="128">
        <v>-7183318.0700000003</v>
      </c>
      <c r="U3079" s="128">
        <v>0</v>
      </c>
      <c r="V3079" s="128">
        <v>-7183318.0700000003</v>
      </c>
      <c r="W3079" s="128">
        <v>0</v>
      </c>
      <c r="X3079" s="128">
        <v>0</v>
      </c>
      <c r="Y3079" s="128">
        <v>0</v>
      </c>
      <c r="Z3079" s="128">
        <v>-7183318.0700000003</v>
      </c>
      <c r="AA3079" s="128">
        <v>0</v>
      </c>
      <c r="AB3079" s="126">
        <f t="shared" si="315"/>
        <v>0.71833180699999999</v>
      </c>
      <c r="AC3079" s="122" t="s">
        <v>1838</v>
      </c>
      <c r="AD3079" s="123">
        <f t="shared" si="316"/>
        <v>1983.9723217250009</v>
      </c>
    </row>
    <row r="3080" spans="1:30" ht="12.75" hidden="1" customHeight="1">
      <c r="A3080" s="125" t="str">
        <f t="shared" si="312"/>
        <v>LIC36Sub. Rec. Control Account</v>
      </c>
      <c r="B3080" s="125">
        <f>+IFERROR(VLOOKUP(L3080,'TB mapping'!A:D,4,0),0)</f>
        <v>0</v>
      </c>
      <c r="C3080" s="125">
        <f>+IFERROR(VLOOKUP(L3080,'TB mapping'!A:C,3,0),0)</f>
        <v>0</v>
      </c>
      <c r="D3080" s="125" t="str">
        <f t="shared" si="313"/>
        <v>LIC360</v>
      </c>
      <c r="E3080" s="125" t="str">
        <f t="shared" si="314"/>
        <v>LIC360</v>
      </c>
      <c r="F3080" s="158" t="str">
        <f>+VLOOKUP(H3080,'code mapping'!A:C,3,0)</f>
        <v>LIC36</v>
      </c>
      <c r="G3080" s="127" t="s">
        <v>453</v>
      </c>
      <c r="H3080" s="127" t="s">
        <v>810</v>
      </c>
      <c r="I3080" s="127" t="s">
        <v>60</v>
      </c>
      <c r="J3080" s="128">
        <v>132000</v>
      </c>
      <c r="K3080" s="127" t="s">
        <v>466</v>
      </c>
      <c r="L3080" s="151">
        <v>132121</v>
      </c>
      <c r="M3080" s="128">
        <v>0</v>
      </c>
      <c r="N3080" s="127" t="s">
        <v>467</v>
      </c>
      <c r="O3080" s="127" t="s">
        <v>457</v>
      </c>
      <c r="P3080" s="128">
        <v>0</v>
      </c>
      <c r="Q3080" s="128">
        <v>17713233.829999998</v>
      </c>
      <c r="R3080" s="128">
        <v>0</v>
      </c>
      <c r="S3080" s="128">
        <v>0</v>
      </c>
      <c r="T3080" s="128">
        <v>0</v>
      </c>
      <c r="U3080" s="128">
        <v>17713233.829999998</v>
      </c>
      <c r="V3080" s="128">
        <v>0</v>
      </c>
      <c r="W3080" s="128">
        <v>17713233.829999998</v>
      </c>
      <c r="X3080" s="128">
        <v>0</v>
      </c>
      <c r="Y3080" s="128">
        <v>0</v>
      </c>
      <c r="Z3080" s="128">
        <v>0</v>
      </c>
      <c r="AA3080" s="128">
        <v>17713233.829999998</v>
      </c>
      <c r="AB3080" s="126">
        <f t="shared" si="315"/>
        <v>-1.7713233829999999</v>
      </c>
      <c r="AC3080" s="122" t="s">
        <v>1838</v>
      </c>
      <c r="AD3080" s="123">
        <f t="shared" si="316"/>
        <v>1983.9723217250009</v>
      </c>
    </row>
    <row r="3081" spans="1:30" ht="12.75" hidden="1" customHeight="1">
      <c r="A3081" s="125" t="str">
        <f t="shared" si="312"/>
        <v>LIC36Switch in Receivable Ct</v>
      </c>
      <c r="B3081" s="125">
        <f>+IFERROR(VLOOKUP(L3081,'TB mapping'!A:D,4,0),0)</f>
        <v>0</v>
      </c>
      <c r="C3081" s="125">
        <f>+IFERROR(VLOOKUP(L3081,'TB mapping'!A:C,3,0),0)</f>
        <v>0</v>
      </c>
      <c r="D3081" s="125" t="str">
        <f t="shared" si="313"/>
        <v>LIC360</v>
      </c>
      <c r="E3081" s="125" t="str">
        <f t="shared" si="314"/>
        <v>LIC360</v>
      </c>
      <c r="F3081" s="158" t="str">
        <f>+VLOOKUP(H3081,'code mapping'!A:C,3,0)</f>
        <v>LIC36</v>
      </c>
      <c r="G3081" s="127" t="s">
        <v>453</v>
      </c>
      <c r="H3081" s="127" t="s">
        <v>810</v>
      </c>
      <c r="I3081" s="127" t="s">
        <v>60</v>
      </c>
      <c r="J3081" s="128">
        <v>132000</v>
      </c>
      <c r="K3081" s="127" t="s">
        <v>466</v>
      </c>
      <c r="L3081" s="151">
        <v>132124</v>
      </c>
      <c r="M3081" s="128">
        <v>0</v>
      </c>
      <c r="N3081" s="127" t="s">
        <v>468</v>
      </c>
      <c r="O3081" s="127" t="s">
        <v>457</v>
      </c>
      <c r="P3081" s="128">
        <v>-11265.57</v>
      </c>
      <c r="Q3081" s="128">
        <v>0</v>
      </c>
      <c r="R3081" s="128">
        <v>0</v>
      </c>
      <c r="S3081" s="128">
        <v>0</v>
      </c>
      <c r="T3081" s="128">
        <v>-11265.57</v>
      </c>
      <c r="U3081" s="128">
        <v>0</v>
      </c>
      <c r="V3081" s="128">
        <v>-11265.57</v>
      </c>
      <c r="W3081" s="128">
        <v>0</v>
      </c>
      <c r="X3081" s="128">
        <v>0</v>
      </c>
      <c r="Y3081" s="128">
        <v>0</v>
      </c>
      <c r="Z3081" s="128">
        <v>-11265.57</v>
      </c>
      <c r="AA3081" s="128">
        <v>0</v>
      </c>
      <c r="AB3081" s="126">
        <f t="shared" si="315"/>
        <v>1.126557E-3</v>
      </c>
      <c r="AC3081" s="122" t="s">
        <v>1838</v>
      </c>
      <c r="AD3081" s="123">
        <f t="shared" si="316"/>
        <v>1983.9723217250009</v>
      </c>
    </row>
    <row r="3082" spans="1:30" ht="12.75" hidden="1" customHeight="1">
      <c r="A3082" s="125" t="str">
        <f t="shared" si="312"/>
        <v>LIC36Other Receivable</v>
      </c>
      <c r="B3082" s="125">
        <f>+IFERROR(VLOOKUP(L3082,'TB mapping'!A:D,4,0),0)</f>
        <v>0</v>
      </c>
      <c r="C3082" s="125">
        <f>+IFERROR(VLOOKUP(L3082,'TB mapping'!A:C,3,0),0)</f>
        <v>0</v>
      </c>
      <c r="D3082" s="125" t="str">
        <f t="shared" si="313"/>
        <v>LIC360</v>
      </c>
      <c r="E3082" s="125" t="str">
        <f t="shared" si="314"/>
        <v>LIC360</v>
      </c>
      <c r="F3082" s="158" t="str">
        <f>+VLOOKUP(H3082,'code mapping'!A:C,3,0)</f>
        <v>LIC36</v>
      </c>
      <c r="G3082" s="127" t="s">
        <v>453</v>
      </c>
      <c r="H3082" s="127" t="s">
        <v>810</v>
      </c>
      <c r="I3082" s="127" t="s">
        <v>60</v>
      </c>
      <c r="J3082" s="128">
        <v>132000</v>
      </c>
      <c r="K3082" s="127" t="s">
        <v>466</v>
      </c>
      <c r="L3082" s="151">
        <v>132220</v>
      </c>
      <c r="M3082" s="128">
        <v>0</v>
      </c>
      <c r="N3082" s="127" t="s">
        <v>812</v>
      </c>
      <c r="O3082" s="127" t="s">
        <v>457</v>
      </c>
      <c r="P3082" s="128">
        <v>-0.31</v>
      </c>
      <c r="Q3082" s="128">
        <v>0</v>
      </c>
      <c r="R3082" s="128">
        <v>0</v>
      </c>
      <c r="S3082" s="128">
        <v>0</v>
      </c>
      <c r="T3082" s="128">
        <v>-0.31</v>
      </c>
      <c r="U3082" s="128">
        <v>0</v>
      </c>
      <c r="V3082" s="128">
        <v>-0.31</v>
      </c>
      <c r="W3082" s="128">
        <v>0</v>
      </c>
      <c r="X3082" s="128">
        <v>0</v>
      </c>
      <c r="Y3082" s="128">
        <v>0</v>
      </c>
      <c r="Z3082" s="128">
        <v>-0.31</v>
      </c>
      <c r="AA3082" s="128">
        <v>0</v>
      </c>
      <c r="AB3082" s="126">
        <f t="shared" si="315"/>
        <v>3.1E-8</v>
      </c>
      <c r="AC3082" s="122" t="s">
        <v>1838</v>
      </c>
      <c r="AD3082" s="123">
        <f t="shared" si="316"/>
        <v>1983.9723217250009</v>
      </c>
    </row>
    <row r="3083" spans="1:30" ht="12.75" hidden="1" customHeight="1">
      <c r="A3083" s="125" t="str">
        <f t="shared" si="312"/>
        <v>LIC36CCIL Settlement A/C</v>
      </c>
      <c r="B3083" s="125">
        <f>+IFERROR(VLOOKUP(L3083,'TB mapping'!A:D,4,0),0)</f>
        <v>0</v>
      </c>
      <c r="C3083" s="125">
        <f>+IFERROR(VLOOKUP(L3083,'TB mapping'!A:C,3,0),0)</f>
        <v>0</v>
      </c>
      <c r="D3083" s="125" t="str">
        <f t="shared" si="313"/>
        <v>LIC360</v>
      </c>
      <c r="E3083" s="125" t="str">
        <f t="shared" si="314"/>
        <v>LIC360</v>
      </c>
      <c r="F3083" s="158" t="str">
        <f>+VLOOKUP(H3083,'code mapping'!A:C,3,0)</f>
        <v>LIC36</v>
      </c>
      <c r="G3083" s="127" t="s">
        <v>453</v>
      </c>
      <c r="H3083" s="127" t="s">
        <v>810</v>
      </c>
      <c r="I3083" s="127" t="s">
        <v>60</v>
      </c>
      <c r="J3083" s="128">
        <v>140000</v>
      </c>
      <c r="K3083" s="127" t="s">
        <v>472</v>
      </c>
      <c r="L3083" s="151">
        <v>132237</v>
      </c>
      <c r="M3083" s="128">
        <v>0</v>
      </c>
      <c r="N3083" s="127" t="s">
        <v>473</v>
      </c>
      <c r="O3083" s="127" t="s">
        <v>457</v>
      </c>
      <c r="P3083" s="128">
        <v>-0.05</v>
      </c>
      <c r="Q3083" s="128">
        <v>0</v>
      </c>
      <c r="R3083" s="128">
        <v>0</v>
      </c>
      <c r="S3083" s="128">
        <v>0</v>
      </c>
      <c r="T3083" s="128">
        <v>-0.05</v>
      </c>
      <c r="U3083" s="128">
        <v>0</v>
      </c>
      <c r="V3083" s="128">
        <v>-0.05</v>
      </c>
      <c r="W3083" s="128">
        <v>0</v>
      </c>
      <c r="X3083" s="128">
        <v>0</v>
      </c>
      <c r="Y3083" s="128">
        <v>0</v>
      </c>
      <c r="Z3083" s="128">
        <v>-0.05</v>
      </c>
      <c r="AA3083" s="128">
        <v>0</v>
      </c>
      <c r="AB3083" s="126">
        <f t="shared" si="315"/>
        <v>5.0000000000000001E-9</v>
      </c>
      <c r="AC3083" s="122" t="s">
        <v>1838</v>
      </c>
      <c r="AD3083" s="123">
        <f t="shared" si="316"/>
        <v>1983.9723217250009</v>
      </c>
    </row>
    <row r="3084" spans="1:30" ht="12.75" hidden="1" customHeight="1">
      <c r="A3084" s="125" t="str">
        <f t="shared" si="312"/>
        <v>LIC36HDFC Current Account</v>
      </c>
      <c r="B3084" s="125">
        <f>+IFERROR(VLOOKUP(L3084,'TB mapping'!A:D,4,0),0)</f>
        <v>0</v>
      </c>
      <c r="C3084" s="125">
        <f>+IFERROR(VLOOKUP(L3084,'TB mapping'!A:C,3,0),0)</f>
        <v>0</v>
      </c>
      <c r="D3084" s="125" t="str">
        <f t="shared" si="313"/>
        <v>LIC360</v>
      </c>
      <c r="E3084" s="125" t="str">
        <f t="shared" si="314"/>
        <v>LIC360</v>
      </c>
      <c r="F3084" s="158" t="str">
        <f>+VLOOKUP(H3084,'code mapping'!A:C,3,0)</f>
        <v>LIC36</v>
      </c>
      <c r="G3084" s="127" t="s">
        <v>453</v>
      </c>
      <c r="H3084" s="127" t="s">
        <v>810</v>
      </c>
      <c r="I3084" s="127" t="s">
        <v>60</v>
      </c>
      <c r="J3084" s="128">
        <v>140000</v>
      </c>
      <c r="K3084" s="127" t="s">
        <v>472</v>
      </c>
      <c r="L3084" s="151">
        <v>140330</v>
      </c>
      <c r="M3084" s="128">
        <v>0</v>
      </c>
      <c r="N3084" s="127" t="s">
        <v>475</v>
      </c>
      <c r="O3084" s="127" t="s">
        <v>457</v>
      </c>
      <c r="P3084" s="128">
        <v>-0.3</v>
      </c>
      <c r="Q3084" s="128">
        <v>0</v>
      </c>
      <c r="R3084" s="128">
        <v>0</v>
      </c>
      <c r="S3084" s="128">
        <v>0</v>
      </c>
      <c r="T3084" s="128">
        <v>-0.3</v>
      </c>
      <c r="U3084" s="128">
        <v>0</v>
      </c>
      <c r="V3084" s="128">
        <v>-0.3</v>
      </c>
      <c r="W3084" s="128">
        <v>0</v>
      </c>
      <c r="X3084" s="128">
        <v>0</v>
      </c>
      <c r="Y3084" s="128">
        <v>0</v>
      </c>
      <c r="Z3084" s="128">
        <v>-0.3</v>
      </c>
      <c r="AA3084" s="128">
        <v>0</v>
      </c>
      <c r="AB3084" s="126">
        <f t="shared" si="315"/>
        <v>2.9999999999999997E-8</v>
      </c>
      <c r="AC3084" s="122" t="s">
        <v>1838</v>
      </c>
      <c r="AD3084" s="123">
        <f t="shared" si="316"/>
        <v>1983.9723217250009</v>
      </c>
    </row>
    <row r="3085" spans="1:30" ht="12.75" hidden="1" customHeight="1">
      <c r="A3085" s="125" t="str">
        <f t="shared" si="312"/>
        <v>LIC36HDFC Bank Ltd</v>
      </c>
      <c r="B3085" s="125">
        <f>+IFERROR(VLOOKUP(L3085,'TB mapping'!A:D,4,0),0)</f>
        <v>0</v>
      </c>
      <c r="C3085" s="125">
        <f>+IFERROR(VLOOKUP(L3085,'TB mapping'!A:C,3,0),0)</f>
        <v>0</v>
      </c>
      <c r="D3085" s="125" t="str">
        <f t="shared" si="313"/>
        <v>LIC360</v>
      </c>
      <c r="E3085" s="125" t="str">
        <f t="shared" si="314"/>
        <v>LIC360</v>
      </c>
      <c r="F3085" s="158" t="str">
        <f>+VLOOKUP(H3085,'code mapping'!A:C,3,0)</f>
        <v>LIC36</v>
      </c>
      <c r="G3085" s="127" t="s">
        <v>453</v>
      </c>
      <c r="H3085" s="127" t="s">
        <v>810</v>
      </c>
      <c r="I3085" s="127" t="s">
        <v>60</v>
      </c>
      <c r="J3085" s="128">
        <v>140000</v>
      </c>
      <c r="K3085" s="127" t="s">
        <v>472</v>
      </c>
      <c r="L3085" s="151">
        <v>140372</v>
      </c>
      <c r="M3085" s="128">
        <v>0</v>
      </c>
      <c r="N3085" s="127" t="s">
        <v>476</v>
      </c>
      <c r="O3085" s="127" t="s">
        <v>457</v>
      </c>
      <c r="P3085" s="128">
        <v>-26.54</v>
      </c>
      <c r="Q3085" s="128">
        <v>0</v>
      </c>
      <c r="R3085" s="128">
        <v>0</v>
      </c>
      <c r="S3085" s="128">
        <v>0</v>
      </c>
      <c r="T3085" s="128">
        <v>-26.54</v>
      </c>
      <c r="U3085" s="128">
        <v>0</v>
      </c>
      <c r="V3085" s="128">
        <v>-26.54</v>
      </c>
      <c r="W3085" s="128">
        <v>0</v>
      </c>
      <c r="X3085" s="128">
        <v>0</v>
      </c>
      <c r="Y3085" s="128">
        <v>0</v>
      </c>
      <c r="Z3085" s="128">
        <v>-26.54</v>
      </c>
      <c r="AA3085" s="128">
        <v>0</v>
      </c>
      <c r="AB3085" s="126">
        <f t="shared" si="315"/>
        <v>2.6539999999999999E-6</v>
      </c>
      <c r="AC3085" s="122" t="s">
        <v>1838</v>
      </c>
      <c r="AD3085" s="123">
        <f t="shared" si="316"/>
        <v>1983.9723217250009</v>
      </c>
    </row>
    <row r="3086" spans="1:30" ht="12.75" hidden="1" customHeight="1">
      <c r="A3086" s="125" t="str">
        <f t="shared" si="312"/>
        <v>LIC36Standard Chartered Bank- India</v>
      </c>
      <c r="B3086" s="125">
        <f>+IFERROR(VLOOKUP(L3086,'TB mapping'!A:D,4,0),0)</f>
        <v>0</v>
      </c>
      <c r="C3086" s="125">
        <f>+IFERROR(VLOOKUP(L3086,'TB mapping'!A:C,3,0),0)</f>
        <v>0</v>
      </c>
      <c r="D3086" s="125" t="str">
        <f t="shared" si="313"/>
        <v>LIC360</v>
      </c>
      <c r="E3086" s="125" t="str">
        <f t="shared" si="314"/>
        <v>LIC360</v>
      </c>
      <c r="F3086" s="158" t="str">
        <f>+VLOOKUP(H3086,'code mapping'!A:C,3,0)</f>
        <v>LIC36</v>
      </c>
      <c r="G3086" s="127" t="s">
        <v>453</v>
      </c>
      <c r="H3086" s="127" t="s">
        <v>810</v>
      </c>
      <c r="I3086" s="127" t="s">
        <v>60</v>
      </c>
      <c r="J3086" s="128">
        <v>140000</v>
      </c>
      <c r="K3086" s="127" t="s">
        <v>472</v>
      </c>
      <c r="L3086" s="151">
        <v>140500</v>
      </c>
      <c r="M3086" s="128">
        <v>0</v>
      </c>
      <c r="N3086" s="127" t="s">
        <v>477</v>
      </c>
      <c r="O3086" s="127" t="s">
        <v>457</v>
      </c>
      <c r="P3086" s="128">
        <v>0</v>
      </c>
      <c r="Q3086" s="128">
        <v>1672229.87</v>
      </c>
      <c r="R3086" s="128">
        <v>0</v>
      </c>
      <c r="S3086" s="128">
        <v>0</v>
      </c>
      <c r="T3086" s="128">
        <v>0</v>
      </c>
      <c r="U3086" s="128">
        <v>1672229.87</v>
      </c>
      <c r="V3086" s="128">
        <v>0</v>
      </c>
      <c r="W3086" s="128">
        <v>1672229.87</v>
      </c>
      <c r="X3086" s="128">
        <v>0</v>
      </c>
      <c r="Y3086" s="128">
        <v>0</v>
      </c>
      <c r="Z3086" s="128">
        <v>0</v>
      </c>
      <c r="AA3086" s="128">
        <v>1672229.87</v>
      </c>
      <c r="AB3086" s="126">
        <f t="shared" si="315"/>
        <v>-0.16722298700000002</v>
      </c>
      <c r="AC3086" s="122" t="s">
        <v>1838</v>
      </c>
      <c r="AD3086" s="123">
        <f t="shared" si="316"/>
        <v>1983.9723217250009</v>
      </c>
    </row>
    <row r="3087" spans="1:30" ht="12.75" hidden="1" customHeight="1">
      <c r="A3087" s="125" t="str">
        <f t="shared" si="312"/>
        <v>LIC36Int Accrual - Corporate Bonds</v>
      </c>
      <c r="B3087" s="125">
        <f>+IFERROR(VLOOKUP(L3087,'TB mapping'!A:D,4,0),0)</f>
        <v>0</v>
      </c>
      <c r="C3087" s="125">
        <f>+IFERROR(VLOOKUP(L3087,'TB mapping'!A:C,3,0),0)</f>
        <v>0</v>
      </c>
      <c r="D3087" s="125" t="str">
        <f t="shared" si="313"/>
        <v>LIC360</v>
      </c>
      <c r="E3087" s="125" t="str">
        <f t="shared" si="314"/>
        <v>LIC360</v>
      </c>
      <c r="F3087" s="158" t="str">
        <f>+VLOOKUP(H3087,'code mapping'!A:C,3,0)</f>
        <v>LIC36</v>
      </c>
      <c r="G3087" s="127" t="s">
        <v>453</v>
      </c>
      <c r="H3087" s="127" t="s">
        <v>810</v>
      </c>
      <c r="I3087" s="127" t="s">
        <v>60</v>
      </c>
      <c r="J3087" s="128">
        <v>152000</v>
      </c>
      <c r="K3087" s="127" t="s">
        <v>478</v>
      </c>
      <c r="L3087" s="151">
        <v>152120</v>
      </c>
      <c r="M3087" s="128">
        <v>0</v>
      </c>
      <c r="N3087" s="127" t="s">
        <v>479</v>
      </c>
      <c r="O3087" s="127" t="s">
        <v>457</v>
      </c>
      <c r="P3087" s="128">
        <v>-88167438.359999999</v>
      </c>
      <c r="Q3087" s="128">
        <v>0</v>
      </c>
      <c r="R3087" s="128">
        <v>0</v>
      </c>
      <c r="S3087" s="128">
        <v>0</v>
      </c>
      <c r="T3087" s="128">
        <v>-88167438.359999999</v>
      </c>
      <c r="U3087" s="128">
        <v>0</v>
      </c>
      <c r="V3087" s="128">
        <v>-88167438.359999999</v>
      </c>
      <c r="W3087" s="128">
        <v>0</v>
      </c>
      <c r="X3087" s="128">
        <v>0</v>
      </c>
      <c r="Y3087" s="128">
        <v>0</v>
      </c>
      <c r="Z3087" s="128">
        <v>-88167438.359999999</v>
      </c>
      <c r="AA3087" s="128">
        <v>0</v>
      </c>
      <c r="AB3087" s="126">
        <f t="shared" si="315"/>
        <v>8.8167438360000006</v>
      </c>
      <c r="AC3087" s="122" t="s">
        <v>1838</v>
      </c>
      <c r="AD3087" s="123">
        <f t="shared" si="316"/>
        <v>1983.9723217250009</v>
      </c>
    </row>
    <row r="3088" spans="1:30" ht="12.75" hidden="1" customHeight="1">
      <c r="A3088" s="125" t="str">
        <f t="shared" si="312"/>
        <v>LIC36Amort Receivable-CP</v>
      </c>
      <c r="B3088" s="125">
        <f>+IFERROR(VLOOKUP(L3088,'TB mapping'!A:D,4,0),0)</f>
        <v>0</v>
      </c>
      <c r="C3088" s="125">
        <f>+IFERROR(VLOOKUP(L3088,'TB mapping'!A:C,3,0),0)</f>
        <v>0</v>
      </c>
      <c r="D3088" s="125" t="str">
        <f t="shared" si="313"/>
        <v>LIC360</v>
      </c>
      <c r="E3088" s="125" t="str">
        <f t="shared" si="314"/>
        <v>LIC360</v>
      </c>
      <c r="F3088" s="158" t="str">
        <f>+VLOOKUP(H3088,'code mapping'!A:C,3,0)</f>
        <v>LIC36</v>
      </c>
      <c r="G3088" s="127" t="s">
        <v>453</v>
      </c>
      <c r="H3088" s="127" t="s">
        <v>810</v>
      </c>
      <c r="I3088" s="127" t="s">
        <v>60</v>
      </c>
      <c r="J3088" s="128">
        <v>152000</v>
      </c>
      <c r="K3088" s="127" t="s">
        <v>478</v>
      </c>
      <c r="L3088" s="151">
        <v>152180</v>
      </c>
      <c r="M3088" s="128">
        <v>0</v>
      </c>
      <c r="N3088" s="127" t="s">
        <v>646</v>
      </c>
      <c r="O3088" s="127" t="s">
        <v>457</v>
      </c>
      <c r="P3088" s="128">
        <v>-325468736.89999998</v>
      </c>
      <c r="Q3088" s="128">
        <v>0</v>
      </c>
      <c r="R3088" s="128">
        <v>0</v>
      </c>
      <c r="S3088" s="128">
        <v>0</v>
      </c>
      <c r="T3088" s="128">
        <v>-325468736.89999998</v>
      </c>
      <c r="U3088" s="128">
        <v>0</v>
      </c>
      <c r="V3088" s="128">
        <v>-325468736.89999998</v>
      </c>
      <c r="W3088" s="128">
        <v>0</v>
      </c>
      <c r="X3088" s="128">
        <v>0</v>
      </c>
      <c r="Y3088" s="128">
        <v>0</v>
      </c>
      <c r="Z3088" s="128">
        <v>-325468736.89999998</v>
      </c>
      <c r="AA3088" s="128">
        <v>0</v>
      </c>
      <c r="AB3088" s="126">
        <f t="shared" si="315"/>
        <v>32.546873689999998</v>
      </c>
      <c r="AC3088" s="122" t="s">
        <v>1838</v>
      </c>
      <c r="AD3088" s="123">
        <f t="shared" si="316"/>
        <v>1983.9723217250009</v>
      </c>
    </row>
    <row r="3089" spans="1:30" ht="12.75" hidden="1" customHeight="1">
      <c r="A3089" s="125" t="str">
        <f t="shared" si="312"/>
        <v>LIC36Amort Receivable-CD</v>
      </c>
      <c r="B3089" s="125">
        <f>+IFERROR(VLOOKUP(L3089,'TB mapping'!A:D,4,0),0)</f>
        <v>0</v>
      </c>
      <c r="C3089" s="125">
        <f>+IFERROR(VLOOKUP(L3089,'TB mapping'!A:C,3,0),0)</f>
        <v>0</v>
      </c>
      <c r="D3089" s="125" t="str">
        <f t="shared" si="313"/>
        <v>LIC360</v>
      </c>
      <c r="E3089" s="125" t="str">
        <f t="shared" si="314"/>
        <v>LIC360</v>
      </c>
      <c r="F3089" s="158" t="str">
        <f>+VLOOKUP(H3089,'code mapping'!A:C,3,0)</f>
        <v>LIC36</v>
      </c>
      <c r="G3089" s="127" t="s">
        <v>453</v>
      </c>
      <c r="H3089" s="127" t="s">
        <v>810</v>
      </c>
      <c r="I3089" s="127" t="s">
        <v>60</v>
      </c>
      <c r="J3089" s="128">
        <v>152000</v>
      </c>
      <c r="K3089" s="127" t="s">
        <v>478</v>
      </c>
      <c r="L3089" s="151">
        <v>152181</v>
      </c>
      <c r="M3089" s="128">
        <v>0</v>
      </c>
      <c r="N3089" s="127" t="s">
        <v>731</v>
      </c>
      <c r="O3089" s="127" t="s">
        <v>457</v>
      </c>
      <c r="P3089" s="128">
        <v>-86724525.760000005</v>
      </c>
      <c r="Q3089" s="128">
        <v>0</v>
      </c>
      <c r="R3089" s="128">
        <v>0</v>
      </c>
      <c r="S3089" s="128">
        <v>0</v>
      </c>
      <c r="T3089" s="128">
        <v>-86724525.760000005</v>
      </c>
      <c r="U3089" s="128">
        <v>0</v>
      </c>
      <c r="V3089" s="128">
        <v>-86724525.760000005</v>
      </c>
      <c r="W3089" s="128">
        <v>0</v>
      </c>
      <c r="X3089" s="128">
        <v>0</v>
      </c>
      <c r="Y3089" s="128">
        <v>0</v>
      </c>
      <c r="Z3089" s="128">
        <v>-86724525.760000005</v>
      </c>
      <c r="AA3089" s="128">
        <v>0</v>
      </c>
      <c r="AB3089" s="126">
        <f t="shared" si="315"/>
        <v>8.6724525760000013</v>
      </c>
      <c r="AC3089" s="122" t="s">
        <v>1838</v>
      </c>
      <c r="AD3089" s="123">
        <f t="shared" si="316"/>
        <v>1983.9723217250009</v>
      </c>
    </row>
    <row r="3090" spans="1:30" ht="12.75" hidden="1" customHeight="1">
      <c r="A3090" s="125" t="str">
        <f t="shared" si="312"/>
        <v>LIC36Int. Accrual -Fixed Deposit</v>
      </c>
      <c r="B3090" s="125">
        <f>+IFERROR(VLOOKUP(L3090,'TB mapping'!A:D,4,0),0)</f>
        <v>0</v>
      </c>
      <c r="C3090" s="125">
        <f>+IFERROR(VLOOKUP(L3090,'TB mapping'!A:C,3,0),0)</f>
        <v>0</v>
      </c>
      <c r="D3090" s="125" t="str">
        <f t="shared" si="313"/>
        <v>LIC360</v>
      </c>
      <c r="E3090" s="125" t="str">
        <f t="shared" si="314"/>
        <v>LIC360</v>
      </c>
      <c r="F3090" s="158" t="str">
        <f>+VLOOKUP(H3090,'code mapping'!A:C,3,0)</f>
        <v>LIC36</v>
      </c>
      <c r="G3090" s="127" t="s">
        <v>453</v>
      </c>
      <c r="H3090" s="127" t="s">
        <v>810</v>
      </c>
      <c r="I3090" s="127" t="s">
        <v>60</v>
      </c>
      <c r="J3090" s="128">
        <v>152000</v>
      </c>
      <c r="K3090" s="127" t="s">
        <v>478</v>
      </c>
      <c r="L3090" s="151">
        <v>152191</v>
      </c>
      <c r="M3090" s="128">
        <v>0</v>
      </c>
      <c r="N3090" s="127" t="s">
        <v>813</v>
      </c>
      <c r="O3090" s="127" t="s">
        <v>457</v>
      </c>
      <c r="P3090" s="128">
        <v>-10345890.41</v>
      </c>
      <c r="Q3090" s="128">
        <v>0</v>
      </c>
      <c r="R3090" s="128">
        <v>0</v>
      </c>
      <c r="S3090" s="128">
        <v>0</v>
      </c>
      <c r="T3090" s="128">
        <v>-10345890.41</v>
      </c>
      <c r="U3090" s="128">
        <v>0</v>
      </c>
      <c r="V3090" s="128">
        <v>-10345890.41</v>
      </c>
      <c r="W3090" s="128">
        <v>0</v>
      </c>
      <c r="X3090" s="128">
        <v>0</v>
      </c>
      <c r="Y3090" s="128">
        <v>0</v>
      </c>
      <c r="Z3090" s="128">
        <v>-10345890.41</v>
      </c>
      <c r="AA3090" s="128">
        <v>0</v>
      </c>
      <c r="AB3090" s="126">
        <f t="shared" si="315"/>
        <v>1.034589041</v>
      </c>
      <c r="AC3090" s="122" t="s">
        <v>1838</v>
      </c>
      <c r="AD3090" s="123">
        <f t="shared" si="316"/>
        <v>1983.9723217250009</v>
      </c>
    </row>
    <row r="3091" spans="1:30" ht="12.75" hidden="1" customHeight="1">
      <c r="A3091" s="125" t="str">
        <f t="shared" si="312"/>
        <v>LIC36Amort Receivable - CBLO</v>
      </c>
      <c r="B3091" s="125">
        <f>+IFERROR(VLOOKUP(L3091,'TB mapping'!A:D,4,0),0)</f>
        <v>0</v>
      </c>
      <c r="C3091" s="125">
        <f>+IFERROR(VLOOKUP(L3091,'TB mapping'!A:C,3,0),0)</f>
        <v>0</v>
      </c>
      <c r="D3091" s="125" t="str">
        <f t="shared" si="313"/>
        <v>LIC360</v>
      </c>
      <c r="E3091" s="125" t="str">
        <f t="shared" si="314"/>
        <v>LIC360</v>
      </c>
      <c r="F3091" s="158" t="str">
        <f>+VLOOKUP(H3091,'code mapping'!A:C,3,0)</f>
        <v>LIC36</v>
      </c>
      <c r="G3091" s="127" t="s">
        <v>453</v>
      </c>
      <c r="H3091" s="127" t="s">
        <v>810</v>
      </c>
      <c r="I3091" s="127" t="s">
        <v>60</v>
      </c>
      <c r="J3091" s="128">
        <v>152000</v>
      </c>
      <c r="K3091" s="127" t="s">
        <v>478</v>
      </c>
      <c r="L3091" s="151">
        <v>152232</v>
      </c>
      <c r="M3091" s="128">
        <v>0</v>
      </c>
      <c r="N3091" s="127" t="s">
        <v>482</v>
      </c>
      <c r="O3091" s="127" t="s">
        <v>457</v>
      </c>
      <c r="P3091" s="128">
        <v>-3.7</v>
      </c>
      <c r="Q3091" s="128">
        <v>0</v>
      </c>
      <c r="R3091" s="128">
        <v>0</v>
      </c>
      <c r="S3091" s="128">
        <v>0</v>
      </c>
      <c r="T3091" s="128">
        <v>-3.7</v>
      </c>
      <c r="U3091" s="128">
        <v>0</v>
      </c>
      <c r="V3091" s="128">
        <v>-3.7</v>
      </c>
      <c r="W3091" s="128">
        <v>0</v>
      </c>
      <c r="X3091" s="128">
        <v>0</v>
      </c>
      <c r="Y3091" s="128">
        <v>0</v>
      </c>
      <c r="Z3091" s="128">
        <v>-3.7</v>
      </c>
      <c r="AA3091" s="128">
        <v>0</v>
      </c>
      <c r="AB3091" s="126">
        <f t="shared" si="315"/>
        <v>3.7E-7</v>
      </c>
      <c r="AC3091" s="122" t="s">
        <v>1838</v>
      </c>
      <c r="AD3091" s="123">
        <f t="shared" si="316"/>
        <v>1983.9723217250009</v>
      </c>
    </row>
    <row r="3092" spans="1:30" ht="12.75" hidden="1" customHeight="1">
      <c r="A3092" s="125" t="str">
        <f t="shared" si="312"/>
        <v>LIC36Amortisation/Accretion-Bills</v>
      </c>
      <c r="B3092" s="125">
        <f>+IFERROR(VLOOKUP(L3092,'TB mapping'!A:D,4,0),0)</f>
        <v>0</v>
      </c>
      <c r="C3092" s="125">
        <f>+IFERROR(VLOOKUP(L3092,'TB mapping'!A:C,3,0),0)</f>
        <v>0</v>
      </c>
      <c r="D3092" s="125" t="str">
        <f t="shared" si="313"/>
        <v>LIC360</v>
      </c>
      <c r="E3092" s="125" t="str">
        <f t="shared" si="314"/>
        <v>LIC360</v>
      </c>
      <c r="F3092" s="158" t="str">
        <f>+VLOOKUP(H3092,'code mapping'!A:C,3,0)</f>
        <v>LIC36</v>
      </c>
      <c r="G3092" s="127" t="s">
        <v>453</v>
      </c>
      <c r="H3092" s="127" t="s">
        <v>810</v>
      </c>
      <c r="I3092" s="127" t="s">
        <v>60</v>
      </c>
      <c r="J3092" s="128">
        <v>152000</v>
      </c>
      <c r="K3092" s="127" t="s">
        <v>478</v>
      </c>
      <c r="L3092" s="151">
        <v>153001</v>
      </c>
      <c r="M3092" s="128">
        <v>0</v>
      </c>
      <c r="N3092" s="127" t="s">
        <v>647</v>
      </c>
      <c r="O3092" s="127" t="s">
        <v>457</v>
      </c>
      <c r="P3092" s="128">
        <v>-3964413.17</v>
      </c>
      <c r="Q3092" s="128">
        <v>0</v>
      </c>
      <c r="R3092" s="128">
        <v>0</v>
      </c>
      <c r="S3092" s="128">
        <v>0</v>
      </c>
      <c r="T3092" s="128">
        <v>-3964413.17</v>
      </c>
      <c r="U3092" s="128">
        <v>0</v>
      </c>
      <c r="V3092" s="128">
        <v>-3964413.17</v>
      </c>
      <c r="W3092" s="128">
        <v>0</v>
      </c>
      <c r="X3092" s="128">
        <v>0</v>
      </c>
      <c r="Y3092" s="128">
        <v>0</v>
      </c>
      <c r="Z3092" s="128">
        <v>-3964413.17</v>
      </c>
      <c r="AA3092" s="128">
        <v>0</v>
      </c>
      <c r="AB3092" s="126">
        <f t="shared" si="315"/>
        <v>0.39644131700000002</v>
      </c>
      <c r="AC3092" s="122" t="s">
        <v>1838</v>
      </c>
      <c r="AD3092" s="123">
        <f t="shared" si="316"/>
        <v>1983.9723217250009</v>
      </c>
    </row>
    <row r="3093" spans="1:30" ht="12.75" hidden="1" customHeight="1">
      <c r="A3093" s="125" t="str">
        <f t="shared" si="312"/>
        <v>LIC36Prov Unr P/L - Treasury Bills</v>
      </c>
      <c r="B3093" s="125">
        <f>+IFERROR(VLOOKUP(L3093,'TB mapping'!A:D,4,0),0)</f>
        <v>0</v>
      </c>
      <c r="C3093" s="125">
        <f>+IFERROR(VLOOKUP(L3093,'TB mapping'!A:C,3,0),0)</f>
        <v>0</v>
      </c>
      <c r="D3093" s="125" t="str">
        <f t="shared" si="313"/>
        <v>LIC360</v>
      </c>
      <c r="E3093" s="125" t="str">
        <f t="shared" si="314"/>
        <v>LIC360</v>
      </c>
      <c r="F3093" s="158" t="str">
        <f>+VLOOKUP(H3093,'code mapping'!A:C,3,0)</f>
        <v>LIC36</v>
      </c>
      <c r="G3093" s="127" t="s">
        <v>453</v>
      </c>
      <c r="H3093" s="127" t="s">
        <v>810</v>
      </c>
      <c r="I3093" s="127" t="s">
        <v>60</v>
      </c>
      <c r="J3093" s="128">
        <v>160000</v>
      </c>
      <c r="K3093" s="127" t="s">
        <v>483</v>
      </c>
      <c r="L3093" s="151">
        <v>162110</v>
      </c>
      <c r="M3093" s="128">
        <v>0</v>
      </c>
      <c r="N3093" s="127" t="s">
        <v>648</v>
      </c>
      <c r="O3093" s="127" t="s">
        <v>457</v>
      </c>
      <c r="P3093" s="128">
        <v>-244691.38</v>
      </c>
      <c r="Q3093" s="128">
        <v>0</v>
      </c>
      <c r="R3093" s="128">
        <v>0</v>
      </c>
      <c r="S3093" s="128">
        <v>0</v>
      </c>
      <c r="T3093" s="128">
        <v>-244691.38</v>
      </c>
      <c r="U3093" s="128">
        <v>0</v>
      </c>
      <c r="V3093" s="128">
        <v>-244691.38</v>
      </c>
      <c r="W3093" s="128">
        <v>0</v>
      </c>
      <c r="X3093" s="128">
        <v>0</v>
      </c>
      <c r="Y3093" s="128">
        <v>0</v>
      </c>
      <c r="Z3093" s="128">
        <v>-244691.38</v>
      </c>
      <c r="AA3093" s="128">
        <v>0</v>
      </c>
      <c r="AB3093" s="126">
        <f t="shared" si="315"/>
        <v>2.4469138000000001E-2</v>
      </c>
      <c r="AC3093" s="122" t="s">
        <v>1838</v>
      </c>
      <c r="AD3093" s="123">
        <f t="shared" si="316"/>
        <v>1983.9723217250009</v>
      </c>
    </row>
    <row r="3094" spans="1:30" ht="12.75" hidden="1" customHeight="1">
      <c r="A3094" s="125" t="str">
        <f t="shared" si="312"/>
        <v>LIC36Prov Unr P/L - CorpBond/Debent</v>
      </c>
      <c r="B3094" s="125">
        <f>+IFERROR(VLOOKUP(L3094,'TB mapping'!A:D,4,0),0)</f>
        <v>0</v>
      </c>
      <c r="C3094" s="125">
        <f>+IFERROR(VLOOKUP(L3094,'TB mapping'!A:C,3,0),0)</f>
        <v>0</v>
      </c>
      <c r="D3094" s="125" t="str">
        <f t="shared" si="313"/>
        <v>LIC360</v>
      </c>
      <c r="E3094" s="125" t="str">
        <f t="shared" si="314"/>
        <v>LIC360</v>
      </c>
      <c r="F3094" s="158" t="str">
        <f>+VLOOKUP(H3094,'code mapping'!A:C,3,0)</f>
        <v>LIC36</v>
      </c>
      <c r="G3094" s="127" t="s">
        <v>453</v>
      </c>
      <c r="H3094" s="127" t="s">
        <v>810</v>
      </c>
      <c r="I3094" s="127" t="s">
        <v>60</v>
      </c>
      <c r="J3094" s="128">
        <v>160000</v>
      </c>
      <c r="K3094" s="127" t="s">
        <v>483</v>
      </c>
      <c r="L3094" s="151">
        <v>162120</v>
      </c>
      <c r="M3094" s="128">
        <v>0</v>
      </c>
      <c r="N3094" s="127" t="s">
        <v>484</v>
      </c>
      <c r="O3094" s="127" t="s">
        <v>457</v>
      </c>
      <c r="P3094" s="128">
        <v>-521210</v>
      </c>
      <c r="Q3094" s="128">
        <v>0</v>
      </c>
      <c r="R3094" s="128">
        <v>0</v>
      </c>
      <c r="S3094" s="128">
        <v>0</v>
      </c>
      <c r="T3094" s="128">
        <v>-521210</v>
      </c>
      <c r="U3094" s="128">
        <v>0</v>
      </c>
      <c r="V3094" s="128">
        <v>-521210</v>
      </c>
      <c r="W3094" s="128">
        <v>0</v>
      </c>
      <c r="X3094" s="128">
        <v>0</v>
      </c>
      <c r="Y3094" s="128">
        <v>0</v>
      </c>
      <c r="Z3094" s="128">
        <v>-521210</v>
      </c>
      <c r="AA3094" s="128">
        <v>0</v>
      </c>
      <c r="AB3094" s="126">
        <f t="shared" si="315"/>
        <v>5.2121000000000001E-2</v>
      </c>
      <c r="AC3094" s="122" t="s">
        <v>1838</v>
      </c>
      <c r="AD3094" s="123">
        <f t="shared" si="316"/>
        <v>1983.9723217250009</v>
      </c>
    </row>
    <row r="3095" spans="1:30" ht="12.75" hidden="1" customHeight="1">
      <c r="A3095" s="125" t="str">
        <f t="shared" si="312"/>
        <v>LIC36Prov Unr P/L -Commercial Paper</v>
      </c>
      <c r="B3095" s="125">
        <f>+IFERROR(VLOOKUP(L3095,'TB mapping'!A:D,4,0),0)</f>
        <v>0</v>
      </c>
      <c r="C3095" s="125">
        <f>+IFERROR(VLOOKUP(L3095,'TB mapping'!A:C,3,0),0)</f>
        <v>0</v>
      </c>
      <c r="D3095" s="125" t="str">
        <f t="shared" si="313"/>
        <v>LIC360</v>
      </c>
      <c r="E3095" s="125" t="str">
        <f t="shared" si="314"/>
        <v>LIC360</v>
      </c>
      <c r="F3095" s="158" t="str">
        <f>+VLOOKUP(H3095,'code mapping'!A:C,3,0)</f>
        <v>LIC36</v>
      </c>
      <c r="G3095" s="127" t="s">
        <v>453</v>
      </c>
      <c r="H3095" s="127" t="s">
        <v>810</v>
      </c>
      <c r="I3095" s="127" t="s">
        <v>60</v>
      </c>
      <c r="J3095" s="128">
        <v>160000</v>
      </c>
      <c r="K3095" s="127" t="s">
        <v>483</v>
      </c>
      <c r="L3095" s="151">
        <v>162180</v>
      </c>
      <c r="M3095" s="128">
        <v>0</v>
      </c>
      <c r="N3095" s="127" t="s">
        <v>649</v>
      </c>
      <c r="O3095" s="127" t="s">
        <v>457</v>
      </c>
      <c r="P3095" s="128">
        <v>-61816135.600000001</v>
      </c>
      <c r="Q3095" s="128">
        <v>0</v>
      </c>
      <c r="R3095" s="128">
        <v>0</v>
      </c>
      <c r="S3095" s="128">
        <v>0</v>
      </c>
      <c r="T3095" s="128">
        <v>-61816135.600000001</v>
      </c>
      <c r="U3095" s="128">
        <v>0</v>
      </c>
      <c r="V3095" s="128">
        <v>-61816135.600000001</v>
      </c>
      <c r="W3095" s="128">
        <v>0</v>
      </c>
      <c r="X3095" s="128">
        <v>0</v>
      </c>
      <c r="Y3095" s="128">
        <v>0</v>
      </c>
      <c r="Z3095" s="128">
        <v>-61816135.600000001</v>
      </c>
      <c r="AA3095" s="128">
        <v>0</v>
      </c>
      <c r="AB3095" s="126">
        <f t="shared" si="315"/>
        <v>6.1816135599999997</v>
      </c>
      <c r="AC3095" s="122" t="s">
        <v>1838</v>
      </c>
      <c r="AD3095" s="123">
        <f t="shared" si="316"/>
        <v>1983.9723217250009</v>
      </c>
    </row>
    <row r="3096" spans="1:30" ht="12.75" hidden="1" customHeight="1">
      <c r="A3096" s="125" t="str">
        <f t="shared" si="312"/>
        <v>LIC36Prov Unr P/L - Cert of Deposit</v>
      </c>
      <c r="B3096" s="125">
        <f>+IFERROR(VLOOKUP(L3096,'TB mapping'!A:D,4,0),0)</f>
        <v>0</v>
      </c>
      <c r="C3096" s="125">
        <f>+IFERROR(VLOOKUP(L3096,'TB mapping'!A:C,3,0),0)</f>
        <v>0</v>
      </c>
      <c r="D3096" s="125" t="str">
        <f t="shared" si="313"/>
        <v>LIC360</v>
      </c>
      <c r="E3096" s="125" t="str">
        <f t="shared" si="314"/>
        <v>LIC360</v>
      </c>
      <c r="F3096" s="158" t="str">
        <f>+VLOOKUP(H3096,'code mapping'!A:C,3,0)</f>
        <v>LIC36</v>
      </c>
      <c r="G3096" s="127" t="s">
        <v>453</v>
      </c>
      <c r="H3096" s="127" t="s">
        <v>810</v>
      </c>
      <c r="I3096" s="127" t="s">
        <v>60</v>
      </c>
      <c r="J3096" s="128">
        <v>160000</v>
      </c>
      <c r="K3096" s="127" t="s">
        <v>483</v>
      </c>
      <c r="L3096" s="151">
        <v>162190</v>
      </c>
      <c r="M3096" s="128">
        <v>0</v>
      </c>
      <c r="N3096" s="127" t="s">
        <v>732</v>
      </c>
      <c r="O3096" s="127" t="s">
        <v>457</v>
      </c>
      <c r="P3096" s="128">
        <v>-13791334.5</v>
      </c>
      <c r="Q3096" s="128">
        <v>0</v>
      </c>
      <c r="R3096" s="128">
        <v>0</v>
      </c>
      <c r="S3096" s="128">
        <v>0</v>
      </c>
      <c r="T3096" s="128">
        <v>-13791334.5</v>
      </c>
      <c r="U3096" s="128">
        <v>0</v>
      </c>
      <c r="V3096" s="128">
        <v>-13791334.5</v>
      </c>
      <c r="W3096" s="128">
        <v>0</v>
      </c>
      <c r="X3096" s="128">
        <v>0</v>
      </c>
      <c r="Y3096" s="128">
        <v>0</v>
      </c>
      <c r="Z3096" s="128">
        <v>-13791334.5</v>
      </c>
      <c r="AA3096" s="128">
        <v>0</v>
      </c>
      <c r="AB3096" s="126">
        <f t="shared" si="315"/>
        <v>1.3791334500000001</v>
      </c>
      <c r="AC3096" s="122" t="s">
        <v>1838</v>
      </c>
      <c r="AD3096" s="123">
        <f t="shared" si="316"/>
        <v>1983.9723217250009</v>
      </c>
    </row>
    <row r="3097" spans="1:30" ht="12.75" hidden="1" customHeight="1">
      <c r="A3097" s="125" t="str">
        <f t="shared" si="312"/>
        <v>LIC36Payable - Withhold Brokerage</v>
      </c>
      <c r="B3097" s="125">
        <f>+IFERROR(VLOOKUP(L3097,'TB mapping'!A:D,4,0),0)</f>
        <v>0</v>
      </c>
      <c r="C3097" s="125">
        <f>+IFERROR(VLOOKUP(L3097,'TB mapping'!A:C,3,0),0)</f>
        <v>0</v>
      </c>
      <c r="D3097" s="125" t="str">
        <f t="shared" si="313"/>
        <v>LIC360</v>
      </c>
      <c r="E3097" s="125" t="str">
        <f t="shared" si="314"/>
        <v>LIC360</v>
      </c>
      <c r="F3097" s="158" t="str">
        <f>+VLOOKUP(H3097,'code mapping'!A:C,3,0)</f>
        <v>LIC36</v>
      </c>
      <c r="G3097" s="127" t="s">
        <v>453</v>
      </c>
      <c r="H3097" s="127" t="s">
        <v>810</v>
      </c>
      <c r="I3097" s="127" t="s">
        <v>60</v>
      </c>
      <c r="J3097" s="128">
        <v>212000</v>
      </c>
      <c r="K3097" s="127" t="s">
        <v>487</v>
      </c>
      <c r="L3097" s="151">
        <v>210164</v>
      </c>
      <c r="M3097" s="128">
        <v>0</v>
      </c>
      <c r="N3097" s="127" t="s">
        <v>488</v>
      </c>
      <c r="O3097" s="127" t="s">
        <v>457</v>
      </c>
      <c r="P3097" s="128">
        <v>0</v>
      </c>
      <c r="Q3097" s="128">
        <v>230553.08</v>
      </c>
      <c r="R3097" s="128">
        <v>0</v>
      </c>
      <c r="S3097" s="128">
        <v>0</v>
      </c>
      <c r="T3097" s="128">
        <v>0</v>
      </c>
      <c r="U3097" s="128">
        <v>230553.08</v>
      </c>
      <c r="V3097" s="128">
        <v>0</v>
      </c>
      <c r="W3097" s="128">
        <v>230553.08</v>
      </c>
      <c r="X3097" s="128">
        <v>0</v>
      </c>
      <c r="Y3097" s="128">
        <v>0</v>
      </c>
      <c r="Z3097" s="128">
        <v>0</v>
      </c>
      <c r="AA3097" s="128">
        <v>230553.08</v>
      </c>
      <c r="AB3097" s="126">
        <f t="shared" si="315"/>
        <v>-2.3055308E-2</v>
      </c>
      <c r="AC3097" s="122" t="s">
        <v>1838</v>
      </c>
      <c r="AD3097" s="123">
        <f t="shared" si="316"/>
        <v>1983.9723217250009</v>
      </c>
    </row>
    <row r="3098" spans="1:30" ht="12.75" hidden="1" customHeight="1">
      <c r="A3098" s="125" t="str">
        <f t="shared" si="312"/>
        <v>LIC36Dividend Payable</v>
      </c>
      <c r="B3098" s="125">
        <f>+IFERROR(VLOOKUP(L3098,'TB mapping'!A:D,4,0),0)</f>
        <v>0</v>
      </c>
      <c r="C3098" s="125">
        <f>+IFERROR(VLOOKUP(L3098,'TB mapping'!A:C,3,0),0)</f>
        <v>0</v>
      </c>
      <c r="D3098" s="125" t="str">
        <f t="shared" si="313"/>
        <v>LIC360</v>
      </c>
      <c r="E3098" s="125" t="str">
        <f t="shared" si="314"/>
        <v>LIC360</v>
      </c>
      <c r="F3098" s="158" t="str">
        <f>+VLOOKUP(H3098,'code mapping'!A:C,3,0)</f>
        <v>LIC36</v>
      </c>
      <c r="G3098" s="127" t="s">
        <v>453</v>
      </c>
      <c r="H3098" s="127" t="s">
        <v>810</v>
      </c>
      <c r="I3098" s="127" t="s">
        <v>60</v>
      </c>
      <c r="J3098" s="128">
        <v>212000</v>
      </c>
      <c r="K3098" s="127" t="s">
        <v>487</v>
      </c>
      <c r="L3098" s="151">
        <v>212100</v>
      </c>
      <c r="M3098" s="128">
        <v>0</v>
      </c>
      <c r="N3098" s="127" t="s">
        <v>489</v>
      </c>
      <c r="O3098" s="127" t="s">
        <v>457</v>
      </c>
      <c r="P3098" s="128">
        <v>0</v>
      </c>
      <c r="Q3098" s="128">
        <v>826762.77</v>
      </c>
      <c r="R3098" s="128">
        <v>0</v>
      </c>
      <c r="S3098" s="128">
        <v>0</v>
      </c>
      <c r="T3098" s="128">
        <v>0</v>
      </c>
      <c r="U3098" s="128">
        <v>826762.77</v>
      </c>
      <c r="V3098" s="128">
        <v>0</v>
      </c>
      <c r="W3098" s="128">
        <v>826762.77</v>
      </c>
      <c r="X3098" s="128">
        <v>0</v>
      </c>
      <c r="Y3098" s="128">
        <v>0</v>
      </c>
      <c r="Z3098" s="128">
        <v>0</v>
      </c>
      <c r="AA3098" s="128">
        <v>826762.77</v>
      </c>
      <c r="AB3098" s="126">
        <f t="shared" si="315"/>
        <v>-8.2676277000000006E-2</v>
      </c>
      <c r="AC3098" s="122" t="s">
        <v>1838</v>
      </c>
      <c r="AD3098" s="123">
        <f t="shared" si="316"/>
        <v>1983.9723217250009</v>
      </c>
    </row>
    <row r="3099" spans="1:30" ht="12.75" hidden="1" customHeight="1">
      <c r="A3099" s="125" t="str">
        <f t="shared" si="312"/>
        <v>LIC36Redemption Payable Ct</v>
      </c>
      <c r="B3099" s="125">
        <f>+IFERROR(VLOOKUP(L3099,'TB mapping'!A:D,4,0),0)</f>
        <v>0</v>
      </c>
      <c r="C3099" s="125">
        <f>+IFERROR(VLOOKUP(L3099,'TB mapping'!A:C,3,0),0)</f>
        <v>0</v>
      </c>
      <c r="D3099" s="125" t="str">
        <f t="shared" si="313"/>
        <v>LIC360</v>
      </c>
      <c r="E3099" s="125" t="str">
        <f t="shared" si="314"/>
        <v>LIC360</v>
      </c>
      <c r="F3099" s="158" t="str">
        <f>+VLOOKUP(H3099,'code mapping'!A:C,3,0)</f>
        <v>LIC36</v>
      </c>
      <c r="G3099" s="127" t="s">
        <v>453</v>
      </c>
      <c r="H3099" s="127" t="s">
        <v>810</v>
      </c>
      <c r="I3099" s="127" t="s">
        <v>60</v>
      </c>
      <c r="J3099" s="128">
        <v>212000</v>
      </c>
      <c r="K3099" s="127" t="s">
        <v>487</v>
      </c>
      <c r="L3099" s="151">
        <v>212121</v>
      </c>
      <c r="M3099" s="128">
        <v>0</v>
      </c>
      <c r="N3099" s="127" t="s">
        <v>493</v>
      </c>
      <c r="O3099" s="127" t="s">
        <v>457</v>
      </c>
      <c r="P3099" s="128">
        <v>-1680113.83</v>
      </c>
      <c r="Q3099" s="128">
        <v>0</v>
      </c>
      <c r="R3099" s="128">
        <v>0</v>
      </c>
      <c r="S3099" s="128">
        <v>0</v>
      </c>
      <c r="T3099" s="128">
        <v>-1680113.83</v>
      </c>
      <c r="U3099" s="128">
        <v>0</v>
      </c>
      <c r="V3099" s="128">
        <v>-1680113.83</v>
      </c>
      <c r="W3099" s="128">
        <v>0</v>
      </c>
      <c r="X3099" s="128">
        <v>0</v>
      </c>
      <c r="Y3099" s="128">
        <v>0</v>
      </c>
      <c r="Z3099" s="128">
        <v>-1680113.83</v>
      </c>
      <c r="AA3099" s="128">
        <v>0</v>
      </c>
      <c r="AB3099" s="126">
        <f t="shared" si="315"/>
        <v>0.16801138300000001</v>
      </c>
      <c r="AC3099" s="122" t="s">
        <v>1838</v>
      </c>
      <c r="AD3099" s="123">
        <f t="shared" si="316"/>
        <v>1983.9723217250009</v>
      </c>
    </row>
    <row r="3100" spans="1:30" ht="12.75" hidden="1" customHeight="1">
      <c r="A3100" s="125" t="str">
        <f t="shared" si="312"/>
        <v>LIC36Switch Out Payable Ct</v>
      </c>
      <c r="B3100" s="125">
        <f>+IFERROR(VLOOKUP(L3100,'TB mapping'!A:D,4,0),0)</f>
        <v>0</v>
      </c>
      <c r="C3100" s="125">
        <f>+IFERROR(VLOOKUP(L3100,'TB mapping'!A:C,3,0),0)</f>
        <v>0</v>
      </c>
      <c r="D3100" s="125" t="str">
        <f t="shared" si="313"/>
        <v>LIC360</v>
      </c>
      <c r="E3100" s="125" t="str">
        <f t="shared" si="314"/>
        <v>LIC360</v>
      </c>
      <c r="F3100" s="158" t="str">
        <f>+VLOOKUP(H3100,'code mapping'!A:C,3,0)</f>
        <v>LIC36</v>
      </c>
      <c r="G3100" s="127" t="s">
        <v>453</v>
      </c>
      <c r="H3100" s="127" t="s">
        <v>810</v>
      </c>
      <c r="I3100" s="127" t="s">
        <v>60</v>
      </c>
      <c r="J3100" s="128">
        <v>212000</v>
      </c>
      <c r="K3100" s="127" t="s">
        <v>487</v>
      </c>
      <c r="L3100" s="151">
        <v>212124</v>
      </c>
      <c r="M3100" s="128">
        <v>0</v>
      </c>
      <c r="N3100" s="127" t="s">
        <v>494</v>
      </c>
      <c r="O3100" s="127" t="s">
        <v>457</v>
      </c>
      <c r="P3100" s="128">
        <v>-21.07</v>
      </c>
      <c r="Q3100" s="128">
        <v>0</v>
      </c>
      <c r="R3100" s="128">
        <v>0</v>
      </c>
      <c r="S3100" s="128">
        <v>0</v>
      </c>
      <c r="T3100" s="128">
        <v>-21.07</v>
      </c>
      <c r="U3100" s="128">
        <v>0</v>
      </c>
      <c r="V3100" s="128">
        <v>-21.07</v>
      </c>
      <c r="W3100" s="128">
        <v>0</v>
      </c>
      <c r="X3100" s="128">
        <v>0</v>
      </c>
      <c r="Y3100" s="128">
        <v>0</v>
      </c>
      <c r="Z3100" s="128">
        <v>-21.07</v>
      </c>
      <c r="AA3100" s="128">
        <v>0</v>
      </c>
      <c r="AB3100" s="126">
        <f t="shared" si="315"/>
        <v>2.1069999999999999E-6</v>
      </c>
      <c r="AC3100" s="122" t="s">
        <v>1838</v>
      </c>
      <c r="AD3100" s="123">
        <f t="shared" si="316"/>
        <v>1983.9723217250009</v>
      </c>
    </row>
    <row r="3101" spans="1:30" ht="12.75" hidden="1" customHeight="1">
      <c r="A3101" s="125" t="str">
        <f t="shared" si="312"/>
        <v>LIC36CBLO Borrowing A/c</v>
      </c>
      <c r="B3101" s="125">
        <f>+IFERROR(VLOOKUP(L3101,'TB mapping'!A:D,4,0),0)</f>
        <v>0</v>
      </c>
      <c r="C3101" s="125">
        <f>+IFERROR(VLOOKUP(L3101,'TB mapping'!A:C,3,0),0)</f>
        <v>0</v>
      </c>
      <c r="D3101" s="125" t="str">
        <f t="shared" si="313"/>
        <v>LIC360</v>
      </c>
      <c r="E3101" s="125" t="str">
        <f t="shared" si="314"/>
        <v>LIC360</v>
      </c>
      <c r="F3101" s="158" t="str">
        <f>+VLOOKUP(H3101,'code mapping'!A:C,3,0)</f>
        <v>LIC36</v>
      </c>
      <c r="G3101" s="127" t="s">
        <v>453</v>
      </c>
      <c r="H3101" s="127" t="s">
        <v>810</v>
      </c>
      <c r="I3101" s="127" t="s">
        <v>60</v>
      </c>
      <c r="J3101" s="128">
        <v>212000</v>
      </c>
      <c r="K3101" s="127" t="s">
        <v>487</v>
      </c>
      <c r="L3101" s="151">
        <v>212181</v>
      </c>
      <c r="M3101" s="128">
        <v>0</v>
      </c>
      <c r="N3101" s="127" t="s">
        <v>733</v>
      </c>
      <c r="O3101" s="127" t="s">
        <v>457</v>
      </c>
      <c r="P3101" s="128">
        <v>0</v>
      </c>
      <c r="Q3101" s="128">
        <v>1744334270.6900001</v>
      </c>
      <c r="R3101" s="128">
        <v>0</v>
      </c>
      <c r="S3101" s="128">
        <v>0</v>
      </c>
      <c r="T3101" s="128">
        <v>0</v>
      </c>
      <c r="U3101" s="128">
        <v>1744334270.6900001</v>
      </c>
      <c r="V3101" s="128">
        <v>0</v>
      </c>
      <c r="W3101" s="128">
        <v>1744334270.6900001</v>
      </c>
      <c r="X3101" s="128">
        <v>0</v>
      </c>
      <c r="Y3101" s="128">
        <v>0</v>
      </c>
      <c r="Z3101" s="128">
        <v>0</v>
      </c>
      <c r="AA3101" s="128">
        <v>1744334270.6900001</v>
      </c>
      <c r="AB3101" s="126">
        <f t="shared" si="315"/>
        <v>-174.433427069</v>
      </c>
      <c r="AC3101" s="122" t="s">
        <v>1838</v>
      </c>
      <c r="AD3101" s="123">
        <f t="shared" si="316"/>
        <v>1983.9723217250009</v>
      </c>
    </row>
    <row r="3102" spans="1:30" ht="12.75" hidden="1" customHeight="1">
      <c r="A3102" s="125" t="str">
        <f t="shared" si="312"/>
        <v>LIC36Audit Fee-Payable</v>
      </c>
      <c r="B3102" s="125">
        <f>+IFERROR(VLOOKUP(L3102,'TB mapping'!A:D,4,0),0)</f>
        <v>0</v>
      </c>
      <c r="C3102" s="125">
        <f>+IFERROR(VLOOKUP(L3102,'TB mapping'!A:C,3,0),0)</f>
        <v>0</v>
      </c>
      <c r="D3102" s="125" t="str">
        <f t="shared" si="313"/>
        <v>LIC360</v>
      </c>
      <c r="E3102" s="125" t="str">
        <f t="shared" si="314"/>
        <v>LIC360</v>
      </c>
      <c r="F3102" s="158" t="str">
        <f>+VLOOKUP(H3102,'code mapping'!A:C,3,0)</f>
        <v>LIC36</v>
      </c>
      <c r="G3102" s="127" t="s">
        <v>453</v>
      </c>
      <c r="H3102" s="127" t="s">
        <v>810</v>
      </c>
      <c r="I3102" s="127" t="s">
        <v>60</v>
      </c>
      <c r="J3102" s="128">
        <v>212000</v>
      </c>
      <c r="K3102" s="127" t="s">
        <v>487</v>
      </c>
      <c r="L3102" s="151">
        <v>212194</v>
      </c>
      <c r="M3102" s="128">
        <v>0</v>
      </c>
      <c r="N3102" s="127" t="s">
        <v>496</v>
      </c>
      <c r="O3102" s="127" t="s">
        <v>457</v>
      </c>
      <c r="P3102" s="128">
        <v>-573.06000000000006</v>
      </c>
      <c r="Q3102" s="128">
        <v>0</v>
      </c>
      <c r="R3102" s="128">
        <v>0</v>
      </c>
      <c r="S3102" s="128">
        <v>0</v>
      </c>
      <c r="T3102" s="128">
        <v>-573.06000000000006</v>
      </c>
      <c r="U3102" s="128">
        <v>0</v>
      </c>
      <c r="V3102" s="128">
        <v>-573.06000000000006</v>
      </c>
      <c r="W3102" s="128">
        <v>0</v>
      </c>
      <c r="X3102" s="128">
        <v>0</v>
      </c>
      <c r="Y3102" s="128">
        <v>0</v>
      </c>
      <c r="Z3102" s="128">
        <v>-573.06000000000006</v>
      </c>
      <c r="AA3102" s="128">
        <v>0</v>
      </c>
      <c r="AB3102" s="126">
        <f t="shared" si="315"/>
        <v>5.7306000000000003E-5</v>
      </c>
      <c r="AC3102" s="122" t="s">
        <v>1838</v>
      </c>
      <c r="AD3102" s="123">
        <f t="shared" si="316"/>
        <v>1983.9723217250009</v>
      </c>
    </row>
    <row r="3103" spans="1:30" ht="12.75" hidden="1" customHeight="1">
      <c r="A3103" s="125" t="str">
        <f t="shared" si="312"/>
        <v>LIC36Other Exp- Payable</v>
      </c>
      <c r="B3103" s="125">
        <f>+IFERROR(VLOOKUP(L3103,'TB mapping'!A:D,4,0),0)</f>
        <v>0</v>
      </c>
      <c r="C3103" s="125">
        <f>+IFERROR(VLOOKUP(L3103,'TB mapping'!A:C,3,0),0)</f>
        <v>0</v>
      </c>
      <c r="D3103" s="125" t="str">
        <f t="shared" si="313"/>
        <v>LIC360</v>
      </c>
      <c r="E3103" s="125" t="str">
        <f t="shared" si="314"/>
        <v>LIC360</v>
      </c>
      <c r="F3103" s="158" t="str">
        <f>+VLOOKUP(H3103,'code mapping'!A:C,3,0)</f>
        <v>LIC36</v>
      </c>
      <c r="G3103" s="127" t="s">
        <v>453</v>
      </c>
      <c r="H3103" s="127" t="s">
        <v>810</v>
      </c>
      <c r="I3103" s="127" t="s">
        <v>60</v>
      </c>
      <c r="J3103" s="128">
        <v>212000</v>
      </c>
      <c r="K3103" s="127" t="s">
        <v>487</v>
      </c>
      <c r="L3103" s="151">
        <v>212220</v>
      </c>
      <c r="M3103" s="128">
        <v>0</v>
      </c>
      <c r="N3103" s="127" t="s">
        <v>497</v>
      </c>
      <c r="O3103" s="127" t="s">
        <v>457</v>
      </c>
      <c r="P3103" s="128">
        <v>0</v>
      </c>
      <c r="Q3103" s="128">
        <v>43344233.479999997</v>
      </c>
      <c r="R3103" s="128">
        <v>0</v>
      </c>
      <c r="S3103" s="128">
        <v>0</v>
      </c>
      <c r="T3103" s="128">
        <v>0</v>
      </c>
      <c r="U3103" s="128">
        <v>43344233.479999997</v>
      </c>
      <c r="V3103" s="128">
        <v>0</v>
      </c>
      <c r="W3103" s="128">
        <v>43344233.479999997</v>
      </c>
      <c r="X3103" s="128">
        <v>0</v>
      </c>
      <c r="Y3103" s="128">
        <v>0</v>
      </c>
      <c r="Z3103" s="128">
        <v>0</v>
      </c>
      <c r="AA3103" s="128">
        <v>43344233.479999997</v>
      </c>
      <c r="AB3103" s="126">
        <f t="shared" si="315"/>
        <v>-4.3344233479999996</v>
      </c>
      <c r="AC3103" s="122" t="s">
        <v>1838</v>
      </c>
      <c r="AD3103" s="123">
        <f t="shared" si="316"/>
        <v>1983.9723217250009</v>
      </c>
    </row>
    <row r="3104" spans="1:30" ht="12.75" hidden="1" customHeight="1">
      <c r="A3104" s="125" t="str">
        <f t="shared" si="312"/>
        <v>LIC36Expense Allocation-Liab'ity Ac</v>
      </c>
      <c r="B3104" s="125">
        <f>+IFERROR(VLOOKUP(L3104,'TB mapping'!A:D,4,0),0)</f>
        <v>0</v>
      </c>
      <c r="C3104" s="125">
        <f>+IFERROR(VLOOKUP(L3104,'TB mapping'!A:C,3,0),0)</f>
        <v>0</v>
      </c>
      <c r="D3104" s="125" t="str">
        <f t="shared" si="313"/>
        <v>LIC360</v>
      </c>
      <c r="E3104" s="125" t="str">
        <f t="shared" si="314"/>
        <v>LIC360</v>
      </c>
      <c r="F3104" s="158" t="str">
        <f>+VLOOKUP(H3104,'code mapping'!A:C,3,0)</f>
        <v>LIC36</v>
      </c>
      <c r="G3104" s="127" t="s">
        <v>453</v>
      </c>
      <c r="H3104" s="127" t="s">
        <v>810</v>
      </c>
      <c r="I3104" s="127" t="s">
        <v>60</v>
      </c>
      <c r="J3104" s="128">
        <v>212000</v>
      </c>
      <c r="K3104" s="127" t="s">
        <v>487</v>
      </c>
      <c r="L3104" s="151">
        <v>212223</v>
      </c>
      <c r="M3104" s="128">
        <v>0</v>
      </c>
      <c r="N3104" s="127" t="s">
        <v>498</v>
      </c>
      <c r="O3104" s="127" t="s">
        <v>457</v>
      </c>
      <c r="P3104" s="128">
        <v>-38547029.020000003</v>
      </c>
      <c r="Q3104" s="128">
        <v>0</v>
      </c>
      <c r="R3104" s="128">
        <v>0</v>
      </c>
      <c r="S3104" s="128">
        <v>0</v>
      </c>
      <c r="T3104" s="128">
        <v>-38547029.020000003</v>
      </c>
      <c r="U3104" s="128">
        <v>0</v>
      </c>
      <c r="V3104" s="128">
        <v>-38547029.020000003</v>
      </c>
      <c r="W3104" s="128">
        <v>0</v>
      </c>
      <c r="X3104" s="128">
        <v>0</v>
      </c>
      <c r="Y3104" s="128">
        <v>0</v>
      </c>
      <c r="Z3104" s="128">
        <v>-38547029.020000003</v>
      </c>
      <c r="AA3104" s="128">
        <v>0</v>
      </c>
      <c r="AB3104" s="126">
        <f t="shared" si="315"/>
        <v>3.8547029020000005</v>
      </c>
      <c r="AC3104" s="122" t="s">
        <v>1838</v>
      </c>
      <c r="AD3104" s="123">
        <f t="shared" si="316"/>
        <v>1983.9723217250009</v>
      </c>
    </row>
    <row r="3105" spans="1:30" ht="12.75" hidden="1" customHeight="1">
      <c r="A3105" s="125" t="str">
        <f t="shared" si="312"/>
        <v>LIC36NRI TDS Payable</v>
      </c>
      <c r="B3105" s="125">
        <f>+IFERROR(VLOOKUP(L3105,'TB mapping'!A:D,4,0),0)</f>
        <v>0</v>
      </c>
      <c r="C3105" s="125">
        <f>+IFERROR(VLOOKUP(L3105,'TB mapping'!A:C,3,0),0)</f>
        <v>0</v>
      </c>
      <c r="D3105" s="125" t="str">
        <f t="shared" si="313"/>
        <v>LIC360</v>
      </c>
      <c r="E3105" s="125" t="str">
        <f t="shared" si="314"/>
        <v>LIC360</v>
      </c>
      <c r="F3105" s="158" t="str">
        <f>+VLOOKUP(H3105,'code mapping'!A:C,3,0)</f>
        <v>LIC36</v>
      </c>
      <c r="G3105" s="127" t="s">
        <v>453</v>
      </c>
      <c r="H3105" s="127" t="s">
        <v>810</v>
      </c>
      <c r="I3105" s="127" t="s">
        <v>60</v>
      </c>
      <c r="J3105" s="128">
        <v>212000</v>
      </c>
      <c r="K3105" s="127" t="s">
        <v>487</v>
      </c>
      <c r="L3105" s="151">
        <v>212233</v>
      </c>
      <c r="M3105" s="128">
        <v>0</v>
      </c>
      <c r="N3105" s="127" t="s">
        <v>499</v>
      </c>
      <c r="O3105" s="127" t="s">
        <v>457</v>
      </c>
      <c r="P3105" s="128">
        <v>0</v>
      </c>
      <c r="Q3105" s="128">
        <v>3454.02</v>
      </c>
      <c r="R3105" s="128">
        <v>0</v>
      </c>
      <c r="S3105" s="128">
        <v>0</v>
      </c>
      <c r="T3105" s="128">
        <v>0</v>
      </c>
      <c r="U3105" s="128">
        <v>3454.02</v>
      </c>
      <c r="V3105" s="128">
        <v>0</v>
      </c>
      <c r="W3105" s="128">
        <v>3454.02</v>
      </c>
      <c r="X3105" s="128">
        <v>0</v>
      </c>
      <c r="Y3105" s="128">
        <v>0</v>
      </c>
      <c r="Z3105" s="128">
        <v>0</v>
      </c>
      <c r="AA3105" s="128">
        <v>3454.02</v>
      </c>
      <c r="AB3105" s="126">
        <f t="shared" si="315"/>
        <v>-3.4540200000000002E-4</v>
      </c>
      <c r="AC3105" s="122" t="s">
        <v>1838</v>
      </c>
      <c r="AD3105" s="123">
        <f t="shared" ref="AD3105:AD3128" si="317">SUMIF(C:C,C3105,AB:AB)</f>
        <v>1983.9723217250009</v>
      </c>
    </row>
    <row r="3106" spans="1:30" ht="12.75" hidden="1" customHeight="1">
      <c r="A3106" s="125" t="str">
        <f t="shared" si="312"/>
        <v>LIC36Investor Education Payable</v>
      </c>
      <c r="B3106" s="125">
        <f>+IFERROR(VLOOKUP(L3106,'TB mapping'!A:D,4,0),0)</f>
        <v>0</v>
      </c>
      <c r="C3106" s="125">
        <f>+IFERROR(VLOOKUP(L3106,'TB mapping'!A:C,3,0),0)</f>
        <v>0</v>
      </c>
      <c r="D3106" s="125" t="str">
        <f t="shared" si="313"/>
        <v>LIC360</v>
      </c>
      <c r="E3106" s="125" t="str">
        <f t="shared" si="314"/>
        <v>LIC360</v>
      </c>
      <c r="F3106" s="158" t="str">
        <f>+VLOOKUP(H3106,'code mapping'!A:C,3,0)</f>
        <v>LIC36</v>
      </c>
      <c r="G3106" s="127" t="s">
        <v>453</v>
      </c>
      <c r="H3106" s="127" t="s">
        <v>810</v>
      </c>
      <c r="I3106" s="127" t="s">
        <v>60</v>
      </c>
      <c r="J3106" s="128">
        <v>212000</v>
      </c>
      <c r="K3106" s="127" t="s">
        <v>487</v>
      </c>
      <c r="L3106" s="151">
        <v>212240</v>
      </c>
      <c r="M3106" s="128">
        <v>0</v>
      </c>
      <c r="N3106" s="127" t="s">
        <v>500</v>
      </c>
      <c r="O3106" s="127" t="s">
        <v>457</v>
      </c>
      <c r="P3106" s="128">
        <v>0</v>
      </c>
      <c r="Q3106" s="128">
        <v>1080313.17</v>
      </c>
      <c r="R3106" s="128">
        <v>0</v>
      </c>
      <c r="S3106" s="128">
        <v>0</v>
      </c>
      <c r="T3106" s="128">
        <v>0</v>
      </c>
      <c r="U3106" s="128">
        <v>1080313.17</v>
      </c>
      <c r="V3106" s="128">
        <v>0</v>
      </c>
      <c r="W3106" s="128">
        <v>1080313.17</v>
      </c>
      <c r="X3106" s="128">
        <v>0</v>
      </c>
      <c r="Y3106" s="128">
        <v>0</v>
      </c>
      <c r="Z3106" s="128">
        <v>0</v>
      </c>
      <c r="AA3106" s="128">
        <v>1080313.17</v>
      </c>
      <c r="AB3106" s="126">
        <f t="shared" si="315"/>
        <v>-0.10803131699999999</v>
      </c>
      <c r="AC3106" s="122" t="s">
        <v>1838</v>
      </c>
      <c r="AD3106" s="123">
        <f t="shared" si="317"/>
        <v>1983.9723217250009</v>
      </c>
    </row>
    <row r="3107" spans="1:30" ht="12.75" hidden="1" customHeight="1">
      <c r="A3107" s="125" t="str">
        <f t="shared" si="312"/>
        <v>LIC36Payable - Dividend Dist Tax</v>
      </c>
      <c r="B3107" s="125">
        <f>+IFERROR(VLOOKUP(L3107,'TB mapping'!A:D,4,0),0)</f>
        <v>0</v>
      </c>
      <c r="C3107" s="125">
        <f>+IFERROR(VLOOKUP(L3107,'TB mapping'!A:C,3,0),0)</f>
        <v>0</v>
      </c>
      <c r="D3107" s="125" t="str">
        <f t="shared" si="313"/>
        <v>LIC360</v>
      </c>
      <c r="E3107" s="125" t="str">
        <f t="shared" si="314"/>
        <v>LIC360</v>
      </c>
      <c r="F3107" s="158" t="str">
        <f>+VLOOKUP(H3107,'code mapping'!A:C,3,0)</f>
        <v>LIC36</v>
      </c>
      <c r="G3107" s="127" t="s">
        <v>453</v>
      </c>
      <c r="H3107" s="127" t="s">
        <v>810</v>
      </c>
      <c r="I3107" s="127" t="s">
        <v>60</v>
      </c>
      <c r="J3107" s="128">
        <v>212000</v>
      </c>
      <c r="K3107" s="127" t="s">
        <v>487</v>
      </c>
      <c r="L3107" s="151">
        <v>212242</v>
      </c>
      <c r="M3107" s="128">
        <v>0</v>
      </c>
      <c r="N3107" s="127" t="s">
        <v>650</v>
      </c>
      <c r="O3107" s="127" t="s">
        <v>457</v>
      </c>
      <c r="P3107" s="128">
        <v>0</v>
      </c>
      <c r="Q3107" s="128">
        <v>3397620.72</v>
      </c>
      <c r="R3107" s="128">
        <v>0</v>
      </c>
      <c r="S3107" s="128">
        <v>0</v>
      </c>
      <c r="T3107" s="128">
        <v>0</v>
      </c>
      <c r="U3107" s="128">
        <v>3397620.72</v>
      </c>
      <c r="V3107" s="128">
        <v>0</v>
      </c>
      <c r="W3107" s="128">
        <v>3397620.72</v>
      </c>
      <c r="X3107" s="128">
        <v>0</v>
      </c>
      <c r="Y3107" s="128">
        <v>0</v>
      </c>
      <c r="Z3107" s="128">
        <v>0</v>
      </c>
      <c r="AA3107" s="128">
        <v>3397620.72</v>
      </c>
      <c r="AB3107" s="126">
        <f t="shared" si="315"/>
        <v>-0.33976207200000003</v>
      </c>
      <c r="AC3107" s="122" t="s">
        <v>1838</v>
      </c>
      <c r="AD3107" s="123">
        <f t="shared" si="317"/>
        <v>1983.9723217250009</v>
      </c>
    </row>
    <row r="3108" spans="1:30" ht="12.75" hidden="1" customHeight="1">
      <c r="A3108" s="125" t="str">
        <f t="shared" si="312"/>
        <v>LIC36Transaction Charges Payable</v>
      </c>
      <c r="B3108" s="125">
        <f>+IFERROR(VLOOKUP(L3108,'TB mapping'!A:D,4,0),0)</f>
        <v>0</v>
      </c>
      <c r="C3108" s="125">
        <f>+IFERROR(VLOOKUP(L3108,'TB mapping'!A:C,3,0),0)</f>
        <v>0</v>
      </c>
      <c r="D3108" s="125" t="str">
        <f t="shared" si="313"/>
        <v>LIC360</v>
      </c>
      <c r="E3108" s="125" t="str">
        <f t="shared" si="314"/>
        <v>LIC360</v>
      </c>
      <c r="F3108" s="158" t="str">
        <f>+VLOOKUP(H3108,'code mapping'!A:C,3,0)</f>
        <v>LIC36</v>
      </c>
      <c r="G3108" s="127" t="s">
        <v>453</v>
      </c>
      <c r="H3108" s="127" t="s">
        <v>810</v>
      </c>
      <c r="I3108" s="127" t="s">
        <v>60</v>
      </c>
      <c r="J3108" s="128">
        <v>212000</v>
      </c>
      <c r="K3108" s="127" t="s">
        <v>487</v>
      </c>
      <c r="L3108" s="151">
        <v>212247</v>
      </c>
      <c r="M3108" s="128">
        <v>0</v>
      </c>
      <c r="N3108" s="127" t="s">
        <v>501</v>
      </c>
      <c r="O3108" s="127" t="s">
        <v>457</v>
      </c>
      <c r="P3108" s="128">
        <v>0</v>
      </c>
      <c r="Q3108" s="128">
        <v>12013.5</v>
      </c>
      <c r="R3108" s="128">
        <v>0</v>
      </c>
      <c r="S3108" s="128">
        <v>0</v>
      </c>
      <c r="T3108" s="128">
        <v>0</v>
      </c>
      <c r="U3108" s="128">
        <v>12013.5</v>
      </c>
      <c r="V3108" s="128">
        <v>0</v>
      </c>
      <c r="W3108" s="128">
        <v>12013.5</v>
      </c>
      <c r="X3108" s="128">
        <v>0</v>
      </c>
      <c r="Y3108" s="128">
        <v>0</v>
      </c>
      <c r="Z3108" s="128">
        <v>0</v>
      </c>
      <c r="AA3108" s="128">
        <v>12013.5</v>
      </c>
      <c r="AB3108" s="126">
        <f t="shared" si="315"/>
        <v>-1.2013499999999999E-3</v>
      </c>
      <c r="AC3108" s="122" t="s">
        <v>1838</v>
      </c>
      <c r="AD3108" s="123">
        <f t="shared" si="317"/>
        <v>1983.9723217250009</v>
      </c>
    </row>
    <row r="3109" spans="1:30" ht="12.75" hidden="1" customHeight="1">
      <c r="A3109" s="125" t="str">
        <f t="shared" si="312"/>
        <v>LIC36Brokerage &amp; Dist Exp Payable</v>
      </c>
      <c r="B3109" s="125">
        <f>+IFERROR(VLOOKUP(L3109,'TB mapping'!A:D,4,0),0)</f>
        <v>0</v>
      </c>
      <c r="C3109" s="125">
        <f>+IFERROR(VLOOKUP(L3109,'TB mapping'!A:C,3,0),0)</f>
        <v>0</v>
      </c>
      <c r="D3109" s="125" t="str">
        <f t="shared" si="313"/>
        <v>LIC360</v>
      </c>
      <c r="E3109" s="125" t="str">
        <f t="shared" si="314"/>
        <v>LIC360</v>
      </c>
      <c r="F3109" s="158" t="str">
        <f>+VLOOKUP(H3109,'code mapping'!A:C,3,0)</f>
        <v>LIC36</v>
      </c>
      <c r="G3109" s="127" t="s">
        <v>453</v>
      </c>
      <c r="H3109" s="127" t="s">
        <v>810</v>
      </c>
      <c r="I3109" s="127" t="s">
        <v>60</v>
      </c>
      <c r="J3109" s="128">
        <v>212000</v>
      </c>
      <c r="K3109" s="127" t="s">
        <v>487</v>
      </c>
      <c r="L3109" s="151">
        <v>212255</v>
      </c>
      <c r="M3109" s="128">
        <v>0</v>
      </c>
      <c r="N3109" s="127" t="s">
        <v>503</v>
      </c>
      <c r="O3109" s="127" t="s">
        <v>457</v>
      </c>
      <c r="P3109" s="128">
        <v>0</v>
      </c>
      <c r="Q3109" s="128">
        <v>4439440.4000000004</v>
      </c>
      <c r="R3109" s="128">
        <v>0</v>
      </c>
      <c r="S3109" s="128">
        <v>0</v>
      </c>
      <c r="T3109" s="128">
        <v>0</v>
      </c>
      <c r="U3109" s="128">
        <v>4439440.4000000004</v>
      </c>
      <c r="V3109" s="128">
        <v>0</v>
      </c>
      <c r="W3109" s="128">
        <v>4439440.4000000004</v>
      </c>
      <c r="X3109" s="128">
        <v>0</v>
      </c>
      <c r="Y3109" s="128">
        <v>0</v>
      </c>
      <c r="Z3109" s="128">
        <v>0</v>
      </c>
      <c r="AA3109" s="128">
        <v>4439440.4000000004</v>
      </c>
      <c r="AB3109" s="126">
        <f t="shared" si="315"/>
        <v>-0.44394404000000004</v>
      </c>
      <c r="AC3109" s="122" t="s">
        <v>1838</v>
      </c>
      <c r="AD3109" s="123">
        <f t="shared" si="317"/>
        <v>1983.9723217250009</v>
      </c>
    </row>
    <row r="3110" spans="1:30" ht="12.75" hidden="1" customHeight="1">
      <c r="A3110" s="125" t="str">
        <f t="shared" si="312"/>
        <v>LIC36Upfront Brk &amp; Trail Paid-Liab</v>
      </c>
      <c r="B3110" s="125">
        <f>+IFERROR(VLOOKUP(L3110,'TB mapping'!A:D,4,0),0)</f>
        <v>0</v>
      </c>
      <c r="C3110" s="125">
        <f>+IFERROR(VLOOKUP(L3110,'TB mapping'!A:C,3,0),0)</f>
        <v>0</v>
      </c>
      <c r="D3110" s="125" t="str">
        <f t="shared" si="313"/>
        <v>LIC360</v>
      </c>
      <c r="E3110" s="125" t="str">
        <f t="shared" si="314"/>
        <v>LIC360</v>
      </c>
      <c r="F3110" s="158" t="str">
        <f>+VLOOKUP(H3110,'code mapping'!A:C,3,0)</f>
        <v>LIC36</v>
      </c>
      <c r="G3110" s="127" t="s">
        <v>453</v>
      </c>
      <c r="H3110" s="127" t="s">
        <v>810</v>
      </c>
      <c r="I3110" s="127" t="s">
        <v>60</v>
      </c>
      <c r="J3110" s="128">
        <v>212000</v>
      </c>
      <c r="K3110" s="127" t="s">
        <v>487</v>
      </c>
      <c r="L3110" s="151">
        <v>212257</v>
      </c>
      <c r="M3110" s="128">
        <v>0</v>
      </c>
      <c r="N3110" s="127" t="s">
        <v>504</v>
      </c>
      <c r="O3110" s="127" t="s">
        <v>457</v>
      </c>
      <c r="P3110" s="128">
        <v>-36380.720000000001</v>
      </c>
      <c r="Q3110" s="128">
        <v>0</v>
      </c>
      <c r="R3110" s="128">
        <v>0</v>
      </c>
      <c r="S3110" s="128">
        <v>0</v>
      </c>
      <c r="T3110" s="128">
        <v>-36380.720000000001</v>
      </c>
      <c r="U3110" s="128">
        <v>0</v>
      </c>
      <c r="V3110" s="128">
        <v>-36380.720000000001</v>
      </c>
      <c r="W3110" s="128">
        <v>0</v>
      </c>
      <c r="X3110" s="128">
        <v>0</v>
      </c>
      <c r="Y3110" s="128">
        <v>0</v>
      </c>
      <c r="Z3110" s="128">
        <v>-36380.720000000001</v>
      </c>
      <c r="AA3110" s="128">
        <v>0</v>
      </c>
      <c r="AB3110" s="126">
        <f t="shared" si="315"/>
        <v>3.638072E-3</v>
      </c>
      <c r="AC3110" s="122" t="s">
        <v>1838</v>
      </c>
      <c r="AD3110" s="123">
        <f t="shared" si="317"/>
        <v>1983.9723217250009</v>
      </c>
    </row>
    <row r="3111" spans="1:30" ht="12.75" hidden="1" customHeight="1">
      <c r="A3111" s="125" t="str">
        <f t="shared" si="312"/>
        <v>LIC36Payable CGST on Mfees</v>
      </c>
      <c r="B3111" s="125">
        <f>+IFERROR(VLOOKUP(L3111,'TB mapping'!A:D,4,0),0)</f>
        <v>0</v>
      </c>
      <c r="C3111" s="125">
        <f>+IFERROR(VLOOKUP(L3111,'TB mapping'!A:C,3,0),0)</f>
        <v>0</v>
      </c>
      <c r="D3111" s="125" t="str">
        <f t="shared" si="313"/>
        <v>LIC360</v>
      </c>
      <c r="E3111" s="125" t="str">
        <f t="shared" si="314"/>
        <v>LIC360</v>
      </c>
      <c r="F3111" s="158" t="str">
        <f>+VLOOKUP(H3111,'code mapping'!A:C,3,0)</f>
        <v>LIC36</v>
      </c>
      <c r="G3111" s="127" t="s">
        <v>453</v>
      </c>
      <c r="H3111" s="127" t="s">
        <v>810</v>
      </c>
      <c r="I3111" s="127" t="s">
        <v>60</v>
      </c>
      <c r="J3111" s="128">
        <v>212000</v>
      </c>
      <c r="K3111" s="127" t="s">
        <v>487</v>
      </c>
      <c r="L3111" s="151">
        <v>212271</v>
      </c>
      <c r="M3111" s="128">
        <v>0</v>
      </c>
      <c r="N3111" s="127" t="s">
        <v>505</v>
      </c>
      <c r="O3111" s="127" t="s">
        <v>457</v>
      </c>
      <c r="P3111" s="128">
        <v>0</v>
      </c>
      <c r="Q3111" s="128">
        <v>34771.760000000002</v>
      </c>
      <c r="R3111" s="128">
        <v>0</v>
      </c>
      <c r="S3111" s="128">
        <v>0</v>
      </c>
      <c r="T3111" s="128">
        <v>0</v>
      </c>
      <c r="U3111" s="128">
        <v>34771.760000000002</v>
      </c>
      <c r="V3111" s="128">
        <v>0</v>
      </c>
      <c r="W3111" s="128">
        <v>34771.760000000002</v>
      </c>
      <c r="X3111" s="128">
        <v>0</v>
      </c>
      <c r="Y3111" s="128">
        <v>0</v>
      </c>
      <c r="Z3111" s="128">
        <v>0</v>
      </c>
      <c r="AA3111" s="128">
        <v>34771.760000000002</v>
      </c>
      <c r="AB3111" s="126">
        <f t="shared" si="315"/>
        <v>-3.4771760000000002E-3</v>
      </c>
      <c r="AC3111" s="122" t="s">
        <v>1838</v>
      </c>
      <c r="AD3111" s="123">
        <f t="shared" si="317"/>
        <v>1983.9723217250009</v>
      </c>
    </row>
    <row r="3112" spans="1:30" ht="12.75" hidden="1" customHeight="1">
      <c r="A3112" s="125" t="str">
        <f t="shared" si="312"/>
        <v>LIC36Payable SGST on Mfees</v>
      </c>
      <c r="B3112" s="125">
        <f>+IFERROR(VLOOKUP(L3112,'TB mapping'!A:D,4,0),0)</f>
        <v>0</v>
      </c>
      <c r="C3112" s="125">
        <f>+IFERROR(VLOOKUP(L3112,'TB mapping'!A:C,3,0),0)</f>
        <v>0</v>
      </c>
      <c r="D3112" s="125" t="str">
        <f t="shared" si="313"/>
        <v>LIC360</v>
      </c>
      <c r="E3112" s="125" t="str">
        <f t="shared" si="314"/>
        <v>LIC360</v>
      </c>
      <c r="F3112" s="158" t="str">
        <f>+VLOOKUP(H3112,'code mapping'!A:C,3,0)</f>
        <v>LIC36</v>
      </c>
      <c r="G3112" s="127" t="s">
        <v>453</v>
      </c>
      <c r="H3112" s="127" t="s">
        <v>810</v>
      </c>
      <c r="I3112" s="127" t="s">
        <v>60</v>
      </c>
      <c r="J3112" s="128">
        <v>212000</v>
      </c>
      <c r="K3112" s="127" t="s">
        <v>487</v>
      </c>
      <c r="L3112" s="151">
        <v>212272</v>
      </c>
      <c r="M3112" s="128">
        <v>0</v>
      </c>
      <c r="N3112" s="127" t="s">
        <v>506</v>
      </c>
      <c r="O3112" s="127" t="s">
        <v>457</v>
      </c>
      <c r="P3112" s="128">
        <v>0</v>
      </c>
      <c r="Q3112" s="128">
        <v>34771.760000000002</v>
      </c>
      <c r="R3112" s="128">
        <v>0</v>
      </c>
      <c r="S3112" s="128">
        <v>0</v>
      </c>
      <c r="T3112" s="128">
        <v>0</v>
      </c>
      <c r="U3112" s="128">
        <v>34771.760000000002</v>
      </c>
      <c r="V3112" s="128">
        <v>0</v>
      </c>
      <c r="W3112" s="128">
        <v>34771.760000000002</v>
      </c>
      <c r="X3112" s="128">
        <v>0</v>
      </c>
      <c r="Y3112" s="128">
        <v>0</v>
      </c>
      <c r="Z3112" s="128">
        <v>0</v>
      </c>
      <c r="AA3112" s="128">
        <v>34771.760000000002</v>
      </c>
      <c r="AB3112" s="126">
        <f t="shared" si="315"/>
        <v>-3.4771760000000002E-3</v>
      </c>
      <c r="AC3112" s="122" t="s">
        <v>1838</v>
      </c>
      <c r="AD3112" s="123">
        <f t="shared" si="317"/>
        <v>1983.9723217250009</v>
      </c>
    </row>
    <row r="3113" spans="1:30" ht="12.75" hidden="1" customHeight="1">
      <c r="A3113" s="125" t="str">
        <f t="shared" si="312"/>
        <v>LIC36Payable -Inv Educ Fund-AMFI</v>
      </c>
      <c r="B3113" s="125">
        <f>+IFERROR(VLOOKUP(L3113,'TB mapping'!A:D,4,0),0)</f>
        <v>0</v>
      </c>
      <c r="C3113" s="125">
        <f>+IFERROR(VLOOKUP(L3113,'TB mapping'!A:C,3,0),0)</f>
        <v>0</v>
      </c>
      <c r="D3113" s="125" t="str">
        <f t="shared" si="313"/>
        <v>LIC360</v>
      </c>
      <c r="E3113" s="125" t="str">
        <f t="shared" si="314"/>
        <v>LIC360</v>
      </c>
      <c r="F3113" s="158" t="str">
        <f>+VLOOKUP(H3113,'code mapping'!A:C,3,0)</f>
        <v>LIC36</v>
      </c>
      <c r="G3113" s="127" t="s">
        <v>453</v>
      </c>
      <c r="H3113" s="127" t="s">
        <v>810</v>
      </c>
      <c r="I3113" s="127" t="s">
        <v>60</v>
      </c>
      <c r="J3113" s="128">
        <v>212000</v>
      </c>
      <c r="K3113" s="127" t="s">
        <v>487</v>
      </c>
      <c r="L3113" s="151">
        <v>213166</v>
      </c>
      <c r="M3113" s="128">
        <v>0</v>
      </c>
      <c r="N3113" s="127" t="s">
        <v>507</v>
      </c>
      <c r="O3113" s="127" t="s">
        <v>457</v>
      </c>
      <c r="P3113" s="128">
        <v>0</v>
      </c>
      <c r="Q3113" s="128">
        <v>1080313.18</v>
      </c>
      <c r="R3113" s="128">
        <v>0</v>
      </c>
      <c r="S3113" s="128">
        <v>0</v>
      </c>
      <c r="T3113" s="128">
        <v>0</v>
      </c>
      <c r="U3113" s="128">
        <v>1080313.18</v>
      </c>
      <c r="V3113" s="128">
        <v>0</v>
      </c>
      <c r="W3113" s="128">
        <v>1080313.18</v>
      </c>
      <c r="X3113" s="128">
        <v>0</v>
      </c>
      <c r="Y3113" s="128">
        <v>0</v>
      </c>
      <c r="Z3113" s="128">
        <v>0</v>
      </c>
      <c r="AA3113" s="128">
        <v>1080313.18</v>
      </c>
      <c r="AB3113" s="126">
        <f t="shared" si="315"/>
        <v>-0.10803131799999999</v>
      </c>
      <c r="AC3113" s="122" t="s">
        <v>1838</v>
      </c>
      <c r="AD3113" s="123">
        <f t="shared" si="317"/>
        <v>1983.9723217250009</v>
      </c>
    </row>
    <row r="3114" spans="1:30" ht="12.75" hidden="1" customHeight="1">
      <c r="A3114" s="125" t="str">
        <f t="shared" si="312"/>
        <v>LIC36Interest Expense Payable</v>
      </c>
      <c r="B3114" s="125">
        <f>+IFERROR(VLOOKUP(L3114,'TB mapping'!A:D,4,0),0)</f>
        <v>0</v>
      </c>
      <c r="C3114" s="125">
        <f>+IFERROR(VLOOKUP(L3114,'TB mapping'!A:C,3,0),0)</f>
        <v>0</v>
      </c>
      <c r="D3114" s="125" t="str">
        <f t="shared" si="313"/>
        <v>LIC360</v>
      </c>
      <c r="E3114" s="125" t="str">
        <f t="shared" si="314"/>
        <v>LIC360</v>
      </c>
      <c r="F3114" s="158" t="str">
        <f>+VLOOKUP(H3114,'code mapping'!A:C,3,0)</f>
        <v>LIC36</v>
      </c>
      <c r="G3114" s="127" t="s">
        <v>453</v>
      </c>
      <c r="H3114" s="127" t="s">
        <v>810</v>
      </c>
      <c r="I3114" s="127" t="s">
        <v>60</v>
      </c>
      <c r="J3114" s="128">
        <v>212000</v>
      </c>
      <c r="K3114" s="127" t="s">
        <v>487</v>
      </c>
      <c r="L3114" s="151">
        <v>252226</v>
      </c>
      <c r="M3114" s="128">
        <v>0</v>
      </c>
      <c r="N3114" s="127" t="s">
        <v>734</v>
      </c>
      <c r="O3114" s="127" t="s">
        <v>457</v>
      </c>
      <c r="P3114" s="128">
        <v>0</v>
      </c>
      <c r="Q3114" s="128">
        <v>1110486.2</v>
      </c>
      <c r="R3114" s="128">
        <v>0</v>
      </c>
      <c r="S3114" s="128">
        <v>0</v>
      </c>
      <c r="T3114" s="128">
        <v>0</v>
      </c>
      <c r="U3114" s="128">
        <v>1110486.2</v>
      </c>
      <c r="V3114" s="128">
        <v>0</v>
      </c>
      <c r="W3114" s="128">
        <v>1110486.2</v>
      </c>
      <c r="X3114" s="128">
        <v>0</v>
      </c>
      <c r="Y3114" s="128">
        <v>0</v>
      </c>
      <c r="Z3114" s="128">
        <v>0</v>
      </c>
      <c r="AA3114" s="128">
        <v>1110486.2</v>
      </c>
      <c r="AB3114" s="126">
        <f t="shared" si="315"/>
        <v>-0.11104862</v>
      </c>
      <c r="AC3114" s="122" t="s">
        <v>1838</v>
      </c>
      <c r="AD3114" s="123">
        <f t="shared" si="317"/>
        <v>1983.9723217250009</v>
      </c>
    </row>
    <row r="3115" spans="1:30" ht="12.75" hidden="1" customHeight="1">
      <c r="A3115" s="125" t="str">
        <f t="shared" si="312"/>
        <v>LIC36Management Fee Payable</v>
      </c>
      <c r="B3115" s="125">
        <f>+IFERROR(VLOOKUP(L3115,'TB mapping'!A:D,4,0),0)</f>
        <v>0</v>
      </c>
      <c r="C3115" s="125">
        <f>+IFERROR(VLOOKUP(L3115,'TB mapping'!A:C,3,0),0)</f>
        <v>0</v>
      </c>
      <c r="D3115" s="125" t="str">
        <f t="shared" si="313"/>
        <v>LIC360</v>
      </c>
      <c r="E3115" s="125" t="str">
        <f t="shared" si="314"/>
        <v>LIC360</v>
      </c>
      <c r="F3115" s="158" t="str">
        <f>+VLOOKUP(H3115,'code mapping'!A:C,3,0)</f>
        <v>LIC36</v>
      </c>
      <c r="G3115" s="127" t="s">
        <v>453</v>
      </c>
      <c r="H3115" s="127" t="s">
        <v>810</v>
      </c>
      <c r="I3115" s="127" t="s">
        <v>60</v>
      </c>
      <c r="J3115" s="128">
        <v>213000</v>
      </c>
      <c r="K3115" s="127" t="s">
        <v>508</v>
      </c>
      <c r="L3115" s="151">
        <v>213500</v>
      </c>
      <c r="M3115" s="128">
        <v>0</v>
      </c>
      <c r="N3115" s="127" t="s">
        <v>509</v>
      </c>
      <c r="O3115" s="127" t="s">
        <v>457</v>
      </c>
      <c r="P3115" s="128">
        <v>0</v>
      </c>
      <c r="Q3115" s="128">
        <v>386353.14</v>
      </c>
      <c r="R3115" s="128">
        <v>0</v>
      </c>
      <c r="S3115" s="128">
        <v>0</v>
      </c>
      <c r="T3115" s="128">
        <v>0</v>
      </c>
      <c r="U3115" s="128">
        <v>386353.14</v>
      </c>
      <c r="V3115" s="128">
        <v>0</v>
      </c>
      <c r="W3115" s="128">
        <v>386353.14</v>
      </c>
      <c r="X3115" s="128">
        <v>0</v>
      </c>
      <c r="Y3115" s="128">
        <v>0</v>
      </c>
      <c r="Z3115" s="128">
        <v>0</v>
      </c>
      <c r="AA3115" s="128">
        <v>386353.14</v>
      </c>
      <c r="AB3115" s="126">
        <f t="shared" si="315"/>
        <v>-3.8635314000000004E-2</v>
      </c>
      <c r="AC3115" s="122" t="s">
        <v>1838</v>
      </c>
      <c r="AD3115" s="123">
        <f t="shared" si="317"/>
        <v>1983.9723217250009</v>
      </c>
    </row>
    <row r="3116" spans="1:30" ht="12.75" hidden="1" customHeight="1">
      <c r="A3116" s="125" t="str">
        <f t="shared" si="312"/>
        <v>LIC36Other Adjustment A/c.</v>
      </c>
      <c r="B3116" s="125">
        <f>+IFERROR(VLOOKUP(L3116,'TB mapping'!A:D,4,0),0)</f>
        <v>0</v>
      </c>
      <c r="C3116" s="125">
        <f>+IFERROR(VLOOKUP(L3116,'TB mapping'!A:C,3,0),0)</f>
        <v>0</v>
      </c>
      <c r="D3116" s="125" t="str">
        <f t="shared" si="313"/>
        <v>LIC360</v>
      </c>
      <c r="E3116" s="125" t="str">
        <f t="shared" si="314"/>
        <v>LIC360</v>
      </c>
      <c r="F3116" s="158" t="str">
        <f>+VLOOKUP(H3116,'code mapping'!A:C,3,0)</f>
        <v>LIC36</v>
      </c>
      <c r="G3116" s="127" t="s">
        <v>453</v>
      </c>
      <c r="H3116" s="127" t="s">
        <v>810</v>
      </c>
      <c r="I3116" s="127" t="s">
        <v>60</v>
      </c>
      <c r="J3116" s="128">
        <v>220000</v>
      </c>
      <c r="K3116" s="127" t="s">
        <v>510</v>
      </c>
      <c r="L3116" s="151">
        <v>190000</v>
      </c>
      <c r="M3116" s="128">
        <v>0</v>
      </c>
      <c r="N3116" s="127" t="s">
        <v>511</v>
      </c>
      <c r="O3116" s="127" t="s">
        <v>457</v>
      </c>
      <c r="P3116" s="128">
        <v>-3.81</v>
      </c>
      <c r="Q3116" s="128">
        <v>0</v>
      </c>
      <c r="R3116" s="128">
        <v>0</v>
      </c>
      <c r="S3116" s="128">
        <v>0</v>
      </c>
      <c r="T3116" s="128">
        <v>-3.81</v>
      </c>
      <c r="U3116" s="128">
        <v>0</v>
      </c>
      <c r="V3116" s="128">
        <v>-3.81</v>
      </c>
      <c r="W3116" s="128">
        <v>0</v>
      </c>
      <c r="X3116" s="128">
        <v>0</v>
      </c>
      <c r="Y3116" s="128">
        <v>0</v>
      </c>
      <c r="Z3116" s="128">
        <v>-3.81</v>
      </c>
      <c r="AA3116" s="128">
        <v>0</v>
      </c>
      <c r="AB3116" s="126">
        <f t="shared" si="315"/>
        <v>3.8099999999999998E-7</v>
      </c>
      <c r="AC3116" s="122" t="s">
        <v>1838</v>
      </c>
      <c r="AD3116" s="123">
        <f t="shared" si="317"/>
        <v>1983.9723217250009</v>
      </c>
    </row>
    <row r="3117" spans="1:30" ht="12.75" hidden="1" customHeight="1">
      <c r="A3117" s="125" t="str">
        <f t="shared" si="312"/>
        <v>LIC36Prov For Withholding Brokerage</v>
      </c>
      <c r="B3117" s="125">
        <f>+IFERROR(VLOOKUP(L3117,'TB mapping'!A:D,4,0),0)</f>
        <v>0</v>
      </c>
      <c r="C3117" s="125">
        <f>+IFERROR(VLOOKUP(L3117,'TB mapping'!A:C,3,0),0)</f>
        <v>0</v>
      </c>
      <c r="D3117" s="125" t="str">
        <f t="shared" si="313"/>
        <v>LIC360</v>
      </c>
      <c r="E3117" s="125" t="str">
        <f t="shared" si="314"/>
        <v>LIC360</v>
      </c>
      <c r="F3117" s="158" t="str">
        <f>+VLOOKUP(H3117,'code mapping'!A:C,3,0)</f>
        <v>LIC36</v>
      </c>
      <c r="G3117" s="127" t="s">
        <v>453</v>
      </c>
      <c r="H3117" s="127" t="s">
        <v>810</v>
      </c>
      <c r="I3117" s="127" t="s">
        <v>60</v>
      </c>
      <c r="J3117" s="128">
        <v>220000</v>
      </c>
      <c r="K3117" s="127" t="s">
        <v>510</v>
      </c>
      <c r="L3117" s="151">
        <v>210162</v>
      </c>
      <c r="M3117" s="128">
        <v>0</v>
      </c>
      <c r="N3117" s="127" t="s">
        <v>512</v>
      </c>
      <c r="O3117" s="127" t="s">
        <v>457</v>
      </c>
      <c r="P3117" s="128">
        <v>0</v>
      </c>
      <c r="Q3117" s="128">
        <v>335140.40000000002</v>
      </c>
      <c r="R3117" s="128">
        <v>0</v>
      </c>
      <c r="S3117" s="128">
        <v>0</v>
      </c>
      <c r="T3117" s="128">
        <v>0</v>
      </c>
      <c r="U3117" s="128">
        <v>335140.40000000002</v>
      </c>
      <c r="V3117" s="128">
        <v>0</v>
      </c>
      <c r="W3117" s="128">
        <v>335140.40000000002</v>
      </c>
      <c r="X3117" s="128">
        <v>0</v>
      </c>
      <c r="Y3117" s="128">
        <v>0</v>
      </c>
      <c r="Z3117" s="128">
        <v>0</v>
      </c>
      <c r="AA3117" s="128">
        <v>335140.40000000002</v>
      </c>
      <c r="AB3117" s="126">
        <f t="shared" si="315"/>
        <v>-3.3514040000000002E-2</v>
      </c>
      <c r="AC3117" s="122" t="s">
        <v>1838</v>
      </c>
      <c r="AD3117" s="123">
        <f t="shared" si="317"/>
        <v>1983.9723217250009</v>
      </c>
    </row>
    <row r="3118" spans="1:30" ht="12.75" hidden="1" customHeight="1">
      <c r="A3118" s="125" t="str">
        <f t="shared" si="312"/>
        <v>LIC36Prov  Withholding Brok 2016-17</v>
      </c>
      <c r="B3118" s="125">
        <f>+IFERROR(VLOOKUP(L3118,'TB mapping'!A:D,4,0),0)</f>
        <v>0</v>
      </c>
      <c r="C3118" s="125">
        <f>+IFERROR(VLOOKUP(L3118,'TB mapping'!A:C,3,0),0)</f>
        <v>0</v>
      </c>
      <c r="D3118" s="125" t="str">
        <f t="shared" si="313"/>
        <v>LIC360</v>
      </c>
      <c r="E3118" s="125" t="str">
        <f t="shared" si="314"/>
        <v>LIC360</v>
      </c>
      <c r="F3118" s="158" t="str">
        <f>+VLOOKUP(H3118,'code mapping'!A:C,3,0)</f>
        <v>LIC36</v>
      </c>
      <c r="G3118" s="127" t="s">
        <v>453</v>
      </c>
      <c r="H3118" s="127" t="s">
        <v>810</v>
      </c>
      <c r="I3118" s="127" t="s">
        <v>60</v>
      </c>
      <c r="J3118" s="128">
        <v>220000</v>
      </c>
      <c r="K3118" s="127" t="s">
        <v>510</v>
      </c>
      <c r="L3118" s="151">
        <v>210163</v>
      </c>
      <c r="M3118" s="128">
        <v>0</v>
      </c>
      <c r="N3118" s="127" t="s">
        <v>513</v>
      </c>
      <c r="O3118" s="127" t="s">
        <v>457</v>
      </c>
      <c r="P3118" s="128">
        <v>0</v>
      </c>
      <c r="Q3118" s="128">
        <v>224085.93</v>
      </c>
      <c r="R3118" s="128">
        <v>0</v>
      </c>
      <c r="S3118" s="128">
        <v>0</v>
      </c>
      <c r="T3118" s="128">
        <v>0</v>
      </c>
      <c r="U3118" s="128">
        <v>224085.93</v>
      </c>
      <c r="V3118" s="128">
        <v>0</v>
      </c>
      <c r="W3118" s="128">
        <v>224085.93</v>
      </c>
      <c r="X3118" s="128">
        <v>0</v>
      </c>
      <c r="Y3118" s="128">
        <v>0</v>
      </c>
      <c r="Z3118" s="128">
        <v>0</v>
      </c>
      <c r="AA3118" s="128">
        <v>224085.93</v>
      </c>
      <c r="AB3118" s="126">
        <f t="shared" si="315"/>
        <v>-2.2408593000000001E-2</v>
      </c>
      <c r="AC3118" s="122" t="s">
        <v>1838</v>
      </c>
      <c r="AD3118" s="123">
        <f t="shared" si="317"/>
        <v>1983.9723217250009</v>
      </c>
    </row>
    <row r="3119" spans="1:30" ht="12.75" hidden="1" customHeight="1">
      <c r="A3119" s="125" t="str">
        <f t="shared" si="312"/>
        <v>LIC36Unit Capital</v>
      </c>
      <c r="B3119" s="125">
        <f>+IFERROR(VLOOKUP(L3119,'TB mapping'!A:D,4,0),0)</f>
        <v>0</v>
      </c>
      <c r="C3119" s="125">
        <f>+IFERROR(VLOOKUP(L3119,'TB mapping'!A:C,3,0),0)</f>
        <v>0</v>
      </c>
      <c r="D3119" s="125" t="str">
        <f t="shared" si="313"/>
        <v>LIC360</v>
      </c>
      <c r="E3119" s="125" t="str">
        <f t="shared" si="314"/>
        <v>LIC360</v>
      </c>
      <c r="F3119" s="158" t="str">
        <f>+VLOOKUP(H3119,'code mapping'!A:C,3,0)</f>
        <v>LIC36</v>
      </c>
      <c r="G3119" s="127" t="s">
        <v>453</v>
      </c>
      <c r="H3119" s="127" t="s">
        <v>810</v>
      </c>
      <c r="I3119" s="127" t="s">
        <v>60</v>
      </c>
      <c r="J3119" s="128">
        <v>301000</v>
      </c>
      <c r="K3119" s="127" t="s">
        <v>514</v>
      </c>
      <c r="L3119" s="151">
        <v>310000</v>
      </c>
      <c r="M3119" s="128">
        <v>0</v>
      </c>
      <c r="N3119" s="127" t="s">
        <v>515</v>
      </c>
      <c r="O3119" s="127" t="s">
        <v>457</v>
      </c>
      <c r="P3119" s="128">
        <v>0</v>
      </c>
      <c r="Q3119" s="128">
        <v>32268379374.709999</v>
      </c>
      <c r="R3119" s="128">
        <v>0</v>
      </c>
      <c r="S3119" s="128">
        <v>0</v>
      </c>
      <c r="T3119" s="128">
        <v>0</v>
      </c>
      <c r="U3119" s="128">
        <v>32268379374.709999</v>
      </c>
      <c r="V3119" s="128">
        <v>0</v>
      </c>
      <c r="W3119" s="128">
        <v>32268379374.709999</v>
      </c>
      <c r="X3119" s="128">
        <v>0</v>
      </c>
      <c r="Y3119" s="128">
        <v>0</v>
      </c>
      <c r="Z3119" s="128">
        <v>0</v>
      </c>
      <c r="AA3119" s="128">
        <v>32268379374.709999</v>
      </c>
      <c r="AB3119" s="126">
        <f t="shared" si="315"/>
        <v>-3226.8379374709998</v>
      </c>
      <c r="AC3119" s="122" t="s">
        <v>1838</v>
      </c>
      <c r="AD3119" s="123">
        <f t="shared" si="317"/>
        <v>1983.9723217250009</v>
      </c>
    </row>
    <row r="3120" spans="1:30" ht="12.75" hidden="1" customHeight="1">
      <c r="A3120" s="125" t="str">
        <f t="shared" si="312"/>
        <v>LIC36Unit Premium Reserve- RG</v>
      </c>
      <c r="B3120" s="125">
        <f>+IFERROR(VLOOKUP(L3120,'TB mapping'!A:D,4,0),0)</f>
        <v>0</v>
      </c>
      <c r="C3120" s="125">
        <f>+IFERROR(VLOOKUP(L3120,'TB mapping'!A:C,3,0),0)</f>
        <v>0</v>
      </c>
      <c r="D3120" s="125" t="str">
        <f t="shared" si="313"/>
        <v>LIC360</v>
      </c>
      <c r="E3120" s="125" t="str">
        <f t="shared" si="314"/>
        <v>LIC360</v>
      </c>
      <c r="F3120" s="158" t="str">
        <f>+VLOOKUP(H3120,'code mapping'!A:C,3,0)</f>
        <v>LIC36</v>
      </c>
      <c r="G3120" s="127" t="s">
        <v>453</v>
      </c>
      <c r="H3120" s="127" t="s">
        <v>810</v>
      </c>
      <c r="I3120" s="127" t="s">
        <v>60</v>
      </c>
      <c r="J3120" s="128">
        <v>303000</v>
      </c>
      <c r="K3120" s="127" t="s">
        <v>516</v>
      </c>
      <c r="L3120" s="151">
        <v>303201</v>
      </c>
      <c r="M3120" s="128">
        <v>0</v>
      </c>
      <c r="N3120" s="127" t="s">
        <v>517</v>
      </c>
      <c r="O3120" s="127" t="s">
        <v>457</v>
      </c>
      <c r="P3120" s="128">
        <v>-21137065302.98</v>
      </c>
      <c r="Q3120" s="128">
        <v>0</v>
      </c>
      <c r="R3120" s="128">
        <v>0</v>
      </c>
      <c r="S3120" s="128">
        <v>0</v>
      </c>
      <c r="T3120" s="128">
        <v>-21137065302.98</v>
      </c>
      <c r="U3120" s="128">
        <v>0</v>
      </c>
      <c r="V3120" s="128">
        <v>-21137065302.98</v>
      </c>
      <c r="W3120" s="128">
        <v>0</v>
      </c>
      <c r="X3120" s="128">
        <v>0</v>
      </c>
      <c r="Y3120" s="128">
        <v>0</v>
      </c>
      <c r="Z3120" s="128">
        <v>-21137065302.98</v>
      </c>
      <c r="AA3120" s="128">
        <v>0</v>
      </c>
      <c r="AB3120" s="126">
        <f t="shared" si="315"/>
        <v>2113.706530298</v>
      </c>
      <c r="AC3120" s="122" t="s">
        <v>1838</v>
      </c>
      <c r="AD3120" s="123">
        <f t="shared" si="317"/>
        <v>1983.9723217250009</v>
      </c>
    </row>
    <row r="3121" spans="1:32" ht="12.75" hidden="1" customHeight="1">
      <c r="A3121" s="125" t="str">
        <f t="shared" si="312"/>
        <v>LIC36Unit Premium Reserve-RDD</v>
      </c>
      <c r="B3121" s="125">
        <f>+IFERROR(VLOOKUP(L3121,'TB mapping'!A:D,4,0),0)</f>
        <v>0</v>
      </c>
      <c r="C3121" s="125">
        <f>+IFERROR(VLOOKUP(L3121,'TB mapping'!A:C,3,0),0)</f>
        <v>0</v>
      </c>
      <c r="D3121" s="125" t="str">
        <f t="shared" si="313"/>
        <v>LIC360</v>
      </c>
      <c r="E3121" s="125" t="str">
        <f t="shared" si="314"/>
        <v>LIC360</v>
      </c>
      <c r="F3121" s="158" t="str">
        <f>+VLOOKUP(H3121,'code mapping'!A:C,3,0)</f>
        <v>LIC36</v>
      </c>
      <c r="G3121" s="127" t="s">
        <v>453</v>
      </c>
      <c r="H3121" s="127" t="s">
        <v>810</v>
      </c>
      <c r="I3121" s="127" t="s">
        <v>60</v>
      </c>
      <c r="J3121" s="128">
        <v>303000</v>
      </c>
      <c r="K3121" s="127" t="s">
        <v>516</v>
      </c>
      <c r="L3121" s="151">
        <v>303213</v>
      </c>
      <c r="M3121" s="128">
        <v>0</v>
      </c>
      <c r="N3121" s="127" t="s">
        <v>651</v>
      </c>
      <c r="O3121" s="127" t="s">
        <v>457</v>
      </c>
      <c r="P3121" s="128">
        <v>-591133882.69000006</v>
      </c>
      <c r="Q3121" s="128">
        <v>0</v>
      </c>
      <c r="R3121" s="128">
        <v>0</v>
      </c>
      <c r="S3121" s="128">
        <v>0</v>
      </c>
      <c r="T3121" s="128">
        <v>-591133882.69000006</v>
      </c>
      <c r="U3121" s="128">
        <v>0</v>
      </c>
      <c r="V3121" s="128">
        <v>-591133882.69000006</v>
      </c>
      <c r="W3121" s="128">
        <v>0</v>
      </c>
      <c r="X3121" s="128">
        <v>0</v>
      </c>
      <c r="Y3121" s="128">
        <v>0</v>
      </c>
      <c r="Z3121" s="128">
        <v>-591133882.69000006</v>
      </c>
      <c r="AA3121" s="128">
        <v>0</v>
      </c>
      <c r="AB3121" s="126">
        <f t="shared" si="315"/>
        <v>59.113388269000005</v>
      </c>
      <c r="AC3121" s="122" t="s">
        <v>1838</v>
      </c>
      <c r="AD3121" s="123">
        <f t="shared" si="317"/>
        <v>1983.9723217250009</v>
      </c>
    </row>
    <row r="3122" spans="1:32" ht="12.75" hidden="1" customHeight="1">
      <c r="A3122" s="125" t="str">
        <f t="shared" si="312"/>
        <v>LIC36Unit Premium Reserve-GDP</v>
      </c>
      <c r="B3122" s="125">
        <f>+IFERROR(VLOOKUP(L3122,'TB mapping'!A:D,4,0),0)</f>
        <v>0</v>
      </c>
      <c r="C3122" s="125">
        <f>+IFERROR(VLOOKUP(L3122,'TB mapping'!A:C,3,0),0)</f>
        <v>0</v>
      </c>
      <c r="D3122" s="125" t="str">
        <f t="shared" si="313"/>
        <v>LIC360</v>
      </c>
      <c r="E3122" s="125" t="str">
        <f t="shared" si="314"/>
        <v>LIC360</v>
      </c>
      <c r="F3122" s="158" t="str">
        <f>+VLOOKUP(H3122,'code mapping'!A:C,3,0)</f>
        <v>LIC36</v>
      </c>
      <c r="G3122" s="127" t="s">
        <v>453</v>
      </c>
      <c r="H3122" s="127" t="s">
        <v>810</v>
      </c>
      <c r="I3122" s="127" t="s">
        <v>60</v>
      </c>
      <c r="J3122" s="128">
        <v>303000</v>
      </c>
      <c r="K3122" s="127" t="s">
        <v>516</v>
      </c>
      <c r="L3122" s="151">
        <v>303245</v>
      </c>
      <c r="M3122" s="128">
        <v>0</v>
      </c>
      <c r="N3122" s="127" t="s">
        <v>519</v>
      </c>
      <c r="O3122" s="127" t="s">
        <v>457</v>
      </c>
      <c r="P3122" s="128">
        <v>0</v>
      </c>
      <c r="Q3122" s="128">
        <v>19298574999.720001</v>
      </c>
      <c r="R3122" s="128">
        <v>0</v>
      </c>
      <c r="S3122" s="128">
        <v>0</v>
      </c>
      <c r="T3122" s="128">
        <v>0</v>
      </c>
      <c r="U3122" s="128">
        <v>19298574999.720001</v>
      </c>
      <c r="V3122" s="128">
        <v>0</v>
      </c>
      <c r="W3122" s="128">
        <v>19298574999.720001</v>
      </c>
      <c r="X3122" s="128">
        <v>0</v>
      </c>
      <c r="Y3122" s="128">
        <v>0</v>
      </c>
      <c r="Z3122" s="128">
        <v>0</v>
      </c>
      <c r="AA3122" s="128">
        <v>19298574999.720001</v>
      </c>
      <c r="AB3122" s="126">
        <f t="shared" si="315"/>
        <v>-1929.8574999720001</v>
      </c>
      <c r="AC3122" s="122" t="s">
        <v>1838</v>
      </c>
      <c r="AD3122" s="123">
        <f t="shared" si="317"/>
        <v>1983.9723217250009</v>
      </c>
    </row>
    <row r="3123" spans="1:32" ht="12.75" hidden="1" customHeight="1">
      <c r="A3123" s="125" t="str">
        <f t="shared" si="312"/>
        <v>LIC36Unit Premium Reserve-DDP</v>
      </c>
      <c r="B3123" s="125">
        <f>+IFERROR(VLOOKUP(L3123,'TB mapping'!A:D,4,0),0)</f>
        <v>0</v>
      </c>
      <c r="C3123" s="125">
        <f>+IFERROR(VLOOKUP(L3123,'TB mapping'!A:C,3,0),0)</f>
        <v>0</v>
      </c>
      <c r="D3123" s="125" t="str">
        <f t="shared" si="313"/>
        <v>LIC360</v>
      </c>
      <c r="E3123" s="125" t="str">
        <f t="shared" si="314"/>
        <v>LIC360</v>
      </c>
      <c r="F3123" s="158" t="str">
        <f>+VLOOKUP(H3123,'code mapping'!A:C,3,0)</f>
        <v>LIC36</v>
      </c>
      <c r="G3123" s="127" t="s">
        <v>453</v>
      </c>
      <c r="H3123" s="127" t="s">
        <v>810</v>
      </c>
      <c r="I3123" s="127" t="s">
        <v>60</v>
      </c>
      <c r="J3123" s="128">
        <v>303000</v>
      </c>
      <c r="K3123" s="127" t="s">
        <v>516</v>
      </c>
      <c r="L3123" s="151">
        <v>303246</v>
      </c>
      <c r="M3123" s="128">
        <v>0</v>
      </c>
      <c r="N3123" s="127" t="s">
        <v>520</v>
      </c>
      <c r="O3123" s="127" t="s">
        <v>457</v>
      </c>
      <c r="P3123" s="128">
        <v>-450294441.41000003</v>
      </c>
      <c r="Q3123" s="128">
        <v>0</v>
      </c>
      <c r="R3123" s="128">
        <v>0</v>
      </c>
      <c r="S3123" s="128">
        <v>0</v>
      </c>
      <c r="T3123" s="128">
        <v>-450294441.41000003</v>
      </c>
      <c r="U3123" s="128">
        <v>0</v>
      </c>
      <c r="V3123" s="128">
        <v>-450294441.41000003</v>
      </c>
      <c r="W3123" s="128">
        <v>0</v>
      </c>
      <c r="X3123" s="128">
        <v>0</v>
      </c>
      <c r="Y3123" s="128">
        <v>0</v>
      </c>
      <c r="Z3123" s="128">
        <v>-450294441.41000003</v>
      </c>
      <c r="AA3123" s="128">
        <v>0</v>
      </c>
      <c r="AB3123" s="126">
        <f t="shared" si="315"/>
        <v>45.029444141000006</v>
      </c>
      <c r="AC3123" s="122" t="s">
        <v>1838</v>
      </c>
      <c r="AD3123" s="123">
        <f t="shared" si="317"/>
        <v>1983.9723217250009</v>
      </c>
    </row>
    <row r="3124" spans="1:32" ht="12.75" hidden="1" customHeight="1">
      <c r="A3124" s="125" t="str">
        <f t="shared" si="312"/>
        <v>LIC36Equalisation Reserve-RG</v>
      </c>
      <c r="B3124" s="125">
        <f>+IFERROR(VLOOKUP(L3124,'TB mapping'!A:D,4,0),0)</f>
        <v>0</v>
      </c>
      <c r="C3124" s="125">
        <f>+IFERROR(VLOOKUP(L3124,'TB mapping'!A:C,3,0),0)</f>
        <v>0</v>
      </c>
      <c r="D3124" s="125" t="str">
        <f t="shared" si="313"/>
        <v>LIC360</v>
      </c>
      <c r="E3124" s="125" t="str">
        <f t="shared" si="314"/>
        <v>LIC360</v>
      </c>
      <c r="F3124" s="158" t="str">
        <f>+VLOOKUP(H3124,'code mapping'!A:C,3,0)</f>
        <v>LIC36</v>
      </c>
      <c r="G3124" s="127" t="s">
        <v>453</v>
      </c>
      <c r="H3124" s="127" t="s">
        <v>810</v>
      </c>
      <c r="I3124" s="127" t="s">
        <v>60</v>
      </c>
      <c r="J3124" s="128">
        <v>303000</v>
      </c>
      <c r="K3124" s="127" t="s">
        <v>516</v>
      </c>
      <c r="L3124" s="151">
        <v>303301</v>
      </c>
      <c r="M3124" s="128">
        <v>0</v>
      </c>
      <c r="N3124" s="127" t="s">
        <v>814</v>
      </c>
      <c r="O3124" s="127" t="s">
        <v>457</v>
      </c>
      <c r="P3124" s="128">
        <v>-138.72</v>
      </c>
      <c r="Q3124" s="128">
        <v>0</v>
      </c>
      <c r="R3124" s="128">
        <v>0</v>
      </c>
      <c r="S3124" s="128">
        <v>0</v>
      </c>
      <c r="T3124" s="128">
        <v>-138.72</v>
      </c>
      <c r="U3124" s="128">
        <v>0</v>
      </c>
      <c r="V3124" s="128">
        <v>-138.72</v>
      </c>
      <c r="W3124" s="128">
        <v>0</v>
      </c>
      <c r="X3124" s="128">
        <v>0</v>
      </c>
      <c r="Y3124" s="128">
        <v>0</v>
      </c>
      <c r="Z3124" s="128">
        <v>-138.72</v>
      </c>
      <c r="AA3124" s="128">
        <v>0</v>
      </c>
      <c r="AB3124" s="126">
        <f t="shared" si="315"/>
        <v>1.3872E-5</v>
      </c>
      <c r="AC3124" s="122" t="s">
        <v>1838</v>
      </c>
      <c r="AD3124" s="123">
        <f t="shared" si="317"/>
        <v>1983.9723217250009</v>
      </c>
    </row>
    <row r="3125" spans="1:32" ht="12.75" hidden="1" customHeight="1">
      <c r="A3125" s="125" t="str">
        <f t="shared" si="312"/>
        <v>LIC36Equalisation Reserve-RDD</v>
      </c>
      <c r="B3125" s="125">
        <f>+IFERROR(VLOOKUP(L3125,'TB mapping'!A:D,4,0),0)</f>
        <v>0</v>
      </c>
      <c r="C3125" s="125">
        <f>+IFERROR(VLOOKUP(L3125,'TB mapping'!A:C,3,0),0)</f>
        <v>0</v>
      </c>
      <c r="D3125" s="125" t="str">
        <f t="shared" si="313"/>
        <v>LIC360</v>
      </c>
      <c r="E3125" s="125" t="str">
        <f t="shared" si="314"/>
        <v>LIC360</v>
      </c>
      <c r="F3125" s="158" t="str">
        <f>+VLOOKUP(H3125,'code mapping'!A:C,3,0)</f>
        <v>LIC36</v>
      </c>
      <c r="G3125" s="127" t="s">
        <v>453</v>
      </c>
      <c r="H3125" s="127" t="s">
        <v>810</v>
      </c>
      <c r="I3125" s="127" t="s">
        <v>60</v>
      </c>
      <c r="J3125" s="128">
        <v>303000</v>
      </c>
      <c r="K3125" s="127" t="s">
        <v>516</v>
      </c>
      <c r="L3125" s="151">
        <v>303313</v>
      </c>
      <c r="M3125" s="128">
        <v>0</v>
      </c>
      <c r="N3125" s="127" t="s">
        <v>815</v>
      </c>
      <c r="O3125" s="127" t="s">
        <v>457</v>
      </c>
      <c r="P3125" s="128">
        <v>-1414.56</v>
      </c>
      <c r="Q3125" s="128">
        <v>0</v>
      </c>
      <c r="R3125" s="128">
        <v>0</v>
      </c>
      <c r="S3125" s="128">
        <v>0</v>
      </c>
      <c r="T3125" s="128">
        <v>-1414.56</v>
      </c>
      <c r="U3125" s="128">
        <v>0</v>
      </c>
      <c r="V3125" s="128">
        <v>-1414.56</v>
      </c>
      <c r="W3125" s="128">
        <v>0</v>
      </c>
      <c r="X3125" s="128">
        <v>0</v>
      </c>
      <c r="Y3125" s="128">
        <v>0</v>
      </c>
      <c r="Z3125" s="128">
        <v>-1414.56</v>
      </c>
      <c r="AA3125" s="128">
        <v>0</v>
      </c>
      <c r="AB3125" s="126">
        <f t="shared" si="315"/>
        <v>1.4145599999999998E-4</v>
      </c>
      <c r="AC3125" s="122" t="s">
        <v>1838</v>
      </c>
      <c r="AD3125" s="123">
        <f t="shared" si="317"/>
        <v>1983.9723217250009</v>
      </c>
    </row>
    <row r="3126" spans="1:32" ht="12.75" hidden="1" customHeight="1">
      <c r="A3126" s="125" t="str">
        <f t="shared" si="312"/>
        <v>LIC36Equalisation Reserve-GDP</v>
      </c>
      <c r="B3126" s="125">
        <f>+IFERROR(VLOOKUP(L3126,'TB mapping'!A:D,4,0),0)</f>
        <v>0</v>
      </c>
      <c r="C3126" s="125">
        <f>+IFERROR(VLOOKUP(L3126,'TB mapping'!A:C,3,0),0)</f>
        <v>0</v>
      </c>
      <c r="D3126" s="125" t="str">
        <f t="shared" si="313"/>
        <v>LIC360</v>
      </c>
      <c r="E3126" s="125" t="str">
        <f t="shared" si="314"/>
        <v>LIC360</v>
      </c>
      <c r="F3126" s="158" t="str">
        <f>+VLOOKUP(H3126,'code mapping'!A:C,3,0)</f>
        <v>LIC36</v>
      </c>
      <c r="G3126" s="127" t="s">
        <v>453</v>
      </c>
      <c r="H3126" s="127" t="s">
        <v>810</v>
      </c>
      <c r="I3126" s="127" t="s">
        <v>60</v>
      </c>
      <c r="J3126" s="128">
        <v>303000</v>
      </c>
      <c r="K3126" s="127" t="s">
        <v>516</v>
      </c>
      <c r="L3126" s="151">
        <v>303345</v>
      </c>
      <c r="M3126" s="128">
        <v>0</v>
      </c>
      <c r="N3126" s="127" t="s">
        <v>816</v>
      </c>
      <c r="O3126" s="127" t="s">
        <v>457</v>
      </c>
      <c r="P3126" s="128">
        <v>-15.63</v>
      </c>
      <c r="Q3126" s="128">
        <v>0</v>
      </c>
      <c r="R3126" s="128">
        <v>0</v>
      </c>
      <c r="S3126" s="128">
        <v>0</v>
      </c>
      <c r="T3126" s="128">
        <v>-15.63</v>
      </c>
      <c r="U3126" s="128">
        <v>0</v>
      </c>
      <c r="V3126" s="128">
        <v>-15.63</v>
      </c>
      <c r="W3126" s="128">
        <v>0</v>
      </c>
      <c r="X3126" s="128">
        <v>0</v>
      </c>
      <c r="Y3126" s="128">
        <v>0</v>
      </c>
      <c r="Z3126" s="128">
        <v>-15.63</v>
      </c>
      <c r="AA3126" s="128">
        <v>0</v>
      </c>
      <c r="AB3126" s="126">
        <f t="shared" si="315"/>
        <v>1.5630000000000001E-6</v>
      </c>
      <c r="AC3126" s="122" t="s">
        <v>1838</v>
      </c>
      <c r="AD3126" s="123">
        <f t="shared" si="317"/>
        <v>1983.9723217250009</v>
      </c>
    </row>
    <row r="3127" spans="1:32" ht="12.75" hidden="1" customHeight="1">
      <c r="A3127" s="125" t="str">
        <f t="shared" si="312"/>
        <v>LIC36Equalisation Reserve-DDP</v>
      </c>
      <c r="B3127" s="125">
        <f>+IFERROR(VLOOKUP(L3127,'TB mapping'!A:D,4,0),0)</f>
        <v>0</v>
      </c>
      <c r="C3127" s="125">
        <f>+IFERROR(VLOOKUP(L3127,'TB mapping'!A:C,3,0),0)</f>
        <v>0</v>
      </c>
      <c r="D3127" s="125" t="str">
        <f t="shared" si="313"/>
        <v>LIC360</v>
      </c>
      <c r="E3127" s="125" t="str">
        <f t="shared" si="314"/>
        <v>LIC360</v>
      </c>
      <c r="F3127" s="158" t="str">
        <f>+VLOOKUP(H3127,'code mapping'!A:C,3,0)</f>
        <v>LIC36</v>
      </c>
      <c r="G3127" s="127" t="s">
        <v>453</v>
      </c>
      <c r="H3127" s="127" t="s">
        <v>810</v>
      </c>
      <c r="I3127" s="127" t="s">
        <v>60</v>
      </c>
      <c r="J3127" s="128">
        <v>303000</v>
      </c>
      <c r="K3127" s="127" t="s">
        <v>516</v>
      </c>
      <c r="L3127" s="151">
        <v>303346</v>
      </c>
      <c r="M3127" s="128">
        <v>0</v>
      </c>
      <c r="N3127" s="127" t="s">
        <v>817</v>
      </c>
      <c r="O3127" s="127" t="s">
        <v>457</v>
      </c>
      <c r="P3127" s="128">
        <v>-0.14000000000000001</v>
      </c>
      <c r="Q3127" s="128">
        <v>0</v>
      </c>
      <c r="R3127" s="128">
        <v>0</v>
      </c>
      <c r="S3127" s="128">
        <v>0</v>
      </c>
      <c r="T3127" s="128">
        <v>-0.14000000000000001</v>
      </c>
      <c r="U3127" s="128">
        <v>0</v>
      </c>
      <c r="V3127" s="128">
        <v>-0.14000000000000001</v>
      </c>
      <c r="W3127" s="128">
        <v>0</v>
      </c>
      <c r="X3127" s="128">
        <v>0</v>
      </c>
      <c r="Y3127" s="128">
        <v>0</v>
      </c>
      <c r="Z3127" s="128">
        <v>-0.14000000000000001</v>
      </c>
      <c r="AA3127" s="128">
        <v>0</v>
      </c>
      <c r="AB3127" s="126">
        <f t="shared" si="315"/>
        <v>1.4000000000000001E-8</v>
      </c>
      <c r="AC3127" s="122" t="s">
        <v>1838</v>
      </c>
      <c r="AD3127" s="123">
        <f t="shared" si="317"/>
        <v>1983.9723217250009</v>
      </c>
    </row>
    <row r="3128" spans="1:32" ht="12.75" hidden="1" customHeight="1">
      <c r="A3128" s="125" t="str">
        <f t="shared" si="312"/>
        <v>LIC36Net Earnings</v>
      </c>
      <c r="B3128" s="125">
        <f>+IFERROR(VLOOKUP(L3128,'TB mapping'!A:D,4,0),0)</f>
        <v>0</v>
      </c>
      <c r="C3128" s="125">
        <f>+IFERROR(VLOOKUP(L3128,'TB mapping'!A:C,3,0),0)</f>
        <v>0</v>
      </c>
      <c r="D3128" s="125" t="str">
        <f t="shared" si="313"/>
        <v>LIC360</v>
      </c>
      <c r="E3128" s="125" t="str">
        <f t="shared" si="314"/>
        <v>LIC360</v>
      </c>
      <c r="F3128" s="158" t="str">
        <f>+VLOOKUP(H3128,'code mapping'!A:C,3,0)</f>
        <v>LIC36</v>
      </c>
      <c r="G3128" s="127" t="s">
        <v>453</v>
      </c>
      <c r="H3128" s="127" t="s">
        <v>810</v>
      </c>
      <c r="I3128" s="127" t="s">
        <v>60</v>
      </c>
      <c r="J3128" s="128">
        <v>303000</v>
      </c>
      <c r="K3128" s="127" t="s">
        <v>516</v>
      </c>
      <c r="L3128" s="151">
        <v>390000</v>
      </c>
      <c r="M3128" s="128">
        <v>0</v>
      </c>
      <c r="N3128" s="127" t="s">
        <v>521</v>
      </c>
      <c r="O3128" s="127" t="s">
        <v>457</v>
      </c>
      <c r="P3128" s="128">
        <v>0</v>
      </c>
      <c r="Q3128" s="128">
        <v>51921247057.120003</v>
      </c>
      <c r="R3128" s="128">
        <v>0</v>
      </c>
      <c r="S3128" s="128">
        <v>0</v>
      </c>
      <c r="T3128" s="128">
        <v>0</v>
      </c>
      <c r="U3128" s="128">
        <v>51921247057.120003</v>
      </c>
      <c r="V3128" s="128">
        <v>0</v>
      </c>
      <c r="W3128" s="128">
        <v>51921247057.120003</v>
      </c>
      <c r="X3128" s="128">
        <v>0</v>
      </c>
      <c r="Y3128" s="128">
        <v>0</v>
      </c>
      <c r="Z3128" s="128">
        <v>0</v>
      </c>
      <c r="AA3128" s="128">
        <v>51921247057.120003</v>
      </c>
      <c r="AB3128" s="126">
        <f t="shared" si="315"/>
        <v>-5192.1247057119999</v>
      </c>
      <c r="AC3128" s="122" t="s">
        <v>1838</v>
      </c>
      <c r="AD3128" s="123">
        <f t="shared" si="317"/>
        <v>1983.9723217250009</v>
      </c>
    </row>
    <row r="3129" spans="1:32" ht="12.75" hidden="1" customHeight="1">
      <c r="A3129" s="125" t="str">
        <f t="shared" ref="A3129:A3192" si="318">+F3129&amp;N3129</f>
        <v>LIC36R/L G/P - Commercial Paper</v>
      </c>
      <c r="B3129" s="125">
        <f>+IFERROR(VLOOKUP(L3129,'TB mapping'!A:D,4,0),0)</f>
        <v>0</v>
      </c>
      <c r="C3129" s="125">
        <f>+IFERROR(VLOOKUP(L3129,'TB mapping'!A:C,3,0),0)</f>
        <v>5.3</v>
      </c>
      <c r="D3129" s="125" t="str">
        <f t="shared" ref="D3129:D3192" si="319">+F3129&amp;B3129</f>
        <v>LIC360</v>
      </c>
      <c r="E3129" s="125" t="str">
        <f t="shared" ref="E3129:E3192" si="320">+F3129&amp;C3129</f>
        <v>LIC365.3</v>
      </c>
      <c r="F3129" s="158" t="str">
        <f>+VLOOKUP(H3129,'code mapping'!A:C,3,0)</f>
        <v>LIC36</v>
      </c>
      <c r="G3129" s="127" t="s">
        <v>453</v>
      </c>
      <c r="H3129" s="127" t="s">
        <v>810</v>
      </c>
      <c r="I3129" s="127" t="s">
        <v>60</v>
      </c>
      <c r="J3129" s="128">
        <v>410000</v>
      </c>
      <c r="K3129" s="127" t="s">
        <v>522</v>
      </c>
      <c r="L3129" s="151">
        <v>412180</v>
      </c>
      <c r="M3129" s="128">
        <v>0</v>
      </c>
      <c r="N3129" s="127" t="s">
        <v>735</v>
      </c>
      <c r="O3129" s="127" t="s">
        <v>457</v>
      </c>
      <c r="P3129" s="128">
        <v>0</v>
      </c>
      <c r="Q3129" s="128">
        <v>1816866.79</v>
      </c>
      <c r="R3129" s="128">
        <v>0</v>
      </c>
      <c r="S3129" s="128">
        <v>0</v>
      </c>
      <c r="T3129" s="128">
        <v>0</v>
      </c>
      <c r="U3129" s="128">
        <v>1816866.79</v>
      </c>
      <c r="V3129" s="128">
        <v>0</v>
      </c>
      <c r="W3129" s="128">
        <v>1816866.79</v>
      </c>
      <c r="X3129" s="128">
        <v>0</v>
      </c>
      <c r="Y3129" s="128">
        <v>0</v>
      </c>
      <c r="Z3129" s="128">
        <v>0</v>
      </c>
      <c r="AA3129" s="128">
        <v>1816866.79</v>
      </c>
      <c r="AB3129" s="126">
        <f t="shared" ref="AB3129:AB3192" si="321">SUM(-Z3129-AA3129)/10^7</f>
        <v>-0.18168667900000002</v>
      </c>
      <c r="AC3129" s="122" t="s">
        <v>1838</v>
      </c>
      <c r="AD3129" s="123">
        <f t="shared" ref="AD3129:AD3134" si="322">SUMIF(E:E,E3129,AB:AB)</f>
        <v>4.5503848E-2</v>
      </c>
      <c r="AE3129" s="123">
        <f>-HLOOKUP(F3129,'Sep 2017 HY'!$3:$84,82,0)</f>
        <v>-7.8556657000000002E-2</v>
      </c>
      <c r="AF3129" s="123">
        <f>+AD3129-AE3129</f>
        <v>0.124060505</v>
      </c>
    </row>
    <row r="3130" spans="1:32" ht="12.75" hidden="1" customHeight="1">
      <c r="A3130" s="125" t="str">
        <f t="shared" si="318"/>
        <v>LIC36R/L G/P - Cert. of Deposits</v>
      </c>
      <c r="B3130" s="125">
        <f>+IFERROR(VLOOKUP(L3130,'TB mapping'!A:D,4,0),0)</f>
        <v>0</v>
      </c>
      <c r="C3130" s="125">
        <f>+IFERROR(VLOOKUP(L3130,'TB mapping'!A:C,3,0),0)</f>
        <v>5.3</v>
      </c>
      <c r="D3130" s="125" t="str">
        <f t="shared" si="319"/>
        <v>LIC360</v>
      </c>
      <c r="E3130" s="125" t="str">
        <f t="shared" si="320"/>
        <v>LIC365.3</v>
      </c>
      <c r="F3130" s="158" t="str">
        <f>+VLOOKUP(H3130,'code mapping'!A:C,3,0)</f>
        <v>LIC36</v>
      </c>
      <c r="G3130" s="127" t="s">
        <v>453</v>
      </c>
      <c r="H3130" s="127" t="s">
        <v>810</v>
      </c>
      <c r="I3130" s="127" t="s">
        <v>60</v>
      </c>
      <c r="J3130" s="128">
        <v>410000</v>
      </c>
      <c r="K3130" s="127" t="s">
        <v>522</v>
      </c>
      <c r="L3130" s="151">
        <v>412190</v>
      </c>
      <c r="M3130" s="128">
        <v>0</v>
      </c>
      <c r="N3130" s="127" t="s">
        <v>657</v>
      </c>
      <c r="O3130" s="127" t="s">
        <v>457</v>
      </c>
      <c r="P3130" s="128">
        <v>0</v>
      </c>
      <c r="Q3130" s="128">
        <v>432231.53</v>
      </c>
      <c r="R3130" s="128">
        <v>0</v>
      </c>
      <c r="S3130" s="128">
        <v>0</v>
      </c>
      <c r="T3130" s="128">
        <v>0</v>
      </c>
      <c r="U3130" s="128">
        <v>432231.53</v>
      </c>
      <c r="V3130" s="128">
        <v>0</v>
      </c>
      <c r="W3130" s="128">
        <v>432231.53</v>
      </c>
      <c r="X3130" s="128">
        <v>0</v>
      </c>
      <c r="Y3130" s="128">
        <v>0</v>
      </c>
      <c r="Z3130" s="128">
        <v>0</v>
      </c>
      <c r="AA3130" s="128">
        <v>432231.53</v>
      </c>
      <c r="AB3130" s="126">
        <f t="shared" si="321"/>
        <v>-4.3223153E-2</v>
      </c>
      <c r="AC3130" s="122" t="s">
        <v>1838</v>
      </c>
      <c r="AD3130" s="123">
        <f t="shared" si="322"/>
        <v>4.5503848E-2</v>
      </c>
    </row>
    <row r="3131" spans="1:32" ht="12.75" hidden="1" customHeight="1">
      <c r="A3131" s="125" t="str">
        <f t="shared" si="318"/>
        <v>LIC36R/L G/P - CBLO</v>
      </c>
      <c r="B3131" s="125">
        <f>+IFERROR(VLOOKUP(L3131,'TB mapping'!A:D,4,0),0)</f>
        <v>0</v>
      </c>
      <c r="C3131" s="125">
        <f>+IFERROR(VLOOKUP(L3131,'TB mapping'!A:C,3,0),0)</f>
        <v>5.3</v>
      </c>
      <c r="D3131" s="125" t="str">
        <f t="shared" si="319"/>
        <v>LIC360</v>
      </c>
      <c r="E3131" s="125" t="str">
        <f t="shared" si="320"/>
        <v>LIC365.3</v>
      </c>
      <c r="F3131" s="158" t="str">
        <f>+VLOOKUP(H3131,'code mapping'!A:C,3,0)</f>
        <v>LIC36</v>
      </c>
      <c r="G3131" s="127" t="s">
        <v>453</v>
      </c>
      <c r="H3131" s="127" t="s">
        <v>810</v>
      </c>
      <c r="I3131" s="127" t="s">
        <v>60</v>
      </c>
      <c r="J3131" s="128">
        <v>410000</v>
      </c>
      <c r="K3131" s="127" t="s">
        <v>522</v>
      </c>
      <c r="L3131" s="151">
        <v>412228</v>
      </c>
      <c r="M3131" s="128">
        <v>0</v>
      </c>
      <c r="N3131" s="127" t="s">
        <v>658</v>
      </c>
      <c r="O3131" s="127" t="s">
        <v>457</v>
      </c>
      <c r="P3131" s="128">
        <v>0</v>
      </c>
      <c r="Q3131" s="128">
        <v>452966.15</v>
      </c>
      <c r="R3131" s="128">
        <v>0</v>
      </c>
      <c r="S3131" s="128">
        <v>0</v>
      </c>
      <c r="T3131" s="128">
        <v>0</v>
      </c>
      <c r="U3131" s="128">
        <v>452966.15</v>
      </c>
      <c r="V3131" s="128">
        <v>0</v>
      </c>
      <c r="W3131" s="128">
        <v>452966.15</v>
      </c>
      <c r="X3131" s="128">
        <v>0</v>
      </c>
      <c r="Y3131" s="128">
        <v>0</v>
      </c>
      <c r="Z3131" s="128">
        <v>0</v>
      </c>
      <c r="AA3131" s="128">
        <v>452966.15</v>
      </c>
      <c r="AB3131" s="126">
        <f t="shared" si="321"/>
        <v>-4.5296615000000005E-2</v>
      </c>
      <c r="AC3131" s="122" t="s">
        <v>1838</v>
      </c>
      <c r="AD3131" s="123">
        <f t="shared" si="322"/>
        <v>4.5503848E-2</v>
      </c>
    </row>
    <row r="3132" spans="1:32" ht="12.75" hidden="1" customHeight="1">
      <c r="A3132" s="125" t="str">
        <f t="shared" si="318"/>
        <v>LIC36R/L Gain - Inter Scheme CD</v>
      </c>
      <c r="B3132" s="125">
        <f>+IFERROR(VLOOKUP(L3132,'TB mapping'!A:D,4,0),0)</f>
        <v>0</v>
      </c>
      <c r="C3132" s="125">
        <f>+IFERROR(VLOOKUP(L3132,'TB mapping'!A:C,3,0),0)</f>
        <v>5.4</v>
      </c>
      <c r="D3132" s="125" t="str">
        <f t="shared" si="319"/>
        <v>LIC360</v>
      </c>
      <c r="E3132" s="125" t="str">
        <f t="shared" si="320"/>
        <v>LIC365.4</v>
      </c>
      <c r="F3132" s="158" t="str">
        <f>+VLOOKUP(H3132,'code mapping'!A:C,3,0)</f>
        <v>LIC36</v>
      </c>
      <c r="G3132" s="127" t="s">
        <v>453</v>
      </c>
      <c r="H3132" s="127" t="s">
        <v>810</v>
      </c>
      <c r="I3132" s="127" t="s">
        <v>60</v>
      </c>
      <c r="J3132" s="128">
        <v>410000</v>
      </c>
      <c r="K3132" s="127" t="s">
        <v>522</v>
      </c>
      <c r="L3132" s="151">
        <v>427310</v>
      </c>
      <c r="M3132" s="128">
        <v>0</v>
      </c>
      <c r="N3132" s="127" t="s">
        <v>737</v>
      </c>
      <c r="O3132" s="127" t="s">
        <v>457</v>
      </c>
      <c r="P3132" s="128">
        <v>0</v>
      </c>
      <c r="Q3132" s="128">
        <v>72457.87</v>
      </c>
      <c r="R3132" s="128">
        <v>0</v>
      </c>
      <c r="S3132" s="128">
        <v>0</v>
      </c>
      <c r="T3132" s="128">
        <v>0</v>
      </c>
      <c r="U3132" s="128">
        <v>72457.87</v>
      </c>
      <c r="V3132" s="128">
        <v>0</v>
      </c>
      <c r="W3132" s="128">
        <v>72457.87</v>
      </c>
      <c r="X3132" s="128">
        <v>0</v>
      </c>
      <c r="Y3132" s="128">
        <v>0</v>
      </c>
      <c r="Z3132" s="128">
        <v>0</v>
      </c>
      <c r="AA3132" s="128">
        <v>72457.87</v>
      </c>
      <c r="AB3132" s="126">
        <f t="shared" si="321"/>
        <v>-7.2457869999999992E-3</v>
      </c>
      <c r="AC3132" s="122" t="s">
        <v>1838</v>
      </c>
      <c r="AD3132" s="123">
        <f t="shared" si="322"/>
        <v>-0.16897518600000005</v>
      </c>
      <c r="AE3132" s="123">
        <f>-HLOOKUP(F3132,'Sep 2017 HY'!$3:$88,86,0)</f>
        <v>0</v>
      </c>
      <c r="AF3132" s="123">
        <f>+AD3132-AE3132</f>
        <v>-0.16897518600000005</v>
      </c>
    </row>
    <row r="3133" spans="1:32" ht="12.75" hidden="1" customHeight="1">
      <c r="A3133" s="125" t="str">
        <f t="shared" si="318"/>
        <v>LIC36R/L Gain - Inter Scheme CP</v>
      </c>
      <c r="B3133" s="125">
        <f>+IFERROR(VLOOKUP(L3133,'TB mapping'!A:D,4,0),0)</f>
        <v>0</v>
      </c>
      <c r="C3133" s="125">
        <f>+IFERROR(VLOOKUP(L3133,'TB mapping'!A:C,3,0),0)</f>
        <v>5.4</v>
      </c>
      <c r="D3133" s="125" t="str">
        <f t="shared" si="319"/>
        <v>LIC360</v>
      </c>
      <c r="E3133" s="125" t="str">
        <f t="shared" si="320"/>
        <v>LIC365.4</v>
      </c>
      <c r="F3133" s="158" t="str">
        <f>+VLOOKUP(H3133,'code mapping'!A:C,3,0)</f>
        <v>LIC36</v>
      </c>
      <c r="G3133" s="127" t="s">
        <v>453</v>
      </c>
      <c r="H3133" s="127" t="s">
        <v>810</v>
      </c>
      <c r="I3133" s="127" t="s">
        <v>60</v>
      </c>
      <c r="J3133" s="128">
        <v>410000</v>
      </c>
      <c r="K3133" s="127" t="s">
        <v>522</v>
      </c>
      <c r="L3133" s="151">
        <v>427311</v>
      </c>
      <c r="M3133" s="128">
        <v>0</v>
      </c>
      <c r="N3133" s="127" t="s">
        <v>660</v>
      </c>
      <c r="O3133" s="127" t="s">
        <v>457</v>
      </c>
      <c r="P3133" s="128">
        <v>0</v>
      </c>
      <c r="Q3133" s="128">
        <v>3786302.16</v>
      </c>
      <c r="R3133" s="128">
        <v>0</v>
      </c>
      <c r="S3133" s="128">
        <v>0</v>
      </c>
      <c r="T3133" s="128">
        <v>0</v>
      </c>
      <c r="U3133" s="128">
        <v>3786302.16</v>
      </c>
      <c r="V3133" s="128">
        <v>0</v>
      </c>
      <c r="W3133" s="128">
        <v>3786302.16</v>
      </c>
      <c r="X3133" s="128">
        <v>0</v>
      </c>
      <c r="Y3133" s="128">
        <v>0</v>
      </c>
      <c r="Z3133" s="128">
        <v>0</v>
      </c>
      <c r="AA3133" s="128">
        <v>3786302.16</v>
      </c>
      <c r="AB3133" s="126">
        <f t="shared" si="321"/>
        <v>-0.37863021600000002</v>
      </c>
      <c r="AC3133" s="122" t="s">
        <v>1838</v>
      </c>
      <c r="AD3133" s="123">
        <f t="shared" si="322"/>
        <v>-0.16897518600000005</v>
      </c>
    </row>
    <row r="3134" spans="1:32" ht="12.75" hidden="1" customHeight="1">
      <c r="A3134" s="125" t="str">
        <f t="shared" si="318"/>
        <v>LIC36R/L Gain - Inter SchemeT Bills</v>
      </c>
      <c r="B3134" s="125">
        <f>+IFERROR(VLOOKUP(L3134,'TB mapping'!A:D,4,0),0)</f>
        <v>0</v>
      </c>
      <c r="C3134" s="125">
        <f>+IFERROR(VLOOKUP(L3134,'TB mapping'!A:C,3,0),0)</f>
        <v>5.4</v>
      </c>
      <c r="D3134" s="125" t="str">
        <f t="shared" si="319"/>
        <v>LIC360</v>
      </c>
      <c r="E3134" s="125" t="str">
        <f t="shared" si="320"/>
        <v>LIC365.4</v>
      </c>
      <c r="F3134" s="158" t="str">
        <f>+VLOOKUP(H3134,'code mapping'!A:C,3,0)</f>
        <v>LIC36</v>
      </c>
      <c r="G3134" s="127" t="s">
        <v>453</v>
      </c>
      <c r="H3134" s="127" t="s">
        <v>810</v>
      </c>
      <c r="I3134" s="127" t="s">
        <v>60</v>
      </c>
      <c r="J3134" s="128">
        <v>410000</v>
      </c>
      <c r="K3134" s="127" t="s">
        <v>522</v>
      </c>
      <c r="L3134" s="151">
        <v>427313</v>
      </c>
      <c r="M3134" s="128">
        <v>0</v>
      </c>
      <c r="N3134" s="127" t="s">
        <v>631</v>
      </c>
      <c r="O3134" s="127" t="s">
        <v>457</v>
      </c>
      <c r="P3134" s="128">
        <v>0</v>
      </c>
      <c r="Q3134" s="128">
        <v>50688.480000000003</v>
      </c>
      <c r="R3134" s="128">
        <v>0</v>
      </c>
      <c r="S3134" s="128">
        <v>0</v>
      </c>
      <c r="T3134" s="128">
        <v>0</v>
      </c>
      <c r="U3134" s="128">
        <v>50688.480000000003</v>
      </c>
      <c r="V3134" s="128">
        <v>0</v>
      </c>
      <c r="W3134" s="128">
        <v>50688.480000000003</v>
      </c>
      <c r="X3134" s="128">
        <v>0</v>
      </c>
      <c r="Y3134" s="128">
        <v>0</v>
      </c>
      <c r="Z3134" s="128">
        <v>0</v>
      </c>
      <c r="AA3134" s="128">
        <v>50688.480000000003</v>
      </c>
      <c r="AB3134" s="126">
        <f t="shared" si="321"/>
        <v>-5.0688479999999999E-3</v>
      </c>
      <c r="AC3134" s="122" t="s">
        <v>1838</v>
      </c>
      <c r="AD3134" s="123">
        <f t="shared" si="322"/>
        <v>-0.16897518600000005</v>
      </c>
    </row>
    <row r="3135" spans="1:32" ht="12.75" hidden="1" customHeight="1">
      <c r="A3135" s="125" t="str">
        <f t="shared" si="318"/>
        <v>LIC36UR/L G/P - Treasury Bills</v>
      </c>
      <c r="B3135" s="125">
        <f>+IFERROR(VLOOKUP(L3135,'TB mapping'!A:D,4,0),0)</f>
        <v>0</v>
      </c>
      <c r="C3135" s="125" t="str">
        <f>+IFERROR(VLOOKUP(L3135,'TB mapping'!A:C,3,0),0)</f>
        <v>Ignore</v>
      </c>
      <c r="D3135" s="125" t="str">
        <f t="shared" si="319"/>
        <v>LIC360</v>
      </c>
      <c r="E3135" s="125" t="str">
        <f t="shared" si="320"/>
        <v>LIC36Ignore</v>
      </c>
      <c r="F3135" s="158" t="str">
        <f>+VLOOKUP(H3135,'code mapping'!A:C,3,0)</f>
        <v>LIC36</v>
      </c>
      <c r="G3135" s="127" t="s">
        <v>453</v>
      </c>
      <c r="H3135" s="127" t="s">
        <v>810</v>
      </c>
      <c r="I3135" s="127" t="s">
        <v>60</v>
      </c>
      <c r="J3135" s="128">
        <v>430000</v>
      </c>
      <c r="K3135" s="127" t="s">
        <v>528</v>
      </c>
      <c r="L3135" s="151">
        <v>432110</v>
      </c>
      <c r="M3135" s="128">
        <v>0</v>
      </c>
      <c r="N3135" s="127" t="s">
        <v>661</v>
      </c>
      <c r="O3135" s="127" t="s">
        <v>457</v>
      </c>
      <c r="P3135" s="128">
        <v>0</v>
      </c>
      <c r="Q3135" s="128">
        <v>244691.38</v>
      </c>
      <c r="R3135" s="128">
        <v>0</v>
      </c>
      <c r="S3135" s="128">
        <v>0</v>
      </c>
      <c r="T3135" s="128">
        <v>0</v>
      </c>
      <c r="U3135" s="128">
        <v>244691.38</v>
      </c>
      <c r="V3135" s="128">
        <v>0</v>
      </c>
      <c r="W3135" s="128">
        <v>244691.38</v>
      </c>
      <c r="X3135" s="128">
        <v>0</v>
      </c>
      <c r="Y3135" s="128">
        <v>0</v>
      </c>
      <c r="Z3135" s="128">
        <v>0</v>
      </c>
      <c r="AA3135" s="128">
        <v>244691.38</v>
      </c>
      <c r="AB3135" s="126">
        <f t="shared" si="321"/>
        <v>-2.4469138000000001E-2</v>
      </c>
      <c r="AC3135" s="122" t="s">
        <v>1838</v>
      </c>
      <c r="AD3135" s="123">
        <f>SUMIF(C:C,C3135,AB:AB)</f>
        <v>-291.7660984179999</v>
      </c>
    </row>
    <row r="3136" spans="1:32" ht="12.75" hidden="1" customHeight="1">
      <c r="A3136" s="125" t="str">
        <f t="shared" si="318"/>
        <v>LIC36UR/L G/P - Corp Bond/Debenture</v>
      </c>
      <c r="B3136" s="125">
        <f>+IFERROR(VLOOKUP(L3136,'TB mapping'!A:D,4,0),0)</f>
        <v>0</v>
      </c>
      <c r="C3136" s="125" t="str">
        <f>+IFERROR(VLOOKUP(L3136,'TB mapping'!A:C,3,0),0)</f>
        <v>Ignore</v>
      </c>
      <c r="D3136" s="125" t="str">
        <f t="shared" si="319"/>
        <v>LIC360</v>
      </c>
      <c r="E3136" s="125" t="str">
        <f t="shared" si="320"/>
        <v>LIC36Ignore</v>
      </c>
      <c r="F3136" s="158" t="str">
        <f>+VLOOKUP(H3136,'code mapping'!A:C,3,0)</f>
        <v>LIC36</v>
      </c>
      <c r="G3136" s="127" t="s">
        <v>453</v>
      </c>
      <c r="H3136" s="127" t="s">
        <v>810</v>
      </c>
      <c r="I3136" s="127" t="s">
        <v>60</v>
      </c>
      <c r="J3136" s="128">
        <v>430000</v>
      </c>
      <c r="K3136" s="127" t="s">
        <v>528</v>
      </c>
      <c r="L3136" s="151">
        <v>432120</v>
      </c>
      <c r="M3136" s="128">
        <v>0</v>
      </c>
      <c r="N3136" s="127" t="s">
        <v>529</v>
      </c>
      <c r="O3136" s="127" t="s">
        <v>457</v>
      </c>
      <c r="P3136" s="128">
        <v>0</v>
      </c>
      <c r="Q3136" s="128">
        <v>521210</v>
      </c>
      <c r="R3136" s="128">
        <v>0</v>
      </c>
      <c r="S3136" s="128">
        <v>0</v>
      </c>
      <c r="T3136" s="128">
        <v>0</v>
      </c>
      <c r="U3136" s="128">
        <v>521210</v>
      </c>
      <c r="V3136" s="128">
        <v>0</v>
      </c>
      <c r="W3136" s="128">
        <v>521210</v>
      </c>
      <c r="X3136" s="128">
        <v>0</v>
      </c>
      <c r="Y3136" s="128">
        <v>0</v>
      </c>
      <c r="Z3136" s="128">
        <v>0</v>
      </c>
      <c r="AA3136" s="128">
        <v>521210</v>
      </c>
      <c r="AB3136" s="126">
        <f t="shared" si="321"/>
        <v>-5.2121000000000001E-2</v>
      </c>
      <c r="AC3136" s="122" t="s">
        <v>1838</v>
      </c>
      <c r="AD3136" s="123">
        <f>SUMIF(C:C,C3136,AB:AB)</f>
        <v>-291.7660984179999</v>
      </c>
    </row>
    <row r="3137" spans="1:32" ht="12.75" hidden="1" customHeight="1">
      <c r="A3137" s="125" t="str">
        <f t="shared" si="318"/>
        <v>LIC36UR/L G/P - Commercial Paper</v>
      </c>
      <c r="B3137" s="125">
        <f>+IFERROR(VLOOKUP(L3137,'TB mapping'!A:D,4,0),0)</f>
        <v>0</v>
      </c>
      <c r="C3137" s="125" t="str">
        <f>+IFERROR(VLOOKUP(L3137,'TB mapping'!A:C,3,0),0)</f>
        <v>Ignore</v>
      </c>
      <c r="D3137" s="125" t="str">
        <f t="shared" si="319"/>
        <v>LIC360</v>
      </c>
      <c r="E3137" s="125" t="str">
        <f t="shared" si="320"/>
        <v>LIC36Ignore</v>
      </c>
      <c r="F3137" s="158" t="str">
        <f>+VLOOKUP(H3137,'code mapping'!A:C,3,0)</f>
        <v>LIC36</v>
      </c>
      <c r="G3137" s="127" t="s">
        <v>453</v>
      </c>
      <c r="H3137" s="127" t="s">
        <v>810</v>
      </c>
      <c r="I3137" s="127" t="s">
        <v>60</v>
      </c>
      <c r="J3137" s="128">
        <v>430000</v>
      </c>
      <c r="K3137" s="127" t="s">
        <v>528</v>
      </c>
      <c r="L3137" s="151">
        <v>432180</v>
      </c>
      <c r="M3137" s="128">
        <v>0</v>
      </c>
      <c r="N3137" s="127" t="s">
        <v>662</v>
      </c>
      <c r="O3137" s="127" t="s">
        <v>457</v>
      </c>
      <c r="P3137" s="128">
        <v>0</v>
      </c>
      <c r="Q3137" s="128">
        <v>61816135.600000001</v>
      </c>
      <c r="R3137" s="128">
        <v>0</v>
      </c>
      <c r="S3137" s="128">
        <v>0</v>
      </c>
      <c r="T3137" s="128">
        <v>0</v>
      </c>
      <c r="U3137" s="128">
        <v>61816135.600000001</v>
      </c>
      <c r="V3137" s="128">
        <v>0</v>
      </c>
      <c r="W3137" s="128">
        <v>61816135.600000001</v>
      </c>
      <c r="X3137" s="128">
        <v>0</v>
      </c>
      <c r="Y3137" s="128">
        <v>0</v>
      </c>
      <c r="Z3137" s="128">
        <v>0</v>
      </c>
      <c r="AA3137" s="128">
        <v>61816135.600000001</v>
      </c>
      <c r="AB3137" s="126">
        <f t="shared" si="321"/>
        <v>-6.1816135599999997</v>
      </c>
      <c r="AC3137" s="122" t="s">
        <v>1838</v>
      </c>
      <c r="AD3137" s="123">
        <f>SUMIF(C:C,C3137,AB:AB)</f>
        <v>-291.7660984179999</v>
      </c>
    </row>
    <row r="3138" spans="1:32" ht="12.75" hidden="1" customHeight="1">
      <c r="A3138" s="125" t="str">
        <f t="shared" si="318"/>
        <v>LIC36UR/L G/P - Cert. of Deposits</v>
      </c>
      <c r="B3138" s="125">
        <f>+IFERROR(VLOOKUP(L3138,'TB mapping'!A:D,4,0),0)</f>
        <v>0</v>
      </c>
      <c r="C3138" s="125" t="str">
        <f>+IFERROR(VLOOKUP(L3138,'TB mapping'!A:C,3,0),0)</f>
        <v>Ignore</v>
      </c>
      <c r="D3138" s="125" t="str">
        <f t="shared" si="319"/>
        <v>LIC360</v>
      </c>
      <c r="E3138" s="125" t="str">
        <f t="shared" si="320"/>
        <v>LIC36Ignore</v>
      </c>
      <c r="F3138" s="158" t="str">
        <f>+VLOOKUP(H3138,'code mapping'!A:C,3,0)</f>
        <v>LIC36</v>
      </c>
      <c r="G3138" s="127" t="s">
        <v>453</v>
      </c>
      <c r="H3138" s="127" t="s">
        <v>810</v>
      </c>
      <c r="I3138" s="127" t="s">
        <v>60</v>
      </c>
      <c r="J3138" s="128">
        <v>430000</v>
      </c>
      <c r="K3138" s="127" t="s">
        <v>528</v>
      </c>
      <c r="L3138" s="151">
        <v>432190</v>
      </c>
      <c r="M3138" s="128">
        <v>0</v>
      </c>
      <c r="N3138" s="127" t="s">
        <v>738</v>
      </c>
      <c r="O3138" s="127" t="s">
        <v>457</v>
      </c>
      <c r="P3138" s="128">
        <v>0</v>
      </c>
      <c r="Q3138" s="128">
        <v>13791334.5</v>
      </c>
      <c r="R3138" s="128">
        <v>0</v>
      </c>
      <c r="S3138" s="128">
        <v>0</v>
      </c>
      <c r="T3138" s="128">
        <v>0</v>
      </c>
      <c r="U3138" s="128">
        <v>13791334.5</v>
      </c>
      <c r="V3138" s="128">
        <v>0</v>
      </c>
      <c r="W3138" s="128">
        <v>13791334.5</v>
      </c>
      <c r="X3138" s="128">
        <v>0</v>
      </c>
      <c r="Y3138" s="128">
        <v>0</v>
      </c>
      <c r="Z3138" s="128">
        <v>0</v>
      </c>
      <c r="AA3138" s="128">
        <v>13791334.5</v>
      </c>
      <c r="AB3138" s="126">
        <f t="shared" si="321"/>
        <v>-1.3791334500000001</v>
      </c>
      <c r="AC3138" s="122" t="s">
        <v>1838</v>
      </c>
      <c r="AD3138" s="123">
        <f>SUMIF(C:C,C3138,AB:AB)</f>
        <v>-291.7660984179999</v>
      </c>
    </row>
    <row r="3139" spans="1:32" ht="12.75" hidden="1" customHeight="1">
      <c r="A3139" s="125" t="str">
        <f t="shared" si="318"/>
        <v>LIC36Amort Income -Treasury Bills</v>
      </c>
      <c r="B3139" s="125">
        <f>+IFERROR(VLOOKUP(L3139,'TB mapping'!A:D,4,0),0)</f>
        <v>0</v>
      </c>
      <c r="C3139" s="125">
        <f>+IFERROR(VLOOKUP(L3139,'TB mapping'!A:C,3,0),0)</f>
        <v>5.2</v>
      </c>
      <c r="D3139" s="125" t="str">
        <f t="shared" si="319"/>
        <v>LIC360</v>
      </c>
      <c r="E3139" s="125" t="str">
        <f t="shared" si="320"/>
        <v>LIC365.2</v>
      </c>
      <c r="F3139" s="158" t="str">
        <f>+VLOOKUP(H3139,'code mapping'!A:C,3,0)</f>
        <v>LIC36</v>
      </c>
      <c r="G3139" s="127" t="s">
        <v>453</v>
      </c>
      <c r="H3139" s="127" t="s">
        <v>810</v>
      </c>
      <c r="I3139" s="127" t="s">
        <v>60</v>
      </c>
      <c r="J3139" s="128">
        <v>450000</v>
      </c>
      <c r="K3139" s="127" t="s">
        <v>532</v>
      </c>
      <c r="L3139" s="151">
        <v>452110</v>
      </c>
      <c r="M3139" s="128">
        <v>0</v>
      </c>
      <c r="N3139" s="127" t="s">
        <v>632</v>
      </c>
      <c r="O3139" s="127" t="s">
        <v>457</v>
      </c>
      <c r="P3139" s="128">
        <v>0</v>
      </c>
      <c r="Q3139" s="128">
        <v>433333056.56</v>
      </c>
      <c r="R3139" s="128">
        <v>0</v>
      </c>
      <c r="S3139" s="128">
        <v>0</v>
      </c>
      <c r="T3139" s="128">
        <v>0</v>
      </c>
      <c r="U3139" s="128">
        <v>433333056.56</v>
      </c>
      <c r="V3139" s="128">
        <v>0</v>
      </c>
      <c r="W3139" s="128">
        <v>433333056.56</v>
      </c>
      <c r="X3139" s="128">
        <v>0</v>
      </c>
      <c r="Y3139" s="128">
        <v>0</v>
      </c>
      <c r="Z3139" s="128">
        <v>0</v>
      </c>
      <c r="AA3139" s="128">
        <v>433333056.56</v>
      </c>
      <c r="AB3139" s="126">
        <f t="shared" si="321"/>
        <v>-43.333305656</v>
      </c>
      <c r="AC3139" s="122" t="s">
        <v>1838</v>
      </c>
      <c r="AD3139" s="123">
        <f t="shared" ref="AD3139:AD3186" si="323">SUMIF(E:E,E3139,AB:AB)</f>
        <v>-970.32315764099997</v>
      </c>
      <c r="AE3139" s="123">
        <f>-HLOOKUP(F3139,'Sep 2017 HY'!$3:$88,81,0)</f>
        <v>-497.21123825799992</v>
      </c>
      <c r="AF3139" s="123">
        <f>+AD3139-AE3139</f>
        <v>-473.11191938300004</v>
      </c>
    </row>
    <row r="3140" spans="1:32" ht="12.75" hidden="1" customHeight="1">
      <c r="A3140" s="125" t="str">
        <f t="shared" si="318"/>
        <v>LIC36Interest Income - CCIL Margin</v>
      </c>
      <c r="B3140" s="125">
        <f>+IFERROR(VLOOKUP(L3140,'TB mapping'!A:D,4,0),0)</f>
        <v>0</v>
      </c>
      <c r="C3140" s="125">
        <f>+IFERROR(VLOOKUP(L3140,'TB mapping'!A:C,3,0),0)</f>
        <v>5.2</v>
      </c>
      <c r="D3140" s="125" t="str">
        <f t="shared" si="319"/>
        <v>LIC360</v>
      </c>
      <c r="E3140" s="125" t="str">
        <f t="shared" si="320"/>
        <v>LIC365.2</v>
      </c>
      <c r="F3140" s="158" t="str">
        <f>+VLOOKUP(H3140,'code mapping'!A:C,3,0)</f>
        <v>LIC36</v>
      </c>
      <c r="G3140" s="127" t="s">
        <v>453</v>
      </c>
      <c r="H3140" s="127" t="s">
        <v>810</v>
      </c>
      <c r="I3140" s="127" t="s">
        <v>60</v>
      </c>
      <c r="J3140" s="128">
        <v>450000</v>
      </c>
      <c r="K3140" s="127" t="s">
        <v>532</v>
      </c>
      <c r="L3140" s="151">
        <v>452111</v>
      </c>
      <c r="M3140" s="128">
        <v>0</v>
      </c>
      <c r="N3140" s="127" t="s">
        <v>533</v>
      </c>
      <c r="O3140" s="127" t="s">
        <v>457</v>
      </c>
      <c r="P3140" s="128">
        <v>0</v>
      </c>
      <c r="Q3140" s="128">
        <v>207019.4</v>
      </c>
      <c r="R3140" s="128">
        <v>0</v>
      </c>
      <c r="S3140" s="128">
        <v>0</v>
      </c>
      <c r="T3140" s="128">
        <v>0</v>
      </c>
      <c r="U3140" s="128">
        <v>207019.4</v>
      </c>
      <c r="V3140" s="128">
        <v>0</v>
      </c>
      <c r="W3140" s="128">
        <v>207019.4</v>
      </c>
      <c r="X3140" s="128">
        <v>0</v>
      </c>
      <c r="Y3140" s="128">
        <v>0</v>
      </c>
      <c r="Z3140" s="128">
        <v>0</v>
      </c>
      <c r="AA3140" s="128">
        <v>207019.4</v>
      </c>
      <c r="AB3140" s="126">
        <f t="shared" si="321"/>
        <v>-2.0701939999999999E-2</v>
      </c>
      <c r="AC3140" s="122" t="s">
        <v>1838</v>
      </c>
      <c r="AD3140" s="123">
        <f t="shared" si="323"/>
        <v>-970.32315764099997</v>
      </c>
    </row>
    <row r="3141" spans="1:32" ht="12.75" hidden="1" customHeight="1">
      <c r="A3141" s="125" t="str">
        <f t="shared" si="318"/>
        <v>LIC36Int Income - Corporate Bonds</v>
      </c>
      <c r="B3141" s="125">
        <f>+IFERROR(VLOOKUP(L3141,'TB mapping'!A:D,4,0),0)</f>
        <v>0</v>
      </c>
      <c r="C3141" s="125">
        <f>+IFERROR(VLOOKUP(L3141,'TB mapping'!A:C,3,0),0)</f>
        <v>5.2</v>
      </c>
      <c r="D3141" s="125" t="str">
        <f t="shared" si="319"/>
        <v>LIC360</v>
      </c>
      <c r="E3141" s="125" t="str">
        <f t="shared" si="320"/>
        <v>LIC365.2</v>
      </c>
      <c r="F3141" s="158" t="str">
        <f>+VLOOKUP(H3141,'code mapping'!A:C,3,0)</f>
        <v>LIC36</v>
      </c>
      <c r="G3141" s="127" t="s">
        <v>453</v>
      </c>
      <c r="H3141" s="127" t="s">
        <v>810</v>
      </c>
      <c r="I3141" s="127" t="s">
        <v>60</v>
      </c>
      <c r="J3141" s="128">
        <v>450000</v>
      </c>
      <c r="K3141" s="127" t="s">
        <v>532</v>
      </c>
      <c r="L3141" s="151">
        <v>452120</v>
      </c>
      <c r="M3141" s="128">
        <v>0</v>
      </c>
      <c r="N3141" s="127" t="s">
        <v>534</v>
      </c>
      <c r="O3141" s="127" t="s">
        <v>457</v>
      </c>
      <c r="P3141" s="128">
        <v>0</v>
      </c>
      <c r="Q3141" s="128">
        <v>10157753.43</v>
      </c>
      <c r="R3141" s="128">
        <v>0</v>
      </c>
      <c r="S3141" s="128">
        <v>0</v>
      </c>
      <c r="T3141" s="128">
        <v>0</v>
      </c>
      <c r="U3141" s="128">
        <v>10157753.43</v>
      </c>
      <c r="V3141" s="128">
        <v>0</v>
      </c>
      <c r="W3141" s="128">
        <v>10157753.43</v>
      </c>
      <c r="X3141" s="128">
        <v>0</v>
      </c>
      <c r="Y3141" s="128">
        <v>0</v>
      </c>
      <c r="Z3141" s="128">
        <v>0</v>
      </c>
      <c r="AA3141" s="128">
        <v>10157753.43</v>
      </c>
      <c r="AB3141" s="126">
        <f t="shared" si="321"/>
        <v>-1.0157753430000001</v>
      </c>
      <c r="AC3141" s="122" t="s">
        <v>1838</v>
      </c>
      <c r="AD3141" s="123">
        <f t="shared" si="323"/>
        <v>-970.32315764099997</v>
      </c>
    </row>
    <row r="3142" spans="1:32" ht="12.75" hidden="1" customHeight="1">
      <c r="A3142" s="125" t="str">
        <f t="shared" si="318"/>
        <v>LIC36Amort. Income - CP</v>
      </c>
      <c r="B3142" s="125">
        <f>+IFERROR(VLOOKUP(L3142,'TB mapping'!A:D,4,0),0)</f>
        <v>0</v>
      </c>
      <c r="C3142" s="125">
        <f>+IFERROR(VLOOKUP(L3142,'TB mapping'!A:C,3,0),0)</f>
        <v>5.2</v>
      </c>
      <c r="D3142" s="125" t="str">
        <f t="shared" si="319"/>
        <v>LIC360</v>
      </c>
      <c r="E3142" s="125" t="str">
        <f t="shared" si="320"/>
        <v>LIC365.2</v>
      </c>
      <c r="F3142" s="158" t="str">
        <f>+VLOOKUP(H3142,'code mapping'!A:C,3,0)</f>
        <v>LIC36</v>
      </c>
      <c r="G3142" s="127" t="s">
        <v>453</v>
      </c>
      <c r="H3142" s="127" t="s">
        <v>810</v>
      </c>
      <c r="I3142" s="127" t="s">
        <v>60</v>
      </c>
      <c r="J3142" s="128">
        <v>450000</v>
      </c>
      <c r="K3142" s="127" t="s">
        <v>532</v>
      </c>
      <c r="L3142" s="151">
        <v>452180</v>
      </c>
      <c r="M3142" s="128">
        <v>0</v>
      </c>
      <c r="N3142" s="127" t="s">
        <v>663</v>
      </c>
      <c r="O3142" s="127" t="s">
        <v>457</v>
      </c>
      <c r="P3142" s="128">
        <v>0</v>
      </c>
      <c r="Q3142" s="128">
        <v>7340429697.0200005</v>
      </c>
      <c r="R3142" s="128">
        <v>0</v>
      </c>
      <c r="S3142" s="128">
        <v>0</v>
      </c>
      <c r="T3142" s="128">
        <v>0</v>
      </c>
      <c r="U3142" s="128">
        <v>7340429697.0200005</v>
      </c>
      <c r="V3142" s="128">
        <v>0</v>
      </c>
      <c r="W3142" s="128">
        <v>7340429697.0200005</v>
      </c>
      <c r="X3142" s="128">
        <v>0</v>
      </c>
      <c r="Y3142" s="128">
        <v>0</v>
      </c>
      <c r="Z3142" s="128">
        <v>0</v>
      </c>
      <c r="AA3142" s="128">
        <v>7340429697.0200005</v>
      </c>
      <c r="AB3142" s="126">
        <f t="shared" si="321"/>
        <v>-734.04296970200005</v>
      </c>
      <c r="AC3142" s="122" t="s">
        <v>1838</v>
      </c>
      <c r="AD3142" s="123">
        <f t="shared" si="323"/>
        <v>-970.32315764099997</v>
      </c>
    </row>
    <row r="3143" spans="1:32" ht="12.75" hidden="1" customHeight="1">
      <c r="A3143" s="125" t="str">
        <f t="shared" si="318"/>
        <v>LIC36Amort. Income - CD</v>
      </c>
      <c r="B3143" s="125">
        <f>+IFERROR(VLOOKUP(L3143,'TB mapping'!A:D,4,0),0)</f>
        <v>0</v>
      </c>
      <c r="C3143" s="125">
        <f>+IFERROR(VLOOKUP(L3143,'TB mapping'!A:C,3,0),0)</f>
        <v>5.2</v>
      </c>
      <c r="D3143" s="125" t="str">
        <f t="shared" si="319"/>
        <v>LIC360</v>
      </c>
      <c r="E3143" s="125" t="str">
        <f t="shared" si="320"/>
        <v>LIC365.2</v>
      </c>
      <c r="F3143" s="158" t="str">
        <f>+VLOOKUP(H3143,'code mapping'!A:C,3,0)</f>
        <v>LIC36</v>
      </c>
      <c r="G3143" s="127" t="s">
        <v>453</v>
      </c>
      <c r="H3143" s="127" t="s">
        <v>810</v>
      </c>
      <c r="I3143" s="127" t="s">
        <v>60</v>
      </c>
      <c r="J3143" s="128">
        <v>450000</v>
      </c>
      <c r="K3143" s="127" t="s">
        <v>532</v>
      </c>
      <c r="L3143" s="151">
        <v>452181</v>
      </c>
      <c r="M3143" s="128">
        <v>0</v>
      </c>
      <c r="N3143" s="127" t="s">
        <v>664</v>
      </c>
      <c r="O3143" s="127" t="s">
        <v>457</v>
      </c>
      <c r="P3143" s="128">
        <v>0</v>
      </c>
      <c r="Q3143" s="128">
        <v>1196788667.47</v>
      </c>
      <c r="R3143" s="128">
        <v>0</v>
      </c>
      <c r="S3143" s="128">
        <v>0</v>
      </c>
      <c r="T3143" s="128">
        <v>0</v>
      </c>
      <c r="U3143" s="128">
        <v>1196788667.47</v>
      </c>
      <c r="V3143" s="128">
        <v>0</v>
      </c>
      <c r="W3143" s="128">
        <v>1196788667.47</v>
      </c>
      <c r="X3143" s="128">
        <v>0</v>
      </c>
      <c r="Y3143" s="128">
        <v>0</v>
      </c>
      <c r="Z3143" s="128">
        <v>0</v>
      </c>
      <c r="AA3143" s="128">
        <v>1196788667.47</v>
      </c>
      <c r="AB3143" s="126">
        <f t="shared" si="321"/>
        <v>-119.678866747</v>
      </c>
      <c r="AC3143" s="122" t="s">
        <v>1838</v>
      </c>
      <c r="AD3143" s="123">
        <f t="shared" si="323"/>
        <v>-970.32315764099997</v>
      </c>
    </row>
    <row r="3144" spans="1:32" ht="12.75" hidden="1" customHeight="1">
      <c r="A3144" s="125" t="str">
        <f t="shared" si="318"/>
        <v>LIC36Int Income - Fixed Deposit</v>
      </c>
      <c r="B3144" s="125">
        <f>+IFERROR(VLOOKUP(L3144,'TB mapping'!A:D,4,0),0)</f>
        <v>0</v>
      </c>
      <c r="C3144" s="125">
        <f>+IFERROR(VLOOKUP(L3144,'TB mapping'!A:C,3,0),0)</f>
        <v>5.2</v>
      </c>
      <c r="D3144" s="125" t="str">
        <f t="shared" si="319"/>
        <v>LIC360</v>
      </c>
      <c r="E3144" s="125" t="str">
        <f t="shared" si="320"/>
        <v>LIC365.2</v>
      </c>
      <c r="F3144" s="158" t="str">
        <f>+VLOOKUP(H3144,'code mapping'!A:C,3,0)</f>
        <v>LIC36</v>
      </c>
      <c r="G3144" s="127" t="s">
        <v>453</v>
      </c>
      <c r="H3144" s="127" t="s">
        <v>810</v>
      </c>
      <c r="I3144" s="127" t="s">
        <v>60</v>
      </c>
      <c r="J3144" s="128">
        <v>450000</v>
      </c>
      <c r="K3144" s="127" t="s">
        <v>532</v>
      </c>
      <c r="L3144" s="151">
        <v>452223</v>
      </c>
      <c r="M3144" s="128">
        <v>0</v>
      </c>
      <c r="N3144" s="127" t="s">
        <v>775</v>
      </c>
      <c r="O3144" s="127" t="s">
        <v>457</v>
      </c>
      <c r="P3144" s="128">
        <v>0</v>
      </c>
      <c r="Q3144" s="128">
        <v>194863013.69999999</v>
      </c>
      <c r="R3144" s="128">
        <v>0</v>
      </c>
      <c r="S3144" s="128">
        <v>0</v>
      </c>
      <c r="T3144" s="128">
        <v>0</v>
      </c>
      <c r="U3144" s="128">
        <v>194863013.69999999</v>
      </c>
      <c r="V3144" s="128">
        <v>0</v>
      </c>
      <c r="W3144" s="128">
        <v>194863013.69999999</v>
      </c>
      <c r="X3144" s="128">
        <v>0</v>
      </c>
      <c r="Y3144" s="128">
        <v>0</v>
      </c>
      <c r="Z3144" s="128">
        <v>0</v>
      </c>
      <c r="AA3144" s="128">
        <v>194863013.69999999</v>
      </c>
      <c r="AB3144" s="126">
        <f t="shared" si="321"/>
        <v>-19.48630137</v>
      </c>
      <c r="AC3144" s="122" t="s">
        <v>1838</v>
      </c>
      <c r="AD3144" s="123">
        <f t="shared" si="323"/>
        <v>-970.32315764099997</v>
      </c>
    </row>
    <row r="3145" spans="1:32" ht="12.75" hidden="1" customHeight="1">
      <c r="A3145" s="125" t="str">
        <f t="shared" si="318"/>
        <v>LIC36Amort. Income - CBLO</v>
      </c>
      <c r="B3145" s="125">
        <f>+IFERROR(VLOOKUP(L3145,'TB mapping'!A:D,4,0),0)</f>
        <v>0</v>
      </c>
      <c r="C3145" s="125">
        <f>+IFERROR(VLOOKUP(L3145,'TB mapping'!A:C,3,0),0)</f>
        <v>5.2</v>
      </c>
      <c r="D3145" s="125" t="str">
        <f t="shared" si="319"/>
        <v>LIC360</v>
      </c>
      <c r="E3145" s="125" t="str">
        <f t="shared" si="320"/>
        <v>LIC365.2</v>
      </c>
      <c r="F3145" s="158" t="str">
        <f>+VLOOKUP(H3145,'code mapping'!A:C,3,0)</f>
        <v>LIC36</v>
      </c>
      <c r="G3145" s="127" t="s">
        <v>453</v>
      </c>
      <c r="H3145" s="127" t="s">
        <v>810</v>
      </c>
      <c r="I3145" s="127" t="s">
        <v>60</v>
      </c>
      <c r="J3145" s="128">
        <v>450000</v>
      </c>
      <c r="K3145" s="127" t="s">
        <v>532</v>
      </c>
      <c r="L3145" s="151">
        <v>452228</v>
      </c>
      <c r="M3145" s="128">
        <v>0</v>
      </c>
      <c r="N3145" s="127" t="s">
        <v>537</v>
      </c>
      <c r="O3145" s="127" t="s">
        <v>457</v>
      </c>
      <c r="P3145" s="128">
        <v>0</v>
      </c>
      <c r="Q3145" s="128">
        <v>373582545.27999997</v>
      </c>
      <c r="R3145" s="128">
        <v>0</v>
      </c>
      <c r="S3145" s="128">
        <v>0</v>
      </c>
      <c r="T3145" s="128">
        <v>0</v>
      </c>
      <c r="U3145" s="128">
        <v>373582545.27999997</v>
      </c>
      <c r="V3145" s="128">
        <v>0</v>
      </c>
      <c r="W3145" s="128">
        <v>373582545.27999997</v>
      </c>
      <c r="X3145" s="128">
        <v>0</v>
      </c>
      <c r="Y3145" s="128">
        <v>0</v>
      </c>
      <c r="Z3145" s="128">
        <v>0</v>
      </c>
      <c r="AA3145" s="128">
        <v>373582545.27999997</v>
      </c>
      <c r="AB3145" s="126">
        <f t="shared" si="321"/>
        <v>-37.358254527999996</v>
      </c>
      <c r="AC3145" s="122" t="s">
        <v>1838</v>
      </c>
      <c r="AD3145" s="123">
        <f t="shared" si="323"/>
        <v>-970.32315764099997</v>
      </c>
    </row>
    <row r="3146" spans="1:32" ht="12.75" hidden="1" customHeight="1">
      <c r="A3146" s="125" t="str">
        <f t="shared" si="318"/>
        <v>LIC36Int Income - Repo Deposits</v>
      </c>
      <c r="B3146" s="125">
        <f>+IFERROR(VLOOKUP(L3146,'TB mapping'!A:D,4,0),0)</f>
        <v>0</v>
      </c>
      <c r="C3146" s="125">
        <f>+IFERROR(VLOOKUP(L3146,'TB mapping'!A:C,3,0),0)</f>
        <v>5.2</v>
      </c>
      <c r="D3146" s="125" t="str">
        <f t="shared" si="319"/>
        <v>LIC360</v>
      </c>
      <c r="E3146" s="125" t="str">
        <f t="shared" si="320"/>
        <v>LIC365.2</v>
      </c>
      <c r="F3146" s="158" t="str">
        <f>+VLOOKUP(H3146,'code mapping'!A:C,3,0)</f>
        <v>LIC36</v>
      </c>
      <c r="G3146" s="127" t="s">
        <v>453</v>
      </c>
      <c r="H3146" s="127" t="s">
        <v>810</v>
      </c>
      <c r="I3146" s="127" t="s">
        <v>60</v>
      </c>
      <c r="J3146" s="128">
        <v>450000</v>
      </c>
      <c r="K3146" s="127" t="s">
        <v>532</v>
      </c>
      <c r="L3146" s="151">
        <v>452230</v>
      </c>
      <c r="M3146" s="128">
        <v>0</v>
      </c>
      <c r="N3146" s="127" t="s">
        <v>538</v>
      </c>
      <c r="O3146" s="127" t="s">
        <v>457</v>
      </c>
      <c r="P3146" s="128">
        <v>0</v>
      </c>
      <c r="Q3146" s="128">
        <v>153869823.55000001</v>
      </c>
      <c r="R3146" s="128">
        <v>0</v>
      </c>
      <c r="S3146" s="128">
        <v>0</v>
      </c>
      <c r="T3146" s="128">
        <v>0</v>
      </c>
      <c r="U3146" s="128">
        <v>153869823.55000001</v>
      </c>
      <c r="V3146" s="128">
        <v>0</v>
      </c>
      <c r="W3146" s="128">
        <v>153869823.55000001</v>
      </c>
      <c r="X3146" s="128">
        <v>0</v>
      </c>
      <c r="Y3146" s="128">
        <v>0</v>
      </c>
      <c r="Z3146" s="128">
        <v>0</v>
      </c>
      <c r="AA3146" s="128">
        <v>153869823.55000001</v>
      </c>
      <c r="AB3146" s="126">
        <f t="shared" si="321"/>
        <v>-15.386982355000001</v>
      </c>
      <c r="AC3146" s="122" t="s">
        <v>1838</v>
      </c>
      <c r="AD3146" s="123">
        <f t="shared" si="323"/>
        <v>-970.32315764099997</v>
      </c>
    </row>
    <row r="3147" spans="1:32" ht="12.75" hidden="1" customHeight="1">
      <c r="A3147" s="125" t="str">
        <f t="shared" si="318"/>
        <v>LIC36Misc Income</v>
      </c>
      <c r="B3147" s="125">
        <f>+IFERROR(VLOOKUP(L3147,'TB mapping'!A:D,4,0),0)</f>
        <v>0</v>
      </c>
      <c r="C3147" s="125">
        <f>+IFERROR(VLOOKUP(L3147,'TB mapping'!A:C,3,0),0)</f>
        <v>5.5</v>
      </c>
      <c r="D3147" s="125" t="str">
        <f t="shared" si="319"/>
        <v>LIC360</v>
      </c>
      <c r="E3147" s="125" t="str">
        <f t="shared" si="320"/>
        <v>LIC365.5</v>
      </c>
      <c r="F3147" s="158" t="str">
        <f>+VLOOKUP(H3147,'code mapping'!A:C,3,0)</f>
        <v>LIC36</v>
      </c>
      <c r="G3147" s="127" t="s">
        <v>453</v>
      </c>
      <c r="H3147" s="127" t="s">
        <v>810</v>
      </c>
      <c r="I3147" s="127" t="s">
        <v>60</v>
      </c>
      <c r="J3147" s="128">
        <v>460000</v>
      </c>
      <c r="K3147" s="127" t="s">
        <v>539</v>
      </c>
      <c r="L3147" s="151">
        <v>452233</v>
      </c>
      <c r="M3147" s="128">
        <v>0</v>
      </c>
      <c r="N3147" s="127" t="s">
        <v>706</v>
      </c>
      <c r="O3147" s="127" t="s">
        <v>457</v>
      </c>
      <c r="P3147" s="128">
        <v>0</v>
      </c>
      <c r="Q3147" s="128">
        <v>464.65</v>
      </c>
      <c r="R3147" s="128">
        <v>0</v>
      </c>
      <c r="S3147" s="128">
        <v>0</v>
      </c>
      <c r="T3147" s="128">
        <v>0</v>
      </c>
      <c r="U3147" s="128">
        <v>464.65</v>
      </c>
      <c r="V3147" s="128">
        <v>0</v>
      </c>
      <c r="W3147" s="128">
        <v>464.65</v>
      </c>
      <c r="X3147" s="128">
        <v>0</v>
      </c>
      <c r="Y3147" s="128">
        <v>0</v>
      </c>
      <c r="Z3147" s="128">
        <v>0</v>
      </c>
      <c r="AA3147" s="128">
        <v>464.65</v>
      </c>
      <c r="AB3147" s="126">
        <f t="shared" si="321"/>
        <v>-4.6464999999999996E-5</v>
      </c>
      <c r="AC3147" s="122" t="s">
        <v>1838</v>
      </c>
      <c r="AD3147" s="123">
        <f t="shared" si="323"/>
        <v>-2.768197E-3</v>
      </c>
      <c r="AE3147" s="123">
        <f>-HLOOKUP(F3147,'Sep 2017 HY'!$3:$88,86,0)</f>
        <v>0</v>
      </c>
      <c r="AF3147" s="123">
        <f>+AD3147-AE3147</f>
        <v>-2.768197E-3</v>
      </c>
    </row>
    <row r="3148" spans="1:32" ht="12.75" hidden="1" customHeight="1">
      <c r="A3148" s="125" t="str">
        <f t="shared" si="318"/>
        <v>LIC36Other Income</v>
      </c>
      <c r="B3148" s="125">
        <f>+IFERROR(VLOOKUP(L3148,'TB mapping'!A:D,4,0),0)</f>
        <v>0</v>
      </c>
      <c r="C3148" s="125">
        <f>+IFERROR(VLOOKUP(L3148,'TB mapping'!A:C,3,0),0)</f>
        <v>5.5</v>
      </c>
      <c r="D3148" s="125" t="str">
        <f t="shared" si="319"/>
        <v>LIC360</v>
      </c>
      <c r="E3148" s="125" t="str">
        <f t="shared" si="320"/>
        <v>LIC365.5</v>
      </c>
      <c r="F3148" s="158" t="str">
        <f>+VLOOKUP(H3148,'code mapping'!A:C,3,0)</f>
        <v>LIC36</v>
      </c>
      <c r="G3148" s="127" t="s">
        <v>453</v>
      </c>
      <c r="H3148" s="127" t="s">
        <v>810</v>
      </c>
      <c r="I3148" s="127" t="s">
        <v>60</v>
      </c>
      <c r="J3148" s="128">
        <v>460000</v>
      </c>
      <c r="K3148" s="127" t="s">
        <v>539</v>
      </c>
      <c r="L3148" s="151">
        <v>460000</v>
      </c>
      <c r="M3148" s="128">
        <v>0</v>
      </c>
      <c r="N3148" s="127" t="s">
        <v>541</v>
      </c>
      <c r="O3148" s="127" t="s">
        <v>457</v>
      </c>
      <c r="P3148" s="128">
        <v>0</v>
      </c>
      <c r="Q3148" s="128">
        <v>27217.32</v>
      </c>
      <c r="R3148" s="128">
        <v>0</v>
      </c>
      <c r="S3148" s="128">
        <v>0</v>
      </c>
      <c r="T3148" s="128">
        <v>0</v>
      </c>
      <c r="U3148" s="128">
        <v>27217.32</v>
      </c>
      <c r="V3148" s="128">
        <v>0</v>
      </c>
      <c r="W3148" s="128">
        <v>27217.32</v>
      </c>
      <c r="X3148" s="128">
        <v>0</v>
      </c>
      <c r="Y3148" s="128">
        <v>0</v>
      </c>
      <c r="Z3148" s="128">
        <v>0</v>
      </c>
      <c r="AA3148" s="128">
        <v>27217.32</v>
      </c>
      <c r="AB3148" s="126">
        <f t="shared" si="321"/>
        <v>-2.7217320000000001E-3</v>
      </c>
      <c r="AC3148" s="122" t="s">
        <v>1838</v>
      </c>
      <c r="AD3148" s="123">
        <f t="shared" si="323"/>
        <v>-2.768197E-3</v>
      </c>
    </row>
    <row r="3149" spans="1:32" ht="12.75" hidden="1" customHeight="1">
      <c r="A3149" s="125" t="str">
        <f t="shared" si="318"/>
        <v>LIC36Interplan Adjustment- RG</v>
      </c>
      <c r="B3149" s="125">
        <f>+IFERROR(VLOOKUP(L3149,'TB mapping'!A:D,4,0),0)</f>
        <v>0</v>
      </c>
      <c r="C3149" s="125">
        <f>+IFERROR(VLOOKUP(L3149,'TB mapping'!A:C,3,0),0)</f>
        <v>5.5</v>
      </c>
      <c r="D3149" s="125" t="str">
        <f t="shared" si="319"/>
        <v>LIC360</v>
      </c>
      <c r="E3149" s="125" t="str">
        <f t="shared" si="320"/>
        <v>LIC365.5</v>
      </c>
      <c r="F3149" s="158" t="str">
        <f>+VLOOKUP(H3149,'code mapping'!A:C,3,0)</f>
        <v>LIC36</v>
      </c>
      <c r="G3149" s="127" t="s">
        <v>453</v>
      </c>
      <c r="H3149" s="127" t="s">
        <v>810</v>
      </c>
      <c r="I3149" s="127" t="s">
        <v>60</v>
      </c>
      <c r="J3149" s="128">
        <v>460000</v>
      </c>
      <c r="K3149" s="127" t="s">
        <v>539</v>
      </c>
      <c r="L3149" s="151">
        <v>460101</v>
      </c>
      <c r="M3149" s="128">
        <v>0</v>
      </c>
      <c r="N3149" s="127" t="s">
        <v>542</v>
      </c>
      <c r="O3149" s="127" t="s">
        <v>457</v>
      </c>
      <c r="P3149" s="128">
        <v>-233.71</v>
      </c>
      <c r="Q3149" s="128">
        <v>0</v>
      </c>
      <c r="R3149" s="128">
        <v>0</v>
      </c>
      <c r="S3149" s="128">
        <v>0</v>
      </c>
      <c r="T3149" s="128">
        <v>-233.71</v>
      </c>
      <c r="U3149" s="128">
        <v>0</v>
      </c>
      <c r="V3149" s="128">
        <v>-233.71</v>
      </c>
      <c r="W3149" s="128">
        <v>0</v>
      </c>
      <c r="X3149" s="128">
        <v>0</v>
      </c>
      <c r="Y3149" s="128">
        <v>0</v>
      </c>
      <c r="Z3149" s="128">
        <v>-233.71</v>
      </c>
      <c r="AA3149" s="128">
        <v>0</v>
      </c>
      <c r="AB3149" s="126">
        <f t="shared" si="321"/>
        <v>2.3371E-5</v>
      </c>
      <c r="AC3149" s="122" t="s">
        <v>1838</v>
      </c>
      <c r="AD3149" s="123">
        <f t="shared" si="323"/>
        <v>-2.768197E-3</v>
      </c>
    </row>
    <row r="3150" spans="1:32" ht="12.75" hidden="1" customHeight="1">
      <c r="A3150" s="125" t="str">
        <f t="shared" si="318"/>
        <v>LIC36Interplan Adjustment- RDD</v>
      </c>
      <c r="B3150" s="125">
        <f>+IFERROR(VLOOKUP(L3150,'TB mapping'!A:D,4,0),0)</f>
        <v>0</v>
      </c>
      <c r="C3150" s="125">
        <f>+IFERROR(VLOOKUP(L3150,'TB mapping'!A:C,3,0),0)</f>
        <v>5.5</v>
      </c>
      <c r="D3150" s="125" t="str">
        <f t="shared" si="319"/>
        <v>LIC360</v>
      </c>
      <c r="E3150" s="125" t="str">
        <f t="shared" si="320"/>
        <v>LIC365.5</v>
      </c>
      <c r="F3150" s="158" t="str">
        <f>+VLOOKUP(H3150,'code mapping'!A:C,3,0)</f>
        <v>LIC36</v>
      </c>
      <c r="G3150" s="127" t="s">
        <v>453</v>
      </c>
      <c r="H3150" s="127" t="s">
        <v>810</v>
      </c>
      <c r="I3150" s="127" t="s">
        <v>60</v>
      </c>
      <c r="J3150" s="128">
        <v>460000</v>
      </c>
      <c r="K3150" s="127" t="s">
        <v>539</v>
      </c>
      <c r="L3150" s="151">
        <v>460112</v>
      </c>
      <c r="M3150" s="128">
        <v>0</v>
      </c>
      <c r="N3150" s="127" t="s">
        <v>665</v>
      </c>
      <c r="O3150" s="127" t="s">
        <v>457</v>
      </c>
      <c r="P3150" s="128">
        <v>0</v>
      </c>
      <c r="Q3150" s="128">
        <v>401.27</v>
      </c>
      <c r="R3150" s="128">
        <v>0</v>
      </c>
      <c r="S3150" s="128">
        <v>0</v>
      </c>
      <c r="T3150" s="128">
        <v>0</v>
      </c>
      <c r="U3150" s="128">
        <v>401.27</v>
      </c>
      <c r="V3150" s="128">
        <v>0</v>
      </c>
      <c r="W3150" s="128">
        <v>401.27</v>
      </c>
      <c r="X3150" s="128">
        <v>0</v>
      </c>
      <c r="Y3150" s="128">
        <v>0</v>
      </c>
      <c r="Z3150" s="128">
        <v>0</v>
      </c>
      <c r="AA3150" s="128">
        <v>401.27</v>
      </c>
      <c r="AB3150" s="126">
        <f t="shared" si="321"/>
        <v>-4.0126999999999997E-5</v>
      </c>
      <c r="AC3150" s="122" t="s">
        <v>1838</v>
      </c>
      <c r="AD3150" s="123">
        <f t="shared" si="323"/>
        <v>-2.768197E-3</v>
      </c>
    </row>
    <row r="3151" spans="1:32" ht="12.75" hidden="1" customHeight="1">
      <c r="A3151" s="125" t="str">
        <f t="shared" si="318"/>
        <v>LIC36Interplan Adjustment- GDP</v>
      </c>
      <c r="B3151" s="125">
        <f>+IFERROR(VLOOKUP(L3151,'TB mapping'!A:D,4,0),0)</f>
        <v>0</v>
      </c>
      <c r="C3151" s="125">
        <f>+IFERROR(VLOOKUP(L3151,'TB mapping'!A:C,3,0),0)</f>
        <v>5.5</v>
      </c>
      <c r="D3151" s="125" t="str">
        <f t="shared" si="319"/>
        <v>LIC360</v>
      </c>
      <c r="E3151" s="125" t="str">
        <f t="shared" si="320"/>
        <v>LIC365.5</v>
      </c>
      <c r="F3151" s="158" t="str">
        <f>+VLOOKUP(H3151,'code mapping'!A:C,3,0)</f>
        <v>LIC36</v>
      </c>
      <c r="G3151" s="127" t="s">
        <v>453</v>
      </c>
      <c r="H3151" s="127" t="s">
        <v>810</v>
      </c>
      <c r="I3151" s="127" t="s">
        <v>60</v>
      </c>
      <c r="J3151" s="128">
        <v>460000</v>
      </c>
      <c r="K3151" s="127" t="s">
        <v>539</v>
      </c>
      <c r="L3151" s="151">
        <v>460143</v>
      </c>
      <c r="M3151" s="128">
        <v>0</v>
      </c>
      <c r="N3151" s="127" t="s">
        <v>544</v>
      </c>
      <c r="O3151" s="127" t="s">
        <v>457</v>
      </c>
      <c r="P3151" s="128">
        <v>-213.79</v>
      </c>
      <c r="Q3151" s="128">
        <v>0</v>
      </c>
      <c r="R3151" s="128">
        <v>0</v>
      </c>
      <c r="S3151" s="128">
        <v>0</v>
      </c>
      <c r="T3151" s="128">
        <v>-213.79</v>
      </c>
      <c r="U3151" s="128">
        <v>0</v>
      </c>
      <c r="V3151" s="128">
        <v>-213.79</v>
      </c>
      <c r="W3151" s="128">
        <v>0</v>
      </c>
      <c r="X3151" s="128">
        <v>0</v>
      </c>
      <c r="Y3151" s="128">
        <v>0</v>
      </c>
      <c r="Z3151" s="128">
        <v>-213.79</v>
      </c>
      <c r="AA3151" s="128">
        <v>0</v>
      </c>
      <c r="AB3151" s="126">
        <f t="shared" si="321"/>
        <v>2.1379E-5</v>
      </c>
      <c r="AC3151" s="122" t="s">
        <v>1838</v>
      </c>
      <c r="AD3151" s="123">
        <f t="shared" si="323"/>
        <v>-2.768197E-3</v>
      </c>
    </row>
    <row r="3152" spans="1:32" ht="12.75" hidden="1" customHeight="1">
      <c r="A3152" s="125" t="str">
        <f t="shared" si="318"/>
        <v>LIC36Interplan Adjustment- DDP</v>
      </c>
      <c r="B3152" s="125">
        <f>+IFERROR(VLOOKUP(L3152,'TB mapping'!A:D,4,0),0)</f>
        <v>0</v>
      </c>
      <c r="C3152" s="125">
        <f>+IFERROR(VLOOKUP(L3152,'TB mapping'!A:C,3,0),0)</f>
        <v>5.5</v>
      </c>
      <c r="D3152" s="125" t="str">
        <f t="shared" si="319"/>
        <v>LIC360</v>
      </c>
      <c r="E3152" s="125" t="str">
        <f t="shared" si="320"/>
        <v>LIC365.5</v>
      </c>
      <c r="F3152" s="158" t="str">
        <f>+VLOOKUP(H3152,'code mapping'!A:C,3,0)</f>
        <v>LIC36</v>
      </c>
      <c r="G3152" s="127" t="s">
        <v>453</v>
      </c>
      <c r="H3152" s="127" t="s">
        <v>810</v>
      </c>
      <c r="I3152" s="127" t="s">
        <v>60</v>
      </c>
      <c r="J3152" s="128">
        <v>460000</v>
      </c>
      <c r="K3152" s="127" t="s">
        <v>539</v>
      </c>
      <c r="L3152" s="151">
        <v>460144</v>
      </c>
      <c r="M3152" s="128">
        <v>0</v>
      </c>
      <c r="N3152" s="127" t="s">
        <v>545</v>
      </c>
      <c r="O3152" s="127" t="s">
        <v>457</v>
      </c>
      <c r="P3152" s="128">
        <v>0</v>
      </c>
      <c r="Q3152" s="128">
        <v>46.23</v>
      </c>
      <c r="R3152" s="128">
        <v>0</v>
      </c>
      <c r="S3152" s="128">
        <v>0</v>
      </c>
      <c r="T3152" s="128">
        <v>0</v>
      </c>
      <c r="U3152" s="128">
        <v>46.23</v>
      </c>
      <c r="V3152" s="128">
        <v>0</v>
      </c>
      <c r="W3152" s="128">
        <v>46.23</v>
      </c>
      <c r="X3152" s="128">
        <v>0</v>
      </c>
      <c r="Y3152" s="128">
        <v>0</v>
      </c>
      <c r="Z3152" s="128">
        <v>0</v>
      </c>
      <c r="AA3152" s="128">
        <v>46.23</v>
      </c>
      <c r="AB3152" s="126">
        <f t="shared" si="321"/>
        <v>-4.6229999999999996E-6</v>
      </c>
      <c r="AC3152" s="122" t="s">
        <v>1838</v>
      </c>
      <c r="AD3152" s="123">
        <f t="shared" si="323"/>
        <v>-2.768197E-3</v>
      </c>
    </row>
    <row r="3153" spans="1:30" ht="12.75" hidden="1" customHeight="1">
      <c r="A3153" s="125" t="str">
        <f t="shared" si="318"/>
        <v>LIC36Interest Expense</v>
      </c>
      <c r="B3153" s="125">
        <f>+IFERROR(VLOOKUP(L3153,'TB mapping'!A:D,4,0),0)</f>
        <v>0</v>
      </c>
      <c r="C3153" s="125">
        <f>+IFERROR(VLOOKUP(L3153,'TB mapping'!A:C,3,0),0)</f>
        <v>6.3</v>
      </c>
      <c r="D3153" s="125" t="str">
        <f t="shared" si="319"/>
        <v>LIC360</v>
      </c>
      <c r="E3153" s="125" t="str">
        <f t="shared" si="320"/>
        <v>LIC366.3</v>
      </c>
      <c r="F3153" s="158" t="str">
        <f>+VLOOKUP(H3153,'code mapping'!A:C,3,0)</f>
        <v>LIC36</v>
      </c>
      <c r="G3153" s="127" t="s">
        <v>453</v>
      </c>
      <c r="H3153" s="127" t="s">
        <v>810</v>
      </c>
      <c r="I3153" s="127" t="s">
        <v>60</v>
      </c>
      <c r="J3153" s="128">
        <v>460000</v>
      </c>
      <c r="K3153" s="127" t="s">
        <v>539</v>
      </c>
      <c r="L3153" s="151">
        <v>553139</v>
      </c>
      <c r="M3153" s="128">
        <v>0</v>
      </c>
      <c r="N3153" s="127" t="s">
        <v>739</v>
      </c>
      <c r="O3153" s="127" t="s">
        <v>457</v>
      </c>
      <c r="P3153" s="128">
        <v>-16349165.23</v>
      </c>
      <c r="Q3153" s="128">
        <v>0</v>
      </c>
      <c r="R3153" s="128">
        <v>0</v>
      </c>
      <c r="S3153" s="128">
        <v>0</v>
      </c>
      <c r="T3153" s="128">
        <v>-16349165.23</v>
      </c>
      <c r="U3153" s="128">
        <v>0</v>
      </c>
      <c r="V3153" s="128">
        <v>-16349165.23</v>
      </c>
      <c r="W3153" s="128">
        <v>0</v>
      </c>
      <c r="X3153" s="128">
        <v>0</v>
      </c>
      <c r="Y3153" s="128">
        <v>0</v>
      </c>
      <c r="Z3153" s="128">
        <v>-16349165.23</v>
      </c>
      <c r="AA3153" s="128">
        <v>0</v>
      </c>
      <c r="AB3153" s="126">
        <f t="shared" si="321"/>
        <v>1.634916523</v>
      </c>
      <c r="AC3153" s="122" t="s">
        <v>1838</v>
      </c>
      <c r="AD3153" s="123">
        <f t="shared" si="323"/>
        <v>18.797413702</v>
      </c>
    </row>
    <row r="3154" spans="1:30" ht="12.75" hidden="1" customHeight="1">
      <c r="A3154" s="125" t="str">
        <f t="shared" si="318"/>
        <v>LIC36R/L L/P - Corp Bond/Debenture</v>
      </c>
      <c r="B3154" s="125">
        <f>+IFERROR(VLOOKUP(L3154,'TB mapping'!A:D,4,0),0)</f>
        <v>0</v>
      </c>
      <c r="C3154" s="125">
        <f>+IFERROR(VLOOKUP(L3154,'TB mapping'!A:C,3,0),0)</f>
        <v>5.3</v>
      </c>
      <c r="D3154" s="125" t="str">
        <f t="shared" si="319"/>
        <v>LIC360</v>
      </c>
      <c r="E3154" s="125" t="str">
        <f t="shared" si="320"/>
        <v>LIC365.3</v>
      </c>
      <c r="F3154" s="158" t="str">
        <f>+VLOOKUP(H3154,'code mapping'!A:C,3,0)</f>
        <v>LIC36</v>
      </c>
      <c r="G3154" s="127" t="s">
        <v>453</v>
      </c>
      <c r="H3154" s="127" t="s">
        <v>810</v>
      </c>
      <c r="I3154" s="127" t="s">
        <v>60</v>
      </c>
      <c r="J3154" s="128">
        <v>510000</v>
      </c>
      <c r="K3154" s="127" t="s">
        <v>546</v>
      </c>
      <c r="L3154" s="151">
        <v>512120</v>
      </c>
      <c r="M3154" s="128">
        <v>0</v>
      </c>
      <c r="N3154" s="127" t="s">
        <v>547</v>
      </c>
      <c r="O3154" s="127" t="s">
        <v>457</v>
      </c>
      <c r="P3154" s="128">
        <v>-2072400</v>
      </c>
      <c r="Q3154" s="128">
        <v>0</v>
      </c>
      <c r="R3154" s="128">
        <v>0</v>
      </c>
      <c r="S3154" s="128">
        <v>0</v>
      </c>
      <c r="T3154" s="128">
        <v>-2072400</v>
      </c>
      <c r="U3154" s="128">
        <v>0</v>
      </c>
      <c r="V3154" s="128">
        <v>-2072400</v>
      </c>
      <c r="W3154" s="128">
        <v>0</v>
      </c>
      <c r="X3154" s="128">
        <v>0</v>
      </c>
      <c r="Y3154" s="128">
        <v>0</v>
      </c>
      <c r="Z3154" s="128">
        <v>-2072400</v>
      </c>
      <c r="AA3154" s="128">
        <v>0</v>
      </c>
      <c r="AB3154" s="126">
        <f t="shared" si="321"/>
        <v>0.20724000000000001</v>
      </c>
      <c r="AC3154" s="122" t="s">
        <v>1838</v>
      </c>
      <c r="AD3154" s="123">
        <f t="shared" si="323"/>
        <v>4.5503848E-2</v>
      </c>
    </row>
    <row r="3155" spans="1:30" ht="12.75" hidden="1" customHeight="1">
      <c r="A3155" s="125" t="str">
        <f t="shared" si="318"/>
        <v>LIC36R/L L/P - Commercial Paper</v>
      </c>
      <c r="B3155" s="125">
        <f>+IFERROR(VLOOKUP(L3155,'TB mapping'!A:D,4,0),0)</f>
        <v>0</v>
      </c>
      <c r="C3155" s="125">
        <f>+IFERROR(VLOOKUP(L3155,'TB mapping'!A:C,3,0),0)</f>
        <v>5.3</v>
      </c>
      <c r="D3155" s="125" t="str">
        <f t="shared" si="319"/>
        <v>LIC360</v>
      </c>
      <c r="E3155" s="125" t="str">
        <f t="shared" si="320"/>
        <v>LIC365.3</v>
      </c>
      <c r="F3155" s="158" t="str">
        <f>+VLOOKUP(H3155,'code mapping'!A:C,3,0)</f>
        <v>LIC36</v>
      </c>
      <c r="G3155" s="127" t="s">
        <v>453</v>
      </c>
      <c r="H3155" s="127" t="s">
        <v>810</v>
      </c>
      <c r="I3155" s="127" t="s">
        <v>60</v>
      </c>
      <c r="J3155" s="128">
        <v>510000</v>
      </c>
      <c r="K3155" s="127" t="s">
        <v>546</v>
      </c>
      <c r="L3155" s="151">
        <v>512180</v>
      </c>
      <c r="M3155" s="128">
        <v>0</v>
      </c>
      <c r="N3155" s="127" t="s">
        <v>818</v>
      </c>
      <c r="O3155" s="127" t="s">
        <v>457</v>
      </c>
      <c r="P3155" s="128">
        <v>-426945.47</v>
      </c>
      <c r="Q3155" s="128">
        <v>0</v>
      </c>
      <c r="R3155" s="128">
        <v>0</v>
      </c>
      <c r="S3155" s="128">
        <v>0</v>
      </c>
      <c r="T3155" s="128">
        <v>-426945.47</v>
      </c>
      <c r="U3155" s="128">
        <v>0</v>
      </c>
      <c r="V3155" s="128">
        <v>-426945.47</v>
      </c>
      <c r="W3155" s="128">
        <v>0</v>
      </c>
      <c r="X3155" s="128">
        <v>0</v>
      </c>
      <c r="Y3155" s="128">
        <v>0</v>
      </c>
      <c r="Z3155" s="128">
        <v>-426945.47</v>
      </c>
      <c r="AA3155" s="128">
        <v>0</v>
      </c>
      <c r="AB3155" s="126">
        <f t="shared" si="321"/>
        <v>4.2694546999999999E-2</v>
      </c>
      <c r="AC3155" s="122" t="s">
        <v>1838</v>
      </c>
      <c r="AD3155" s="123">
        <f t="shared" si="323"/>
        <v>4.5503848E-2</v>
      </c>
    </row>
    <row r="3156" spans="1:30" ht="12.75" hidden="1" customHeight="1">
      <c r="A3156" s="125" t="str">
        <f t="shared" si="318"/>
        <v>LIC36R/L L/P - Cert. of Deposits</v>
      </c>
      <c r="B3156" s="125">
        <f>+IFERROR(VLOOKUP(L3156,'TB mapping'!A:D,4,0),0)</f>
        <v>0</v>
      </c>
      <c r="C3156" s="125">
        <f>+IFERROR(VLOOKUP(L3156,'TB mapping'!A:C,3,0),0)</f>
        <v>5.3</v>
      </c>
      <c r="D3156" s="125" t="str">
        <f t="shared" si="319"/>
        <v>LIC360</v>
      </c>
      <c r="E3156" s="125" t="str">
        <f t="shared" si="320"/>
        <v>LIC365.3</v>
      </c>
      <c r="F3156" s="158" t="str">
        <f>+VLOOKUP(H3156,'code mapping'!A:C,3,0)</f>
        <v>LIC36</v>
      </c>
      <c r="G3156" s="127" t="s">
        <v>453</v>
      </c>
      <c r="H3156" s="127" t="s">
        <v>810</v>
      </c>
      <c r="I3156" s="127" t="s">
        <v>60</v>
      </c>
      <c r="J3156" s="128">
        <v>510000</v>
      </c>
      <c r="K3156" s="127" t="s">
        <v>546</v>
      </c>
      <c r="L3156" s="151">
        <v>512190</v>
      </c>
      <c r="M3156" s="128">
        <v>0</v>
      </c>
      <c r="N3156" s="127" t="s">
        <v>819</v>
      </c>
      <c r="O3156" s="127" t="s">
        <v>457</v>
      </c>
      <c r="P3156" s="128">
        <v>-566043.57000000007</v>
      </c>
      <c r="Q3156" s="128">
        <v>0</v>
      </c>
      <c r="R3156" s="128">
        <v>0</v>
      </c>
      <c r="S3156" s="128">
        <v>0</v>
      </c>
      <c r="T3156" s="128">
        <v>-566043.57000000007</v>
      </c>
      <c r="U3156" s="128">
        <v>0</v>
      </c>
      <c r="V3156" s="128">
        <v>-566043.57000000007</v>
      </c>
      <c r="W3156" s="128">
        <v>0</v>
      </c>
      <c r="X3156" s="128">
        <v>0</v>
      </c>
      <c r="Y3156" s="128">
        <v>0</v>
      </c>
      <c r="Z3156" s="128">
        <v>-566043.57000000007</v>
      </c>
      <c r="AA3156" s="128">
        <v>0</v>
      </c>
      <c r="AB3156" s="126">
        <f t="shared" si="321"/>
        <v>5.6604357000000008E-2</v>
      </c>
      <c r="AC3156" s="122" t="s">
        <v>1838</v>
      </c>
      <c r="AD3156" s="123">
        <f t="shared" si="323"/>
        <v>4.5503848E-2</v>
      </c>
    </row>
    <row r="3157" spans="1:30" ht="12.75" hidden="1" customHeight="1">
      <c r="A3157" s="125" t="str">
        <f t="shared" si="318"/>
        <v>LIC36R/L L/P - CBLO</v>
      </c>
      <c r="B3157" s="125">
        <f>+IFERROR(VLOOKUP(L3157,'TB mapping'!A:D,4,0),0)</f>
        <v>0</v>
      </c>
      <c r="C3157" s="125">
        <f>+IFERROR(VLOOKUP(L3157,'TB mapping'!A:C,3,0),0)</f>
        <v>5.3</v>
      </c>
      <c r="D3157" s="125" t="str">
        <f t="shared" si="319"/>
        <v>LIC360</v>
      </c>
      <c r="E3157" s="125" t="str">
        <f t="shared" si="320"/>
        <v>LIC365.3</v>
      </c>
      <c r="F3157" s="158" t="str">
        <f>+VLOOKUP(H3157,'code mapping'!A:C,3,0)</f>
        <v>LIC36</v>
      </c>
      <c r="G3157" s="127" t="s">
        <v>453</v>
      </c>
      <c r="H3157" s="127" t="s">
        <v>810</v>
      </c>
      <c r="I3157" s="127" t="s">
        <v>60</v>
      </c>
      <c r="J3157" s="128">
        <v>510000</v>
      </c>
      <c r="K3157" s="127" t="s">
        <v>546</v>
      </c>
      <c r="L3157" s="151">
        <v>512228</v>
      </c>
      <c r="M3157" s="128">
        <v>0</v>
      </c>
      <c r="N3157" s="127" t="s">
        <v>740</v>
      </c>
      <c r="O3157" s="127" t="s">
        <v>457</v>
      </c>
      <c r="P3157" s="128">
        <v>-91713.91</v>
      </c>
      <c r="Q3157" s="128">
        <v>0</v>
      </c>
      <c r="R3157" s="128">
        <v>0</v>
      </c>
      <c r="S3157" s="128">
        <v>0</v>
      </c>
      <c r="T3157" s="128">
        <v>-91713.91</v>
      </c>
      <c r="U3157" s="128">
        <v>0</v>
      </c>
      <c r="V3157" s="128">
        <v>-91713.91</v>
      </c>
      <c r="W3157" s="128">
        <v>0</v>
      </c>
      <c r="X3157" s="128">
        <v>0</v>
      </c>
      <c r="Y3157" s="128">
        <v>0</v>
      </c>
      <c r="Z3157" s="128">
        <v>-91713.91</v>
      </c>
      <c r="AA3157" s="128">
        <v>0</v>
      </c>
      <c r="AB3157" s="126">
        <f t="shared" si="321"/>
        <v>9.171391000000001E-3</v>
      </c>
      <c r="AC3157" s="122" t="s">
        <v>1838</v>
      </c>
      <c r="AD3157" s="123">
        <f t="shared" si="323"/>
        <v>4.5503848E-2</v>
      </c>
    </row>
    <row r="3158" spans="1:30" ht="12.75" hidden="1" customHeight="1">
      <c r="A3158" s="125" t="str">
        <f t="shared" si="318"/>
        <v>LIC36R/L Loss - Inter Scheme CD</v>
      </c>
      <c r="B3158" s="125">
        <f>+IFERROR(VLOOKUP(L3158,'TB mapping'!A:D,4,0),0)</f>
        <v>0</v>
      </c>
      <c r="C3158" s="125">
        <f>+IFERROR(VLOOKUP(L3158,'TB mapping'!A:C,3,0),0)</f>
        <v>5.4</v>
      </c>
      <c r="D3158" s="125" t="str">
        <f t="shared" si="319"/>
        <v>LIC360</v>
      </c>
      <c r="E3158" s="125" t="str">
        <f t="shared" si="320"/>
        <v>LIC365.4</v>
      </c>
      <c r="F3158" s="158" t="str">
        <f>+VLOOKUP(H3158,'code mapping'!A:C,3,0)</f>
        <v>LIC36</v>
      </c>
      <c r="G3158" s="127" t="s">
        <v>453</v>
      </c>
      <c r="H3158" s="127" t="s">
        <v>810</v>
      </c>
      <c r="I3158" s="127" t="s">
        <v>60</v>
      </c>
      <c r="J3158" s="128">
        <v>510000</v>
      </c>
      <c r="K3158" s="127" t="s">
        <v>546</v>
      </c>
      <c r="L3158" s="151">
        <v>527310</v>
      </c>
      <c r="M3158" s="128">
        <v>0</v>
      </c>
      <c r="N3158" s="127" t="s">
        <v>741</v>
      </c>
      <c r="O3158" s="127" t="s">
        <v>457</v>
      </c>
      <c r="P3158" s="128">
        <v>-209056.37</v>
      </c>
      <c r="Q3158" s="128">
        <v>0</v>
      </c>
      <c r="R3158" s="128">
        <v>0</v>
      </c>
      <c r="S3158" s="128">
        <v>0</v>
      </c>
      <c r="T3158" s="128">
        <v>-209056.37</v>
      </c>
      <c r="U3158" s="128">
        <v>0</v>
      </c>
      <c r="V3158" s="128">
        <v>-209056.37</v>
      </c>
      <c r="W3158" s="128">
        <v>0</v>
      </c>
      <c r="X3158" s="128">
        <v>0</v>
      </c>
      <c r="Y3158" s="128">
        <v>0</v>
      </c>
      <c r="Z3158" s="128">
        <v>-209056.37</v>
      </c>
      <c r="AA3158" s="128">
        <v>0</v>
      </c>
      <c r="AB3158" s="126">
        <f t="shared" si="321"/>
        <v>2.0905637000000001E-2</v>
      </c>
      <c r="AC3158" s="122" t="s">
        <v>1838</v>
      </c>
      <c r="AD3158" s="123">
        <f t="shared" si="323"/>
        <v>-0.16897518600000005</v>
      </c>
    </row>
    <row r="3159" spans="1:30" ht="12.75" hidden="1" customHeight="1">
      <c r="A3159" s="125" t="str">
        <f t="shared" si="318"/>
        <v>LIC36R/L Loss - Inter Scheme CP</v>
      </c>
      <c r="B3159" s="125">
        <f>+IFERROR(VLOOKUP(L3159,'TB mapping'!A:D,4,0),0)</f>
        <v>0</v>
      </c>
      <c r="C3159" s="125">
        <f>+IFERROR(VLOOKUP(L3159,'TB mapping'!A:C,3,0),0)</f>
        <v>5.4</v>
      </c>
      <c r="D3159" s="125" t="str">
        <f t="shared" si="319"/>
        <v>LIC360</v>
      </c>
      <c r="E3159" s="125" t="str">
        <f t="shared" si="320"/>
        <v>LIC365.4</v>
      </c>
      <c r="F3159" s="158" t="str">
        <f>+VLOOKUP(H3159,'code mapping'!A:C,3,0)</f>
        <v>LIC36</v>
      </c>
      <c r="G3159" s="127" t="s">
        <v>453</v>
      </c>
      <c r="H3159" s="127" t="s">
        <v>810</v>
      </c>
      <c r="I3159" s="127" t="s">
        <v>60</v>
      </c>
      <c r="J3159" s="128">
        <v>510000</v>
      </c>
      <c r="K3159" s="127" t="s">
        <v>546</v>
      </c>
      <c r="L3159" s="151">
        <v>527311</v>
      </c>
      <c r="M3159" s="128">
        <v>0</v>
      </c>
      <c r="N3159" s="127" t="s">
        <v>673</v>
      </c>
      <c r="O3159" s="127" t="s">
        <v>457</v>
      </c>
      <c r="P3159" s="128">
        <v>-2010640.28</v>
      </c>
      <c r="Q3159" s="128">
        <v>0</v>
      </c>
      <c r="R3159" s="128">
        <v>0</v>
      </c>
      <c r="S3159" s="128">
        <v>0</v>
      </c>
      <c r="T3159" s="128">
        <v>-2010640.28</v>
      </c>
      <c r="U3159" s="128">
        <v>0</v>
      </c>
      <c r="V3159" s="128">
        <v>-2010640.28</v>
      </c>
      <c r="W3159" s="128">
        <v>0</v>
      </c>
      <c r="X3159" s="128">
        <v>0</v>
      </c>
      <c r="Y3159" s="128">
        <v>0</v>
      </c>
      <c r="Z3159" s="128">
        <v>-2010640.28</v>
      </c>
      <c r="AA3159" s="128">
        <v>0</v>
      </c>
      <c r="AB3159" s="126">
        <f t="shared" si="321"/>
        <v>0.20106402800000001</v>
      </c>
      <c r="AC3159" s="122" t="s">
        <v>1838</v>
      </c>
      <c r="AD3159" s="123">
        <f t="shared" si="323"/>
        <v>-0.16897518600000005</v>
      </c>
    </row>
    <row r="3160" spans="1:30" ht="12.75" hidden="1" customHeight="1">
      <c r="A3160" s="125" t="str">
        <f t="shared" si="318"/>
        <v>LIC36SEBI Fees</v>
      </c>
      <c r="B3160" s="125">
        <f>+IFERROR(VLOOKUP(L3160,'TB mapping'!A:D,4,0),0)</f>
        <v>0</v>
      </c>
      <c r="C3160" s="125">
        <f>+IFERROR(VLOOKUP(L3160,'TB mapping'!A:C,3,0),0)</f>
        <v>6.3</v>
      </c>
      <c r="D3160" s="125" t="str">
        <f t="shared" si="319"/>
        <v>LIC360</v>
      </c>
      <c r="E3160" s="125" t="str">
        <f t="shared" si="320"/>
        <v>LIC366.3</v>
      </c>
      <c r="F3160" s="158" t="str">
        <f>+VLOOKUP(H3160,'code mapping'!A:C,3,0)</f>
        <v>LIC36</v>
      </c>
      <c r="G3160" s="127" t="s">
        <v>453</v>
      </c>
      <c r="H3160" s="127" t="s">
        <v>810</v>
      </c>
      <c r="I3160" s="127" t="s">
        <v>60</v>
      </c>
      <c r="J3160" s="128">
        <v>550000</v>
      </c>
      <c r="K3160" s="127" t="s">
        <v>550</v>
      </c>
      <c r="L3160" s="151">
        <v>553007</v>
      </c>
      <c r="M3160" s="128">
        <v>0</v>
      </c>
      <c r="N3160" s="127" t="s">
        <v>551</v>
      </c>
      <c r="O3160" s="127" t="s">
        <v>457</v>
      </c>
      <c r="P3160" s="128">
        <v>-1363659.56</v>
      </c>
      <c r="Q3160" s="128">
        <v>0</v>
      </c>
      <c r="R3160" s="128">
        <v>0</v>
      </c>
      <c r="S3160" s="128">
        <v>0</v>
      </c>
      <c r="T3160" s="128">
        <v>-1363659.56</v>
      </c>
      <c r="U3160" s="128">
        <v>0</v>
      </c>
      <c r="V3160" s="128">
        <v>-1363659.56</v>
      </c>
      <c r="W3160" s="128">
        <v>0</v>
      </c>
      <c r="X3160" s="128">
        <v>0</v>
      </c>
      <c r="Y3160" s="128">
        <v>0</v>
      </c>
      <c r="Z3160" s="128">
        <v>-1363659.56</v>
      </c>
      <c r="AA3160" s="128">
        <v>0</v>
      </c>
      <c r="AB3160" s="126">
        <f t="shared" si="321"/>
        <v>0.13636595600000001</v>
      </c>
      <c r="AC3160" s="122" t="s">
        <v>1838</v>
      </c>
      <c r="AD3160" s="123">
        <f t="shared" si="323"/>
        <v>18.797413702</v>
      </c>
    </row>
    <row r="3161" spans="1:30" ht="12.75" hidden="1" customHeight="1">
      <c r="A3161" s="125" t="str">
        <f t="shared" si="318"/>
        <v>LIC36Audit Fee</v>
      </c>
      <c r="B3161" s="125">
        <f>+IFERROR(VLOOKUP(L3161,'TB mapping'!A:D,4,0),0)</f>
        <v>0</v>
      </c>
      <c r="C3161" s="125">
        <f>+IFERROR(VLOOKUP(L3161,'TB mapping'!A:C,3,0),0)</f>
        <v>6.3</v>
      </c>
      <c r="D3161" s="125" t="str">
        <f t="shared" si="319"/>
        <v>LIC360</v>
      </c>
      <c r="E3161" s="125" t="str">
        <f t="shared" si="320"/>
        <v>LIC366.3</v>
      </c>
      <c r="F3161" s="158" t="str">
        <f>+VLOOKUP(H3161,'code mapping'!A:C,3,0)</f>
        <v>LIC36</v>
      </c>
      <c r="G3161" s="127" t="s">
        <v>453</v>
      </c>
      <c r="H3161" s="127" t="s">
        <v>810</v>
      </c>
      <c r="I3161" s="127" t="s">
        <v>60</v>
      </c>
      <c r="J3161" s="128">
        <v>550000</v>
      </c>
      <c r="K3161" s="127" t="s">
        <v>550</v>
      </c>
      <c r="L3161" s="151">
        <v>553105</v>
      </c>
      <c r="M3161" s="128">
        <v>0</v>
      </c>
      <c r="N3161" s="127" t="s">
        <v>552</v>
      </c>
      <c r="O3161" s="127" t="s">
        <v>457</v>
      </c>
      <c r="P3161" s="128">
        <v>0</v>
      </c>
      <c r="Q3161" s="128">
        <v>406823.92</v>
      </c>
      <c r="R3161" s="128">
        <v>0</v>
      </c>
      <c r="S3161" s="128">
        <v>0</v>
      </c>
      <c r="T3161" s="128">
        <v>0</v>
      </c>
      <c r="U3161" s="128">
        <v>406823.92</v>
      </c>
      <c r="V3161" s="128">
        <v>0</v>
      </c>
      <c r="W3161" s="128">
        <v>406823.92</v>
      </c>
      <c r="X3161" s="128">
        <v>0</v>
      </c>
      <c r="Y3161" s="128">
        <v>0</v>
      </c>
      <c r="Z3161" s="128">
        <v>0</v>
      </c>
      <c r="AA3161" s="128">
        <v>406823.92</v>
      </c>
      <c r="AB3161" s="126">
        <f t="shared" si="321"/>
        <v>-4.0682391999999998E-2</v>
      </c>
      <c r="AC3161" s="122" t="s">
        <v>1838</v>
      </c>
      <c r="AD3161" s="123">
        <f t="shared" si="323"/>
        <v>18.797413702</v>
      </c>
    </row>
    <row r="3162" spans="1:30" ht="12.75" hidden="1" customHeight="1">
      <c r="A3162" s="125" t="str">
        <f t="shared" si="318"/>
        <v>LIC36Custody Fee</v>
      </c>
      <c r="B3162" s="125">
        <f>+IFERROR(VLOOKUP(L3162,'TB mapping'!A:D,4,0),0)</f>
        <v>0</v>
      </c>
      <c r="C3162" s="125">
        <f>+IFERROR(VLOOKUP(L3162,'TB mapping'!A:C,3,0),0)</f>
        <v>6.3</v>
      </c>
      <c r="D3162" s="125" t="str">
        <f t="shared" si="319"/>
        <v>LIC360</v>
      </c>
      <c r="E3162" s="125" t="str">
        <f t="shared" si="320"/>
        <v>LIC366.3</v>
      </c>
      <c r="F3162" s="158" t="str">
        <f>+VLOOKUP(H3162,'code mapping'!A:C,3,0)</f>
        <v>LIC36</v>
      </c>
      <c r="G3162" s="127" t="s">
        <v>453</v>
      </c>
      <c r="H3162" s="127" t="s">
        <v>810</v>
      </c>
      <c r="I3162" s="127" t="s">
        <v>60</v>
      </c>
      <c r="J3162" s="128">
        <v>550000</v>
      </c>
      <c r="K3162" s="127" t="s">
        <v>550</v>
      </c>
      <c r="L3162" s="151">
        <v>553107</v>
      </c>
      <c r="M3162" s="128">
        <v>0</v>
      </c>
      <c r="N3162" s="127" t="s">
        <v>553</v>
      </c>
      <c r="O3162" s="127" t="s">
        <v>457</v>
      </c>
      <c r="P3162" s="128">
        <v>-7554457</v>
      </c>
      <c r="Q3162" s="128">
        <v>0</v>
      </c>
      <c r="R3162" s="128">
        <v>0</v>
      </c>
      <c r="S3162" s="128">
        <v>0</v>
      </c>
      <c r="T3162" s="128">
        <v>-7554457</v>
      </c>
      <c r="U3162" s="128">
        <v>0</v>
      </c>
      <c r="V3162" s="128">
        <v>-7554457</v>
      </c>
      <c r="W3162" s="128">
        <v>0</v>
      </c>
      <c r="X3162" s="128">
        <v>0</v>
      </c>
      <c r="Y3162" s="128">
        <v>0</v>
      </c>
      <c r="Z3162" s="128">
        <v>-7554457</v>
      </c>
      <c r="AA3162" s="128">
        <v>0</v>
      </c>
      <c r="AB3162" s="126">
        <f t="shared" si="321"/>
        <v>0.7554457</v>
      </c>
      <c r="AC3162" s="122" t="s">
        <v>1838</v>
      </c>
      <c r="AD3162" s="123">
        <f t="shared" si="323"/>
        <v>18.797413702</v>
      </c>
    </row>
    <row r="3163" spans="1:30" ht="12.75" hidden="1" customHeight="1">
      <c r="A3163" s="125" t="str">
        <f t="shared" si="318"/>
        <v>LIC36Expense Allocation Account</v>
      </c>
      <c r="B3163" s="125">
        <f>+IFERROR(VLOOKUP(L3163,'TB mapping'!A:D,4,0),0)</f>
        <v>0</v>
      </c>
      <c r="C3163" s="125">
        <f>+IFERROR(VLOOKUP(L3163,'TB mapping'!A:C,3,0),0)</f>
        <v>6.3</v>
      </c>
      <c r="D3163" s="125" t="str">
        <f t="shared" si="319"/>
        <v>LIC360</v>
      </c>
      <c r="E3163" s="125" t="str">
        <f t="shared" si="320"/>
        <v>LIC366.3</v>
      </c>
      <c r="F3163" s="158" t="str">
        <f>+VLOOKUP(H3163,'code mapping'!A:C,3,0)</f>
        <v>LIC36</v>
      </c>
      <c r="G3163" s="127" t="s">
        <v>453</v>
      </c>
      <c r="H3163" s="127" t="s">
        <v>810</v>
      </c>
      <c r="I3163" s="127" t="s">
        <v>60</v>
      </c>
      <c r="J3163" s="128">
        <v>550000</v>
      </c>
      <c r="K3163" s="127" t="s">
        <v>550</v>
      </c>
      <c r="L3163" s="151">
        <v>553111</v>
      </c>
      <c r="M3163" s="128">
        <v>0</v>
      </c>
      <c r="N3163" s="127" t="s">
        <v>554</v>
      </c>
      <c r="O3163" s="127" t="s">
        <v>457</v>
      </c>
      <c r="P3163" s="128">
        <v>0</v>
      </c>
      <c r="Q3163" s="128">
        <v>38547029.43</v>
      </c>
      <c r="R3163" s="128">
        <v>0</v>
      </c>
      <c r="S3163" s="128">
        <v>0</v>
      </c>
      <c r="T3163" s="128">
        <v>0</v>
      </c>
      <c r="U3163" s="128">
        <v>38547029.43</v>
      </c>
      <c r="V3163" s="128">
        <v>0</v>
      </c>
      <c r="W3163" s="128">
        <v>38547029.43</v>
      </c>
      <c r="X3163" s="128">
        <v>0</v>
      </c>
      <c r="Y3163" s="128">
        <v>0</v>
      </c>
      <c r="Z3163" s="128">
        <v>0</v>
      </c>
      <c r="AA3163" s="128">
        <v>38547029.43</v>
      </c>
      <c r="AB3163" s="126">
        <f t="shared" si="321"/>
        <v>-3.8547029429999999</v>
      </c>
      <c r="AC3163" s="122" t="s">
        <v>1838</v>
      </c>
      <c r="AD3163" s="123">
        <f t="shared" si="323"/>
        <v>18.797413702</v>
      </c>
    </row>
    <row r="3164" spans="1:30" ht="12.75" hidden="1" customHeight="1">
      <c r="A3164" s="125" t="str">
        <f t="shared" si="318"/>
        <v>LIC36Trustee Fee</v>
      </c>
      <c r="B3164" s="125">
        <f>+IFERROR(VLOOKUP(L3164,'TB mapping'!A:D,4,0),0)</f>
        <v>6.2</v>
      </c>
      <c r="C3164" s="125">
        <f>+IFERROR(VLOOKUP(L3164,'TB mapping'!A:C,3,0),0)</f>
        <v>6.3</v>
      </c>
      <c r="D3164" s="125" t="str">
        <f t="shared" si="319"/>
        <v>LIC366.2</v>
      </c>
      <c r="E3164" s="125" t="str">
        <f t="shared" si="320"/>
        <v>LIC366.3</v>
      </c>
      <c r="F3164" s="158" t="str">
        <f>+VLOOKUP(H3164,'code mapping'!A:C,3,0)</f>
        <v>LIC36</v>
      </c>
      <c r="G3164" s="127" t="s">
        <v>453</v>
      </c>
      <c r="H3164" s="127" t="s">
        <v>810</v>
      </c>
      <c r="I3164" s="127" t="s">
        <v>60</v>
      </c>
      <c r="J3164" s="128">
        <v>550000</v>
      </c>
      <c r="K3164" s="127" t="s">
        <v>550</v>
      </c>
      <c r="L3164" s="151">
        <v>553131</v>
      </c>
      <c r="M3164" s="128">
        <v>0</v>
      </c>
      <c r="N3164" s="127" t="s">
        <v>555</v>
      </c>
      <c r="O3164" s="127" t="s">
        <v>457</v>
      </c>
      <c r="P3164" s="128">
        <v>-1411213.59</v>
      </c>
      <c r="Q3164" s="128">
        <v>0</v>
      </c>
      <c r="R3164" s="128">
        <v>0</v>
      </c>
      <c r="S3164" s="128">
        <v>0</v>
      </c>
      <c r="T3164" s="128">
        <v>-1411213.59</v>
      </c>
      <c r="U3164" s="128">
        <v>0</v>
      </c>
      <c r="V3164" s="128">
        <v>-1411213.59</v>
      </c>
      <c r="W3164" s="128">
        <v>0</v>
      </c>
      <c r="X3164" s="128">
        <v>0</v>
      </c>
      <c r="Y3164" s="128">
        <v>0</v>
      </c>
      <c r="Z3164" s="128">
        <v>-1411213.59</v>
      </c>
      <c r="AA3164" s="128">
        <v>0</v>
      </c>
      <c r="AB3164" s="126">
        <f t="shared" si="321"/>
        <v>0.141121359</v>
      </c>
      <c r="AC3164" s="122" t="s">
        <v>1838</v>
      </c>
      <c r="AD3164" s="123">
        <f t="shared" si="323"/>
        <v>18.797413702</v>
      </c>
    </row>
    <row r="3165" spans="1:30" ht="12.75" hidden="1" customHeight="1">
      <c r="A3165" s="125" t="str">
        <f t="shared" si="318"/>
        <v>LIC36Bank Charges</v>
      </c>
      <c r="B3165" s="125">
        <f>+IFERROR(VLOOKUP(L3165,'TB mapping'!A:D,4,0),0)</f>
        <v>0</v>
      </c>
      <c r="C3165" s="125">
        <f>+IFERROR(VLOOKUP(L3165,'TB mapping'!A:C,3,0),0)</f>
        <v>6.3</v>
      </c>
      <c r="D3165" s="125" t="str">
        <f t="shared" si="319"/>
        <v>LIC360</v>
      </c>
      <c r="E3165" s="125" t="str">
        <f t="shared" si="320"/>
        <v>LIC366.3</v>
      </c>
      <c r="F3165" s="158" t="str">
        <f>+VLOOKUP(H3165,'code mapping'!A:C,3,0)</f>
        <v>LIC36</v>
      </c>
      <c r="G3165" s="127" t="s">
        <v>453</v>
      </c>
      <c r="H3165" s="127" t="s">
        <v>810</v>
      </c>
      <c r="I3165" s="127" t="s">
        <v>60</v>
      </c>
      <c r="J3165" s="128">
        <v>550000</v>
      </c>
      <c r="K3165" s="127" t="s">
        <v>550</v>
      </c>
      <c r="L3165" s="151">
        <v>553141</v>
      </c>
      <c r="M3165" s="128">
        <v>0</v>
      </c>
      <c r="N3165" s="127" t="s">
        <v>556</v>
      </c>
      <c r="O3165" s="127" t="s">
        <v>457</v>
      </c>
      <c r="P3165" s="128">
        <v>-1429752.98</v>
      </c>
      <c r="Q3165" s="128">
        <v>0</v>
      </c>
      <c r="R3165" s="128">
        <v>0</v>
      </c>
      <c r="S3165" s="128">
        <v>0</v>
      </c>
      <c r="T3165" s="128">
        <v>-1429752.98</v>
      </c>
      <c r="U3165" s="128">
        <v>0</v>
      </c>
      <c r="V3165" s="128">
        <v>-1429752.98</v>
      </c>
      <c r="W3165" s="128">
        <v>0</v>
      </c>
      <c r="X3165" s="128">
        <v>0</v>
      </c>
      <c r="Y3165" s="128">
        <v>0</v>
      </c>
      <c r="Z3165" s="128">
        <v>-1429752.98</v>
      </c>
      <c r="AA3165" s="128">
        <v>0</v>
      </c>
      <c r="AB3165" s="126">
        <f t="shared" si="321"/>
        <v>0.142975298</v>
      </c>
      <c r="AC3165" s="122" t="s">
        <v>1838</v>
      </c>
      <c r="AD3165" s="123">
        <f t="shared" si="323"/>
        <v>18.797413702</v>
      </c>
    </row>
    <row r="3166" spans="1:30" ht="12.75" hidden="1" customHeight="1">
      <c r="A3166" s="125" t="str">
        <f t="shared" si="318"/>
        <v>LIC36Investor Education Fund Exps</v>
      </c>
      <c r="B3166" s="125">
        <f>+IFERROR(VLOOKUP(L3166,'TB mapping'!A:D,4,0),0)</f>
        <v>0</v>
      </c>
      <c r="C3166" s="125">
        <f>+IFERROR(VLOOKUP(L3166,'TB mapping'!A:C,3,0),0)</f>
        <v>6.3</v>
      </c>
      <c r="D3166" s="125" t="str">
        <f t="shared" si="319"/>
        <v>LIC360</v>
      </c>
      <c r="E3166" s="125" t="str">
        <f t="shared" si="320"/>
        <v>LIC366.3</v>
      </c>
      <c r="F3166" s="158" t="str">
        <f>+VLOOKUP(H3166,'code mapping'!A:C,3,0)</f>
        <v>LIC36</v>
      </c>
      <c r="G3166" s="127" t="s">
        <v>453</v>
      </c>
      <c r="H3166" s="127" t="s">
        <v>810</v>
      </c>
      <c r="I3166" s="127" t="s">
        <v>60</v>
      </c>
      <c r="J3166" s="128">
        <v>550000</v>
      </c>
      <c r="K3166" s="127" t="s">
        <v>550</v>
      </c>
      <c r="L3166" s="151">
        <v>553171</v>
      </c>
      <c r="M3166" s="128">
        <v>0</v>
      </c>
      <c r="N3166" s="127" t="s">
        <v>557</v>
      </c>
      <c r="O3166" s="127" t="s">
        <v>457</v>
      </c>
      <c r="P3166" s="128">
        <v>-14556546.9</v>
      </c>
      <c r="Q3166" s="128">
        <v>0</v>
      </c>
      <c r="R3166" s="128">
        <v>0</v>
      </c>
      <c r="S3166" s="128">
        <v>0</v>
      </c>
      <c r="T3166" s="128">
        <v>-14556546.9</v>
      </c>
      <c r="U3166" s="128">
        <v>0</v>
      </c>
      <c r="V3166" s="128">
        <v>-14556546.9</v>
      </c>
      <c r="W3166" s="128">
        <v>0</v>
      </c>
      <c r="X3166" s="128">
        <v>0</v>
      </c>
      <c r="Y3166" s="128">
        <v>0</v>
      </c>
      <c r="Z3166" s="128">
        <v>-14556546.9</v>
      </c>
      <c r="AA3166" s="128">
        <v>0</v>
      </c>
      <c r="AB3166" s="126">
        <f t="shared" si="321"/>
        <v>1.45565469</v>
      </c>
      <c r="AC3166" s="122" t="s">
        <v>1838</v>
      </c>
      <c r="AD3166" s="123">
        <f t="shared" si="323"/>
        <v>18.797413702</v>
      </c>
    </row>
    <row r="3167" spans="1:30" ht="12.75" hidden="1" customHeight="1">
      <c r="A3167" s="125" t="str">
        <f t="shared" si="318"/>
        <v>LIC36Service Tax on Management Fees</v>
      </c>
      <c r="B3167" s="125">
        <f>+IFERROR(VLOOKUP(L3167,'TB mapping'!A:D,4,0),0)</f>
        <v>6.1</v>
      </c>
      <c r="C3167" s="125">
        <f>+IFERROR(VLOOKUP(L3167,'TB mapping'!A:C,3,0),0)</f>
        <v>6.3</v>
      </c>
      <c r="D3167" s="125" t="str">
        <f t="shared" si="319"/>
        <v>LIC366.1</v>
      </c>
      <c r="E3167" s="125" t="str">
        <f t="shared" si="320"/>
        <v>LIC366.3</v>
      </c>
      <c r="F3167" s="158" t="str">
        <f>+VLOOKUP(H3167,'code mapping'!A:C,3,0)</f>
        <v>LIC36</v>
      </c>
      <c r="G3167" s="127" t="s">
        <v>453</v>
      </c>
      <c r="H3167" s="127" t="s">
        <v>810</v>
      </c>
      <c r="I3167" s="127" t="s">
        <v>60</v>
      </c>
      <c r="J3167" s="128">
        <v>550000</v>
      </c>
      <c r="K3167" s="127" t="s">
        <v>550</v>
      </c>
      <c r="L3167" s="151">
        <v>553172</v>
      </c>
      <c r="M3167" s="128">
        <v>0</v>
      </c>
      <c r="N3167" s="127" t="s">
        <v>558</v>
      </c>
      <c r="O3167" s="127" t="s">
        <v>457</v>
      </c>
      <c r="P3167" s="128">
        <v>-1567118.19</v>
      </c>
      <c r="Q3167" s="128">
        <v>0</v>
      </c>
      <c r="R3167" s="128">
        <v>0</v>
      </c>
      <c r="S3167" s="128">
        <v>0</v>
      </c>
      <c r="T3167" s="128">
        <v>-1567118.19</v>
      </c>
      <c r="U3167" s="128">
        <v>0</v>
      </c>
      <c r="V3167" s="128">
        <v>-1567118.19</v>
      </c>
      <c r="W3167" s="128">
        <v>0</v>
      </c>
      <c r="X3167" s="128">
        <v>0</v>
      </c>
      <c r="Y3167" s="128">
        <v>0</v>
      </c>
      <c r="Z3167" s="128">
        <v>-1567118.19</v>
      </c>
      <c r="AA3167" s="128">
        <v>0</v>
      </c>
      <c r="AB3167" s="126">
        <f t="shared" si="321"/>
        <v>0.156711819</v>
      </c>
      <c r="AC3167" s="122" t="s">
        <v>1838</v>
      </c>
      <c r="AD3167" s="123">
        <f t="shared" si="323"/>
        <v>18.797413702</v>
      </c>
    </row>
    <row r="3168" spans="1:30" ht="12.75" hidden="1" customHeight="1">
      <c r="A3168" s="125" t="str">
        <f t="shared" si="318"/>
        <v>LIC36CCIL Expenses</v>
      </c>
      <c r="B3168" s="125">
        <f>+IFERROR(VLOOKUP(L3168,'TB mapping'!A:D,4,0),0)</f>
        <v>0</v>
      </c>
      <c r="C3168" s="125">
        <f>+IFERROR(VLOOKUP(L3168,'TB mapping'!A:C,3,0),0)</f>
        <v>6.3</v>
      </c>
      <c r="D3168" s="125" t="str">
        <f t="shared" si="319"/>
        <v>LIC360</v>
      </c>
      <c r="E3168" s="125" t="str">
        <f t="shared" si="320"/>
        <v>LIC366.3</v>
      </c>
      <c r="F3168" s="158" t="str">
        <f>+VLOOKUP(H3168,'code mapping'!A:C,3,0)</f>
        <v>LIC36</v>
      </c>
      <c r="G3168" s="127" t="s">
        <v>453</v>
      </c>
      <c r="H3168" s="127" t="s">
        <v>810</v>
      </c>
      <c r="I3168" s="127" t="s">
        <v>60</v>
      </c>
      <c r="J3168" s="128">
        <v>550000</v>
      </c>
      <c r="K3168" s="127" t="s">
        <v>550</v>
      </c>
      <c r="L3168" s="151">
        <v>553176</v>
      </c>
      <c r="M3168" s="128">
        <v>0</v>
      </c>
      <c r="N3168" s="127" t="s">
        <v>559</v>
      </c>
      <c r="O3168" s="127" t="s">
        <v>457</v>
      </c>
      <c r="P3168" s="128">
        <v>-3715180.3</v>
      </c>
      <c r="Q3168" s="128">
        <v>0</v>
      </c>
      <c r="R3168" s="128">
        <v>0</v>
      </c>
      <c r="S3168" s="128">
        <v>0</v>
      </c>
      <c r="T3168" s="128">
        <v>-3715180.3</v>
      </c>
      <c r="U3168" s="128">
        <v>0</v>
      </c>
      <c r="V3168" s="128">
        <v>-3715180.3</v>
      </c>
      <c r="W3168" s="128">
        <v>0</v>
      </c>
      <c r="X3168" s="128">
        <v>0</v>
      </c>
      <c r="Y3168" s="128">
        <v>0</v>
      </c>
      <c r="Z3168" s="128">
        <v>-3715180.3</v>
      </c>
      <c r="AA3168" s="128">
        <v>0</v>
      </c>
      <c r="AB3168" s="126">
        <f t="shared" si="321"/>
        <v>0.37151803</v>
      </c>
      <c r="AC3168" s="122" t="s">
        <v>1838</v>
      </c>
      <c r="AD3168" s="123">
        <f t="shared" si="323"/>
        <v>18.797413702</v>
      </c>
    </row>
    <row r="3169" spans="1:30" ht="12.75" hidden="1" customHeight="1">
      <c r="A3169" s="125" t="str">
        <f t="shared" si="318"/>
        <v>LIC36Out of Pocket Expenses - R&amp;T</v>
      </c>
      <c r="B3169" s="125">
        <f>+IFERROR(VLOOKUP(L3169,'TB mapping'!A:D,4,0),0)</f>
        <v>0</v>
      </c>
      <c r="C3169" s="125">
        <f>+IFERROR(VLOOKUP(L3169,'TB mapping'!A:C,3,0),0)</f>
        <v>6.3</v>
      </c>
      <c r="D3169" s="125" t="str">
        <f t="shared" si="319"/>
        <v>LIC360</v>
      </c>
      <c r="E3169" s="125" t="str">
        <f t="shared" si="320"/>
        <v>LIC366.3</v>
      </c>
      <c r="F3169" s="158" t="str">
        <f>+VLOOKUP(H3169,'code mapping'!A:C,3,0)</f>
        <v>LIC36</v>
      </c>
      <c r="G3169" s="127" t="s">
        <v>453</v>
      </c>
      <c r="H3169" s="127" t="s">
        <v>810</v>
      </c>
      <c r="I3169" s="127" t="s">
        <v>60</v>
      </c>
      <c r="J3169" s="128">
        <v>550000</v>
      </c>
      <c r="K3169" s="127" t="s">
        <v>550</v>
      </c>
      <c r="L3169" s="151">
        <v>553180</v>
      </c>
      <c r="M3169" s="128">
        <v>0</v>
      </c>
      <c r="N3169" s="127" t="s">
        <v>560</v>
      </c>
      <c r="O3169" s="127" t="s">
        <v>457</v>
      </c>
      <c r="P3169" s="128">
        <v>-65975.180000000008</v>
      </c>
      <c r="Q3169" s="128">
        <v>0</v>
      </c>
      <c r="R3169" s="128">
        <v>0</v>
      </c>
      <c r="S3169" s="128">
        <v>0</v>
      </c>
      <c r="T3169" s="128">
        <v>-65975.180000000008</v>
      </c>
      <c r="U3169" s="128">
        <v>0</v>
      </c>
      <c r="V3169" s="128">
        <v>-65975.180000000008</v>
      </c>
      <c r="W3169" s="128">
        <v>0</v>
      </c>
      <c r="X3169" s="128">
        <v>0</v>
      </c>
      <c r="Y3169" s="128">
        <v>0</v>
      </c>
      <c r="Z3169" s="128">
        <v>-65975.180000000008</v>
      </c>
      <c r="AA3169" s="128">
        <v>0</v>
      </c>
      <c r="AB3169" s="126">
        <f t="shared" si="321"/>
        <v>6.597518000000001E-3</v>
      </c>
      <c r="AC3169" s="122" t="s">
        <v>1838</v>
      </c>
      <c r="AD3169" s="123">
        <f t="shared" si="323"/>
        <v>18.797413702</v>
      </c>
    </row>
    <row r="3170" spans="1:30" ht="12.75" hidden="1" customHeight="1">
      <c r="A3170" s="125" t="str">
        <f t="shared" si="318"/>
        <v>LIC36Other Expenses</v>
      </c>
      <c r="B3170" s="125">
        <f>+IFERROR(VLOOKUP(L3170,'TB mapping'!A:D,4,0),0)</f>
        <v>0</v>
      </c>
      <c r="C3170" s="125">
        <f>+IFERROR(VLOOKUP(L3170,'TB mapping'!A:C,3,0),0)</f>
        <v>6.3</v>
      </c>
      <c r="D3170" s="125" t="str">
        <f t="shared" si="319"/>
        <v>LIC360</v>
      </c>
      <c r="E3170" s="125" t="str">
        <f t="shared" si="320"/>
        <v>LIC366.3</v>
      </c>
      <c r="F3170" s="158" t="str">
        <f>+VLOOKUP(H3170,'code mapping'!A:C,3,0)</f>
        <v>LIC36</v>
      </c>
      <c r="G3170" s="127" t="s">
        <v>453</v>
      </c>
      <c r="H3170" s="127" t="s">
        <v>810</v>
      </c>
      <c r="I3170" s="127" t="s">
        <v>60</v>
      </c>
      <c r="J3170" s="128">
        <v>550000</v>
      </c>
      <c r="K3170" s="127" t="s">
        <v>550</v>
      </c>
      <c r="L3170" s="151">
        <v>553190</v>
      </c>
      <c r="M3170" s="128">
        <v>0</v>
      </c>
      <c r="N3170" s="127" t="s">
        <v>561</v>
      </c>
      <c r="O3170" s="127" t="s">
        <v>457</v>
      </c>
      <c r="P3170" s="128">
        <v>-181968.89</v>
      </c>
      <c r="Q3170" s="128">
        <v>0</v>
      </c>
      <c r="R3170" s="128">
        <v>0</v>
      </c>
      <c r="S3170" s="128">
        <v>0</v>
      </c>
      <c r="T3170" s="128">
        <v>-181968.89</v>
      </c>
      <c r="U3170" s="128">
        <v>0</v>
      </c>
      <c r="V3170" s="128">
        <v>-181968.89</v>
      </c>
      <c r="W3170" s="128">
        <v>0</v>
      </c>
      <c r="X3170" s="128">
        <v>0</v>
      </c>
      <c r="Y3170" s="128">
        <v>0</v>
      </c>
      <c r="Z3170" s="128">
        <v>-181968.89</v>
      </c>
      <c r="AA3170" s="128">
        <v>0</v>
      </c>
      <c r="AB3170" s="126">
        <f t="shared" si="321"/>
        <v>1.8196889000000001E-2</v>
      </c>
      <c r="AC3170" s="122" t="s">
        <v>1838</v>
      </c>
      <c r="AD3170" s="123">
        <f t="shared" si="323"/>
        <v>18.797413702</v>
      </c>
    </row>
    <row r="3171" spans="1:30" ht="12.75" hidden="1" customHeight="1">
      <c r="A3171" s="125" t="str">
        <f t="shared" si="318"/>
        <v>LIC36Other Expenses-RG</v>
      </c>
      <c r="B3171" s="125">
        <f>+IFERROR(VLOOKUP(L3171,'TB mapping'!A:D,4,0),0)</f>
        <v>0</v>
      </c>
      <c r="C3171" s="125">
        <f>+IFERROR(VLOOKUP(L3171,'TB mapping'!A:C,3,0),0)</f>
        <v>6.3</v>
      </c>
      <c r="D3171" s="125" t="str">
        <f t="shared" si="319"/>
        <v>LIC360</v>
      </c>
      <c r="E3171" s="125" t="str">
        <f t="shared" si="320"/>
        <v>LIC366.3</v>
      </c>
      <c r="F3171" s="158" t="str">
        <f>+VLOOKUP(H3171,'code mapping'!A:C,3,0)</f>
        <v>LIC36</v>
      </c>
      <c r="G3171" s="127" t="s">
        <v>453</v>
      </c>
      <c r="H3171" s="127" t="s">
        <v>810</v>
      </c>
      <c r="I3171" s="127" t="s">
        <v>60</v>
      </c>
      <c r="J3171" s="128">
        <v>550000</v>
      </c>
      <c r="K3171" s="127" t="s">
        <v>550</v>
      </c>
      <c r="L3171" s="151">
        <v>553191</v>
      </c>
      <c r="M3171" s="128">
        <v>0</v>
      </c>
      <c r="N3171" s="127" t="s">
        <v>562</v>
      </c>
      <c r="O3171" s="127" t="s">
        <v>457</v>
      </c>
      <c r="P3171" s="128">
        <v>-5843922</v>
      </c>
      <c r="Q3171" s="128">
        <v>0</v>
      </c>
      <c r="R3171" s="128">
        <v>0</v>
      </c>
      <c r="S3171" s="128">
        <v>0</v>
      </c>
      <c r="T3171" s="128">
        <v>-5843922</v>
      </c>
      <c r="U3171" s="128">
        <v>0</v>
      </c>
      <c r="V3171" s="128">
        <v>-5843922</v>
      </c>
      <c r="W3171" s="128">
        <v>0</v>
      </c>
      <c r="X3171" s="128">
        <v>0</v>
      </c>
      <c r="Y3171" s="128">
        <v>0</v>
      </c>
      <c r="Z3171" s="128">
        <v>-5843922</v>
      </c>
      <c r="AA3171" s="128">
        <v>0</v>
      </c>
      <c r="AB3171" s="126">
        <f t="shared" si="321"/>
        <v>0.58439220000000003</v>
      </c>
      <c r="AC3171" s="122" t="s">
        <v>1838</v>
      </c>
      <c r="AD3171" s="123">
        <f t="shared" si="323"/>
        <v>18.797413702</v>
      </c>
    </row>
    <row r="3172" spans="1:30" ht="12.75" hidden="1" customHeight="1">
      <c r="A3172" s="125" t="str">
        <f t="shared" si="318"/>
        <v>LIC36Other Exp - Brok - Indirect</v>
      </c>
      <c r="B3172" s="125">
        <f>+IFERROR(VLOOKUP(L3172,'TB mapping'!A:D,4,0),0)</f>
        <v>0</v>
      </c>
      <c r="C3172" s="125">
        <f>+IFERROR(VLOOKUP(L3172,'TB mapping'!A:C,3,0),0)</f>
        <v>6.3</v>
      </c>
      <c r="D3172" s="125" t="str">
        <f t="shared" si="319"/>
        <v>LIC360</v>
      </c>
      <c r="E3172" s="125" t="str">
        <f t="shared" si="320"/>
        <v>LIC366.3</v>
      </c>
      <c r="F3172" s="158" t="str">
        <f>+VLOOKUP(H3172,'code mapping'!A:C,3,0)</f>
        <v>LIC36</v>
      </c>
      <c r="G3172" s="127" t="s">
        <v>453</v>
      </c>
      <c r="H3172" s="127" t="s">
        <v>810</v>
      </c>
      <c r="I3172" s="127" t="s">
        <v>60</v>
      </c>
      <c r="J3172" s="128">
        <v>550000</v>
      </c>
      <c r="K3172" s="127" t="s">
        <v>550</v>
      </c>
      <c r="L3172" s="151">
        <v>553202</v>
      </c>
      <c r="M3172" s="128">
        <v>0</v>
      </c>
      <c r="N3172" s="127" t="s">
        <v>564</v>
      </c>
      <c r="O3172" s="127" t="s">
        <v>457</v>
      </c>
      <c r="P3172" s="128">
        <v>-10112897.17</v>
      </c>
      <c r="Q3172" s="128">
        <v>0</v>
      </c>
      <c r="R3172" s="128">
        <v>0</v>
      </c>
      <c r="S3172" s="128">
        <v>0</v>
      </c>
      <c r="T3172" s="128">
        <v>-10112897.17</v>
      </c>
      <c r="U3172" s="128">
        <v>0</v>
      </c>
      <c r="V3172" s="128">
        <v>-10112897.17</v>
      </c>
      <c r="W3172" s="128">
        <v>0</v>
      </c>
      <c r="X3172" s="128">
        <v>0</v>
      </c>
      <c r="Y3172" s="128">
        <v>0</v>
      </c>
      <c r="Z3172" s="128">
        <v>-10112897.17</v>
      </c>
      <c r="AA3172" s="128">
        <v>0</v>
      </c>
      <c r="AB3172" s="126">
        <f t="shared" si="321"/>
        <v>1.0112897169999999</v>
      </c>
      <c r="AC3172" s="122" t="s">
        <v>1838</v>
      </c>
      <c r="AD3172" s="123">
        <f t="shared" si="323"/>
        <v>18.797413702</v>
      </c>
    </row>
    <row r="3173" spans="1:30" ht="12.75" hidden="1" customHeight="1">
      <c r="A3173" s="125" t="str">
        <f t="shared" si="318"/>
        <v>LIC36Brokerage/Dist Exps</v>
      </c>
      <c r="B3173" s="125">
        <f>+IFERROR(VLOOKUP(L3173,'TB mapping'!A:D,4,0),0)</f>
        <v>0</v>
      </c>
      <c r="C3173" s="125">
        <f>+IFERROR(VLOOKUP(L3173,'TB mapping'!A:C,3,0),0)</f>
        <v>6.3</v>
      </c>
      <c r="D3173" s="125" t="str">
        <f t="shared" si="319"/>
        <v>LIC360</v>
      </c>
      <c r="E3173" s="125" t="str">
        <f t="shared" si="320"/>
        <v>LIC366.3</v>
      </c>
      <c r="F3173" s="158" t="str">
        <f>+VLOOKUP(H3173,'code mapping'!A:C,3,0)</f>
        <v>LIC36</v>
      </c>
      <c r="G3173" s="127" t="s">
        <v>453</v>
      </c>
      <c r="H3173" s="127" t="s">
        <v>810</v>
      </c>
      <c r="I3173" s="127" t="s">
        <v>60</v>
      </c>
      <c r="J3173" s="128">
        <v>550000</v>
      </c>
      <c r="K3173" s="127" t="s">
        <v>550</v>
      </c>
      <c r="L3173" s="151">
        <v>553208</v>
      </c>
      <c r="M3173" s="128">
        <v>0</v>
      </c>
      <c r="N3173" s="127" t="s">
        <v>565</v>
      </c>
      <c r="O3173" s="127" t="s">
        <v>457</v>
      </c>
      <c r="P3173" s="128">
        <v>0</v>
      </c>
      <c r="Q3173" s="128">
        <v>2673456.77</v>
      </c>
      <c r="R3173" s="128">
        <v>0</v>
      </c>
      <c r="S3173" s="128">
        <v>0</v>
      </c>
      <c r="T3173" s="128">
        <v>0</v>
      </c>
      <c r="U3173" s="128">
        <v>2673456.77</v>
      </c>
      <c r="V3173" s="128">
        <v>0</v>
      </c>
      <c r="W3173" s="128">
        <v>2673456.77</v>
      </c>
      <c r="X3173" s="128">
        <v>0</v>
      </c>
      <c r="Y3173" s="128">
        <v>0</v>
      </c>
      <c r="Z3173" s="128">
        <v>0</v>
      </c>
      <c r="AA3173" s="128">
        <v>2673456.77</v>
      </c>
      <c r="AB3173" s="126">
        <f t="shared" si="321"/>
        <v>-0.267345677</v>
      </c>
      <c r="AC3173" s="122" t="s">
        <v>1838</v>
      </c>
      <c r="AD3173" s="123">
        <f t="shared" si="323"/>
        <v>18.797413702</v>
      </c>
    </row>
    <row r="3174" spans="1:30" ht="12.75" hidden="1" customHeight="1">
      <c r="A3174" s="125" t="str">
        <f t="shared" si="318"/>
        <v>LIC36Internal Audit Fee</v>
      </c>
      <c r="B3174" s="125">
        <f>+IFERROR(VLOOKUP(L3174,'TB mapping'!A:D,4,0),0)</f>
        <v>0</v>
      </c>
      <c r="C3174" s="125">
        <f>+IFERROR(VLOOKUP(L3174,'TB mapping'!A:C,3,0),0)</f>
        <v>6.3</v>
      </c>
      <c r="D3174" s="125" t="str">
        <f t="shared" si="319"/>
        <v>LIC360</v>
      </c>
      <c r="E3174" s="125" t="str">
        <f t="shared" si="320"/>
        <v>LIC366.3</v>
      </c>
      <c r="F3174" s="158" t="str">
        <f>+VLOOKUP(H3174,'code mapping'!A:C,3,0)</f>
        <v>LIC36</v>
      </c>
      <c r="G3174" s="127" t="s">
        <v>453</v>
      </c>
      <c r="H3174" s="127" t="s">
        <v>810</v>
      </c>
      <c r="I3174" s="127" t="s">
        <v>60</v>
      </c>
      <c r="J3174" s="128">
        <v>550000</v>
      </c>
      <c r="K3174" s="127" t="s">
        <v>550</v>
      </c>
      <c r="L3174" s="151">
        <v>553213</v>
      </c>
      <c r="M3174" s="128">
        <v>0</v>
      </c>
      <c r="N3174" s="127" t="s">
        <v>566</v>
      </c>
      <c r="O3174" s="127" t="s">
        <v>457</v>
      </c>
      <c r="P3174" s="128">
        <v>-735809.08</v>
      </c>
      <c r="Q3174" s="128">
        <v>0</v>
      </c>
      <c r="R3174" s="128">
        <v>0</v>
      </c>
      <c r="S3174" s="128">
        <v>0</v>
      </c>
      <c r="T3174" s="128">
        <v>-735809.08</v>
      </c>
      <c r="U3174" s="128">
        <v>0</v>
      </c>
      <c r="V3174" s="128">
        <v>-735809.08</v>
      </c>
      <c r="W3174" s="128">
        <v>0</v>
      </c>
      <c r="X3174" s="128">
        <v>0</v>
      </c>
      <c r="Y3174" s="128">
        <v>0</v>
      </c>
      <c r="Z3174" s="128">
        <v>-735809.08</v>
      </c>
      <c r="AA3174" s="128">
        <v>0</v>
      </c>
      <c r="AB3174" s="126">
        <f t="shared" si="321"/>
        <v>7.3580908E-2</v>
      </c>
      <c r="AC3174" s="122" t="s">
        <v>1838</v>
      </c>
      <c r="AD3174" s="123">
        <f t="shared" si="323"/>
        <v>18.797413702</v>
      </c>
    </row>
    <row r="3175" spans="1:30" ht="12.75" hidden="1" customHeight="1">
      <c r="A3175" s="125" t="str">
        <f t="shared" si="318"/>
        <v>LIC36Other Expenses - RDD</v>
      </c>
      <c r="B3175" s="125">
        <f>+IFERROR(VLOOKUP(L3175,'TB mapping'!A:D,4,0),0)</f>
        <v>0</v>
      </c>
      <c r="C3175" s="125">
        <f>+IFERROR(VLOOKUP(L3175,'TB mapping'!A:C,3,0),0)</f>
        <v>6.3</v>
      </c>
      <c r="D3175" s="125" t="str">
        <f t="shared" si="319"/>
        <v>LIC360</v>
      </c>
      <c r="E3175" s="125" t="str">
        <f t="shared" si="320"/>
        <v>LIC366.3</v>
      </c>
      <c r="F3175" s="158" t="str">
        <f>+VLOOKUP(H3175,'code mapping'!A:C,3,0)</f>
        <v>LIC36</v>
      </c>
      <c r="G3175" s="127" t="s">
        <v>453</v>
      </c>
      <c r="H3175" s="127" t="s">
        <v>810</v>
      </c>
      <c r="I3175" s="127" t="s">
        <v>60</v>
      </c>
      <c r="J3175" s="128">
        <v>550000</v>
      </c>
      <c r="K3175" s="127" t="s">
        <v>550</v>
      </c>
      <c r="L3175" s="151">
        <v>553255</v>
      </c>
      <c r="M3175" s="128">
        <v>0</v>
      </c>
      <c r="N3175" s="127" t="s">
        <v>676</v>
      </c>
      <c r="O3175" s="127" t="s">
        <v>457</v>
      </c>
      <c r="P3175" s="128">
        <v>-876737.53</v>
      </c>
      <c r="Q3175" s="128">
        <v>0</v>
      </c>
      <c r="R3175" s="128">
        <v>0</v>
      </c>
      <c r="S3175" s="128">
        <v>0</v>
      </c>
      <c r="T3175" s="128">
        <v>-876737.53</v>
      </c>
      <c r="U3175" s="128">
        <v>0</v>
      </c>
      <c r="V3175" s="128">
        <v>-876737.53</v>
      </c>
      <c r="W3175" s="128">
        <v>0</v>
      </c>
      <c r="X3175" s="128">
        <v>0</v>
      </c>
      <c r="Y3175" s="128">
        <v>0</v>
      </c>
      <c r="Z3175" s="128">
        <v>-876737.53</v>
      </c>
      <c r="AA3175" s="128">
        <v>0</v>
      </c>
      <c r="AB3175" s="126">
        <f t="shared" si="321"/>
        <v>8.7673753000000007E-2</v>
      </c>
      <c r="AC3175" s="122" t="s">
        <v>1838</v>
      </c>
      <c r="AD3175" s="123">
        <f t="shared" si="323"/>
        <v>18.797413702</v>
      </c>
    </row>
    <row r="3176" spans="1:30" ht="12.75" hidden="1" customHeight="1">
      <c r="A3176" s="125" t="str">
        <f t="shared" si="318"/>
        <v>LIC36Other Expenses-GDP</v>
      </c>
      <c r="B3176" s="125">
        <f>+IFERROR(VLOOKUP(L3176,'TB mapping'!A:D,4,0),0)</f>
        <v>0</v>
      </c>
      <c r="C3176" s="125">
        <f>+IFERROR(VLOOKUP(L3176,'TB mapping'!A:C,3,0),0)</f>
        <v>6.3</v>
      </c>
      <c r="D3176" s="125" t="str">
        <f t="shared" si="319"/>
        <v>LIC360</v>
      </c>
      <c r="E3176" s="125" t="str">
        <f t="shared" si="320"/>
        <v>LIC366.3</v>
      </c>
      <c r="F3176" s="158" t="str">
        <f>+VLOOKUP(H3176,'code mapping'!A:C,3,0)</f>
        <v>LIC36</v>
      </c>
      <c r="G3176" s="127" t="s">
        <v>453</v>
      </c>
      <c r="H3176" s="127" t="s">
        <v>810</v>
      </c>
      <c r="I3176" s="127" t="s">
        <v>60</v>
      </c>
      <c r="J3176" s="128">
        <v>550000</v>
      </c>
      <c r="K3176" s="127" t="s">
        <v>550</v>
      </c>
      <c r="L3176" s="151">
        <v>553329</v>
      </c>
      <c r="M3176" s="128">
        <v>0</v>
      </c>
      <c r="N3176" s="127" t="s">
        <v>567</v>
      </c>
      <c r="O3176" s="127" t="s">
        <v>457</v>
      </c>
      <c r="P3176" s="128">
        <v>-43765866.549999997</v>
      </c>
      <c r="Q3176" s="128">
        <v>0</v>
      </c>
      <c r="R3176" s="128">
        <v>0</v>
      </c>
      <c r="S3176" s="128">
        <v>0</v>
      </c>
      <c r="T3176" s="128">
        <v>-43765866.549999997</v>
      </c>
      <c r="U3176" s="128">
        <v>0</v>
      </c>
      <c r="V3176" s="128">
        <v>-43765866.549999997</v>
      </c>
      <c r="W3176" s="128">
        <v>0</v>
      </c>
      <c r="X3176" s="128">
        <v>0</v>
      </c>
      <c r="Y3176" s="128">
        <v>0</v>
      </c>
      <c r="Z3176" s="128">
        <v>-43765866.549999997</v>
      </c>
      <c r="AA3176" s="128">
        <v>0</v>
      </c>
      <c r="AB3176" s="126">
        <f t="shared" si="321"/>
        <v>4.3765866549999997</v>
      </c>
      <c r="AC3176" s="122" t="s">
        <v>1838</v>
      </c>
      <c r="AD3176" s="123">
        <f t="shared" si="323"/>
        <v>18.797413702</v>
      </c>
    </row>
    <row r="3177" spans="1:30" ht="12.75" hidden="1" customHeight="1">
      <c r="A3177" s="125" t="str">
        <f t="shared" si="318"/>
        <v>LIC36Other Expenses-DDP</v>
      </c>
      <c r="B3177" s="125">
        <f>+IFERROR(VLOOKUP(L3177,'TB mapping'!A:D,4,0),0)</f>
        <v>0</v>
      </c>
      <c r="C3177" s="125">
        <f>+IFERROR(VLOOKUP(L3177,'TB mapping'!A:C,3,0),0)</f>
        <v>6.3</v>
      </c>
      <c r="D3177" s="125" t="str">
        <f t="shared" si="319"/>
        <v>LIC360</v>
      </c>
      <c r="E3177" s="125" t="str">
        <f t="shared" si="320"/>
        <v>LIC366.3</v>
      </c>
      <c r="F3177" s="158" t="str">
        <f>+VLOOKUP(H3177,'code mapping'!A:C,3,0)</f>
        <v>LIC36</v>
      </c>
      <c r="G3177" s="127" t="s">
        <v>453</v>
      </c>
      <c r="H3177" s="127" t="s">
        <v>810</v>
      </c>
      <c r="I3177" s="127" t="s">
        <v>60</v>
      </c>
      <c r="J3177" s="128">
        <v>550000</v>
      </c>
      <c r="K3177" s="127" t="s">
        <v>550</v>
      </c>
      <c r="L3177" s="151">
        <v>553330</v>
      </c>
      <c r="M3177" s="128">
        <v>0</v>
      </c>
      <c r="N3177" s="127" t="s">
        <v>568</v>
      </c>
      <c r="O3177" s="127" t="s">
        <v>457</v>
      </c>
      <c r="P3177" s="128">
        <v>-2775738.44</v>
      </c>
      <c r="Q3177" s="128">
        <v>0</v>
      </c>
      <c r="R3177" s="128">
        <v>0</v>
      </c>
      <c r="S3177" s="128">
        <v>0</v>
      </c>
      <c r="T3177" s="128">
        <v>-2775738.44</v>
      </c>
      <c r="U3177" s="128">
        <v>0</v>
      </c>
      <c r="V3177" s="128">
        <v>-2775738.44</v>
      </c>
      <c r="W3177" s="128">
        <v>0</v>
      </c>
      <c r="X3177" s="128">
        <v>0</v>
      </c>
      <c r="Y3177" s="128">
        <v>0</v>
      </c>
      <c r="Z3177" s="128">
        <v>-2775738.44</v>
      </c>
      <c r="AA3177" s="128">
        <v>0</v>
      </c>
      <c r="AB3177" s="126">
        <f t="shared" si="321"/>
        <v>0.27757384400000001</v>
      </c>
      <c r="AC3177" s="122" t="s">
        <v>1838</v>
      </c>
      <c r="AD3177" s="123">
        <f t="shared" si="323"/>
        <v>18.797413702</v>
      </c>
    </row>
    <row r="3178" spans="1:30" ht="12.75" hidden="1" customHeight="1">
      <c r="A3178" s="125" t="str">
        <f t="shared" si="318"/>
        <v>LIC36Inv Educ Fund Expense - Amfi</v>
      </c>
      <c r="B3178" s="125">
        <f>+IFERROR(VLOOKUP(L3178,'TB mapping'!A:D,4,0),0)</f>
        <v>0</v>
      </c>
      <c r="C3178" s="125">
        <f>+IFERROR(VLOOKUP(L3178,'TB mapping'!A:C,3,0),0)</f>
        <v>6.3</v>
      </c>
      <c r="D3178" s="125" t="str">
        <f t="shared" si="319"/>
        <v>LIC360</v>
      </c>
      <c r="E3178" s="125" t="str">
        <f t="shared" si="320"/>
        <v>LIC366.3</v>
      </c>
      <c r="F3178" s="158" t="str">
        <f>+VLOOKUP(H3178,'code mapping'!A:C,3,0)</f>
        <v>LIC36</v>
      </c>
      <c r="G3178" s="127" t="s">
        <v>453</v>
      </c>
      <c r="H3178" s="127" t="s">
        <v>810</v>
      </c>
      <c r="I3178" s="127" t="s">
        <v>60</v>
      </c>
      <c r="J3178" s="128">
        <v>550000</v>
      </c>
      <c r="K3178" s="127" t="s">
        <v>550</v>
      </c>
      <c r="L3178" s="151">
        <v>554526</v>
      </c>
      <c r="M3178" s="128">
        <v>0</v>
      </c>
      <c r="N3178" s="127" t="s">
        <v>569</v>
      </c>
      <c r="O3178" s="127" t="s">
        <v>457</v>
      </c>
      <c r="P3178" s="128">
        <v>-14556546.9</v>
      </c>
      <c r="Q3178" s="128">
        <v>0</v>
      </c>
      <c r="R3178" s="128">
        <v>0</v>
      </c>
      <c r="S3178" s="128">
        <v>0</v>
      </c>
      <c r="T3178" s="128">
        <v>-14556546.9</v>
      </c>
      <c r="U3178" s="128">
        <v>0</v>
      </c>
      <c r="V3178" s="128">
        <v>-14556546.9</v>
      </c>
      <c r="W3178" s="128">
        <v>0</v>
      </c>
      <c r="X3178" s="128">
        <v>0</v>
      </c>
      <c r="Y3178" s="128">
        <v>0</v>
      </c>
      <c r="Z3178" s="128">
        <v>-14556546.9</v>
      </c>
      <c r="AA3178" s="128">
        <v>0</v>
      </c>
      <c r="AB3178" s="126">
        <f t="shared" si="321"/>
        <v>1.45565469</v>
      </c>
      <c r="AC3178" s="122" t="s">
        <v>1838</v>
      </c>
      <c r="AD3178" s="123">
        <f t="shared" si="323"/>
        <v>18.797413702</v>
      </c>
    </row>
    <row r="3179" spans="1:30" ht="12.75" hidden="1" customHeight="1">
      <c r="A3179" s="125" t="str">
        <f t="shared" si="318"/>
        <v>LIC36Transaction Processing Charges</v>
      </c>
      <c r="B3179" s="125">
        <f>+IFERROR(VLOOKUP(L3179,'TB mapping'!A:D,4,0),0)</f>
        <v>0</v>
      </c>
      <c r="C3179" s="125">
        <f>+IFERROR(VLOOKUP(L3179,'TB mapping'!A:C,3,0),0)</f>
        <v>6.3</v>
      </c>
      <c r="D3179" s="125" t="str">
        <f t="shared" si="319"/>
        <v>LIC360</v>
      </c>
      <c r="E3179" s="125" t="str">
        <f t="shared" si="320"/>
        <v>LIC366.3</v>
      </c>
      <c r="F3179" s="158" t="str">
        <f>+VLOOKUP(H3179,'code mapping'!A:C,3,0)</f>
        <v>LIC36</v>
      </c>
      <c r="G3179" s="127" t="s">
        <v>453</v>
      </c>
      <c r="H3179" s="127" t="s">
        <v>810</v>
      </c>
      <c r="I3179" s="127" t="s">
        <v>60</v>
      </c>
      <c r="J3179" s="128">
        <v>550000</v>
      </c>
      <c r="K3179" s="127" t="s">
        <v>550</v>
      </c>
      <c r="L3179" s="151">
        <v>554527</v>
      </c>
      <c r="M3179" s="128">
        <v>0</v>
      </c>
      <c r="N3179" s="127" t="s">
        <v>570</v>
      </c>
      <c r="O3179" s="127" t="s">
        <v>457</v>
      </c>
      <c r="P3179" s="128">
        <v>-9228</v>
      </c>
      <c r="Q3179" s="128">
        <v>0</v>
      </c>
      <c r="R3179" s="128">
        <v>0</v>
      </c>
      <c r="S3179" s="128">
        <v>0</v>
      </c>
      <c r="T3179" s="128">
        <v>-9228</v>
      </c>
      <c r="U3179" s="128">
        <v>0</v>
      </c>
      <c r="V3179" s="128">
        <v>-9228</v>
      </c>
      <c r="W3179" s="128">
        <v>0</v>
      </c>
      <c r="X3179" s="128">
        <v>0</v>
      </c>
      <c r="Y3179" s="128">
        <v>0</v>
      </c>
      <c r="Z3179" s="128">
        <v>-9228</v>
      </c>
      <c r="AA3179" s="128">
        <v>0</v>
      </c>
      <c r="AB3179" s="126">
        <f t="shared" si="321"/>
        <v>9.2279999999999999E-4</v>
      </c>
      <c r="AC3179" s="122" t="s">
        <v>1838</v>
      </c>
      <c r="AD3179" s="123">
        <f t="shared" si="323"/>
        <v>18.797413702</v>
      </c>
    </row>
    <row r="3180" spans="1:30" ht="12.75" hidden="1" customHeight="1">
      <c r="A3180" s="125" t="str">
        <f t="shared" si="318"/>
        <v>LIC36Int On Borrowing From Bank</v>
      </c>
      <c r="B3180" s="125">
        <f>+IFERROR(VLOOKUP(L3180,'TB mapping'!A:D,4,0),0)</f>
        <v>0</v>
      </c>
      <c r="C3180" s="125">
        <f>+IFERROR(VLOOKUP(L3180,'TB mapping'!A:C,3,0),0)</f>
        <v>6.3</v>
      </c>
      <c r="D3180" s="125" t="str">
        <f t="shared" si="319"/>
        <v>LIC360</v>
      </c>
      <c r="E3180" s="125" t="str">
        <f t="shared" si="320"/>
        <v>LIC366.3</v>
      </c>
      <c r="F3180" s="158" t="str">
        <f>+VLOOKUP(H3180,'code mapping'!A:C,3,0)</f>
        <v>LIC36</v>
      </c>
      <c r="G3180" s="127" t="s">
        <v>453</v>
      </c>
      <c r="H3180" s="127" t="s">
        <v>810</v>
      </c>
      <c r="I3180" s="127" t="s">
        <v>60</v>
      </c>
      <c r="J3180" s="128">
        <v>550000</v>
      </c>
      <c r="K3180" s="127" t="s">
        <v>550</v>
      </c>
      <c r="L3180" s="151">
        <v>555156</v>
      </c>
      <c r="M3180" s="128">
        <v>0</v>
      </c>
      <c r="N3180" s="127" t="s">
        <v>742</v>
      </c>
      <c r="O3180" s="127" t="s">
        <v>457</v>
      </c>
      <c r="P3180" s="128">
        <v>-5659726.04</v>
      </c>
      <c r="Q3180" s="128">
        <v>0</v>
      </c>
      <c r="R3180" s="128">
        <v>0</v>
      </c>
      <c r="S3180" s="128">
        <v>0</v>
      </c>
      <c r="T3180" s="128">
        <v>-5659726.04</v>
      </c>
      <c r="U3180" s="128">
        <v>0</v>
      </c>
      <c r="V3180" s="128">
        <v>-5659726.04</v>
      </c>
      <c r="W3180" s="128">
        <v>0</v>
      </c>
      <c r="X3180" s="128">
        <v>0</v>
      </c>
      <c r="Y3180" s="128">
        <v>0</v>
      </c>
      <c r="Z3180" s="128">
        <v>-5659726.04</v>
      </c>
      <c r="AA3180" s="128">
        <v>0</v>
      </c>
      <c r="AB3180" s="126">
        <f t="shared" si="321"/>
        <v>0.56597260400000005</v>
      </c>
      <c r="AC3180" s="122" t="s">
        <v>1838</v>
      </c>
      <c r="AD3180" s="123">
        <f t="shared" si="323"/>
        <v>18.797413702</v>
      </c>
    </row>
    <row r="3181" spans="1:30" ht="12.75" hidden="1" customHeight="1">
      <c r="A3181" s="125" t="str">
        <f t="shared" si="318"/>
        <v>LIC36Client Servicing Expenes</v>
      </c>
      <c r="B3181" s="125">
        <f>+IFERROR(VLOOKUP(L3181,'TB mapping'!A:D,4,0),0)</f>
        <v>0</v>
      </c>
      <c r="C3181" s="125">
        <f>+IFERROR(VLOOKUP(L3181,'TB mapping'!A:C,3,0),0)</f>
        <v>6.3</v>
      </c>
      <c r="D3181" s="125" t="str">
        <f t="shared" si="319"/>
        <v>LIC360</v>
      </c>
      <c r="E3181" s="125" t="str">
        <f t="shared" si="320"/>
        <v>LIC366.3</v>
      </c>
      <c r="F3181" s="158" t="str">
        <f>+VLOOKUP(H3181,'code mapping'!A:C,3,0)</f>
        <v>LIC36</v>
      </c>
      <c r="G3181" s="127" t="s">
        <v>453</v>
      </c>
      <c r="H3181" s="127" t="s">
        <v>810</v>
      </c>
      <c r="I3181" s="127" t="s">
        <v>60</v>
      </c>
      <c r="J3181" s="128">
        <v>550000</v>
      </c>
      <c r="K3181" s="127" t="s">
        <v>550</v>
      </c>
      <c r="L3181" s="151">
        <v>555157</v>
      </c>
      <c r="M3181" s="128">
        <v>0</v>
      </c>
      <c r="N3181" s="127" t="s">
        <v>571</v>
      </c>
      <c r="O3181" s="127" t="s">
        <v>457</v>
      </c>
      <c r="P3181" s="128">
        <v>-10262467.630000001</v>
      </c>
      <c r="Q3181" s="128">
        <v>0</v>
      </c>
      <c r="R3181" s="128">
        <v>0</v>
      </c>
      <c r="S3181" s="128">
        <v>0</v>
      </c>
      <c r="T3181" s="128">
        <v>-10262467.630000001</v>
      </c>
      <c r="U3181" s="128">
        <v>0</v>
      </c>
      <c r="V3181" s="128">
        <v>-10262467.630000001</v>
      </c>
      <c r="W3181" s="128">
        <v>0</v>
      </c>
      <c r="X3181" s="128">
        <v>0</v>
      </c>
      <c r="Y3181" s="128">
        <v>0</v>
      </c>
      <c r="Z3181" s="128">
        <v>-10262467.630000001</v>
      </c>
      <c r="AA3181" s="128">
        <v>0</v>
      </c>
      <c r="AB3181" s="126">
        <f t="shared" si="321"/>
        <v>1.0262467630000001</v>
      </c>
      <c r="AC3181" s="122" t="s">
        <v>1838</v>
      </c>
      <c r="AD3181" s="123">
        <f t="shared" si="323"/>
        <v>18.797413702</v>
      </c>
    </row>
    <row r="3182" spans="1:30" ht="12.75" hidden="1" customHeight="1">
      <c r="A3182" s="125" t="str">
        <f t="shared" si="318"/>
        <v>LIC36Management Fees - RDD</v>
      </c>
      <c r="B3182" s="125">
        <f>+IFERROR(VLOOKUP(L3182,'TB mapping'!A:D,4,0),0)</f>
        <v>6.1</v>
      </c>
      <c r="C3182" s="125">
        <f>+IFERROR(VLOOKUP(L3182,'TB mapping'!A:C,3,0),0)</f>
        <v>6.3</v>
      </c>
      <c r="D3182" s="125" t="str">
        <f t="shared" si="319"/>
        <v>LIC366.1</v>
      </c>
      <c r="E3182" s="125" t="str">
        <f t="shared" si="320"/>
        <v>LIC366.3</v>
      </c>
      <c r="F3182" s="158" t="str">
        <f>+VLOOKUP(H3182,'code mapping'!A:C,3,0)</f>
        <v>LIC36</v>
      </c>
      <c r="G3182" s="127" t="s">
        <v>453</v>
      </c>
      <c r="H3182" s="127" t="s">
        <v>810</v>
      </c>
      <c r="I3182" s="127" t="s">
        <v>60</v>
      </c>
      <c r="J3182" s="128">
        <v>550000</v>
      </c>
      <c r="K3182" s="127" t="s">
        <v>550</v>
      </c>
      <c r="L3182" s="151">
        <v>555255</v>
      </c>
      <c r="M3182" s="128">
        <v>0</v>
      </c>
      <c r="N3182" s="127" t="s">
        <v>682</v>
      </c>
      <c r="O3182" s="127" t="s">
        <v>457</v>
      </c>
      <c r="P3182" s="128">
        <v>-461275.83</v>
      </c>
      <c r="Q3182" s="128">
        <v>0</v>
      </c>
      <c r="R3182" s="128">
        <v>0</v>
      </c>
      <c r="S3182" s="128">
        <v>0</v>
      </c>
      <c r="T3182" s="128">
        <v>-461275.83</v>
      </c>
      <c r="U3182" s="128">
        <v>0</v>
      </c>
      <c r="V3182" s="128">
        <v>-461275.83</v>
      </c>
      <c r="W3182" s="128">
        <v>0</v>
      </c>
      <c r="X3182" s="128">
        <v>0</v>
      </c>
      <c r="Y3182" s="128">
        <v>0</v>
      </c>
      <c r="Z3182" s="128">
        <v>-461275.83</v>
      </c>
      <c r="AA3182" s="128">
        <v>0</v>
      </c>
      <c r="AB3182" s="126">
        <f t="shared" si="321"/>
        <v>4.6127583E-2</v>
      </c>
      <c r="AC3182" s="122" t="s">
        <v>1838</v>
      </c>
      <c r="AD3182" s="123">
        <f t="shared" si="323"/>
        <v>18.797413702</v>
      </c>
    </row>
    <row r="3183" spans="1:30" ht="12.75" hidden="1" customHeight="1">
      <c r="A3183" s="125" t="str">
        <f t="shared" si="318"/>
        <v>LIC36Management Fee-Reclassfication</v>
      </c>
      <c r="B3183" s="125">
        <f>+IFERROR(VLOOKUP(L3183,'TB mapping'!A:D,4,0),0)</f>
        <v>6.1</v>
      </c>
      <c r="C3183" s="125">
        <f>+IFERROR(VLOOKUP(L3183,'TB mapping'!A:C,3,0),0)</f>
        <v>6.3</v>
      </c>
      <c r="D3183" s="125" t="str">
        <f t="shared" si="319"/>
        <v>LIC366.1</v>
      </c>
      <c r="E3183" s="125" t="str">
        <f t="shared" si="320"/>
        <v>LIC366.3</v>
      </c>
      <c r="F3183" s="158" t="str">
        <f>+VLOOKUP(H3183,'code mapping'!A:C,3,0)</f>
        <v>LIC36</v>
      </c>
      <c r="G3183" s="127" t="s">
        <v>453</v>
      </c>
      <c r="H3183" s="127" t="s">
        <v>810</v>
      </c>
      <c r="I3183" s="127" t="s">
        <v>60</v>
      </c>
      <c r="J3183" s="128">
        <v>550000</v>
      </c>
      <c r="K3183" s="127" t="s">
        <v>550</v>
      </c>
      <c r="L3183" s="151">
        <v>555274</v>
      </c>
      <c r="M3183" s="128">
        <v>0</v>
      </c>
      <c r="N3183" s="127" t="s">
        <v>583</v>
      </c>
      <c r="O3183" s="127" t="s">
        <v>457</v>
      </c>
      <c r="P3183" s="128">
        <v>-34830508.810000002</v>
      </c>
      <c r="Q3183" s="128">
        <v>0</v>
      </c>
      <c r="R3183" s="128">
        <v>0</v>
      </c>
      <c r="S3183" s="128">
        <v>0</v>
      </c>
      <c r="T3183" s="128">
        <v>-34830508.810000002</v>
      </c>
      <c r="U3183" s="128">
        <v>0</v>
      </c>
      <c r="V3183" s="128">
        <v>-34830508.810000002</v>
      </c>
      <c r="W3183" s="128">
        <v>0</v>
      </c>
      <c r="X3183" s="128">
        <v>0</v>
      </c>
      <c r="Y3183" s="128">
        <v>0</v>
      </c>
      <c r="Z3183" s="128">
        <v>-34830508.810000002</v>
      </c>
      <c r="AA3183" s="128">
        <v>0</v>
      </c>
      <c r="AB3183" s="126">
        <f t="shared" si="321"/>
        <v>3.483050881</v>
      </c>
      <c r="AC3183" s="122" t="s">
        <v>1838</v>
      </c>
      <c r="AD3183" s="123">
        <f t="shared" si="323"/>
        <v>18.797413702</v>
      </c>
    </row>
    <row r="3184" spans="1:30" ht="12.75" hidden="1" customHeight="1">
      <c r="A3184" s="125" t="str">
        <f t="shared" si="318"/>
        <v>LIC36Brokerage_Indirect_Reclassify</v>
      </c>
      <c r="B3184" s="125">
        <f>+IFERROR(VLOOKUP(L3184,'TB mapping'!A:D,4,0),0)</f>
        <v>0</v>
      </c>
      <c r="C3184" s="125">
        <f>+IFERROR(VLOOKUP(L3184,'TB mapping'!A:C,3,0),0)</f>
        <v>6.3</v>
      </c>
      <c r="D3184" s="125" t="str">
        <f t="shared" si="319"/>
        <v>LIC360</v>
      </c>
      <c r="E3184" s="125" t="str">
        <f t="shared" si="320"/>
        <v>LIC366.3</v>
      </c>
      <c r="F3184" s="158" t="str">
        <f>+VLOOKUP(H3184,'code mapping'!A:C,3,0)</f>
        <v>LIC36</v>
      </c>
      <c r="G3184" s="127" t="s">
        <v>453</v>
      </c>
      <c r="H3184" s="127" t="s">
        <v>810</v>
      </c>
      <c r="I3184" s="127" t="s">
        <v>60</v>
      </c>
      <c r="J3184" s="128">
        <v>550000</v>
      </c>
      <c r="K3184" s="127" t="s">
        <v>550</v>
      </c>
      <c r="L3184" s="151">
        <v>555275</v>
      </c>
      <c r="M3184" s="128">
        <v>0</v>
      </c>
      <c r="N3184" s="127" t="s">
        <v>600</v>
      </c>
      <c r="O3184" s="127" t="s">
        <v>457</v>
      </c>
      <c r="P3184" s="128">
        <v>0</v>
      </c>
      <c r="Q3184" s="128">
        <v>3000000</v>
      </c>
      <c r="R3184" s="128">
        <v>0</v>
      </c>
      <c r="S3184" s="128">
        <v>0</v>
      </c>
      <c r="T3184" s="128">
        <v>0</v>
      </c>
      <c r="U3184" s="128">
        <v>3000000</v>
      </c>
      <c r="V3184" s="128">
        <v>0</v>
      </c>
      <c r="W3184" s="128">
        <v>3000000</v>
      </c>
      <c r="X3184" s="128">
        <v>0</v>
      </c>
      <c r="Y3184" s="128">
        <v>0</v>
      </c>
      <c r="Z3184" s="128">
        <v>0</v>
      </c>
      <c r="AA3184" s="128">
        <v>3000000</v>
      </c>
      <c r="AB3184" s="126">
        <f t="shared" si="321"/>
        <v>-0.3</v>
      </c>
      <c r="AC3184" s="122" t="s">
        <v>1838</v>
      </c>
      <c r="AD3184" s="123">
        <f t="shared" si="323"/>
        <v>18.797413702</v>
      </c>
    </row>
    <row r="3185" spans="1:30" ht="12.75" hidden="1" customHeight="1">
      <c r="A3185" s="125" t="str">
        <f t="shared" si="318"/>
        <v>LIC36CGST on Reclassify of Exp</v>
      </c>
      <c r="B3185" s="125">
        <f>+IFERROR(VLOOKUP(L3185,'TB mapping'!A:D,4,0),0)</f>
        <v>0</v>
      </c>
      <c r="C3185" s="125">
        <f>+IFERROR(VLOOKUP(L3185,'TB mapping'!A:C,3,0),0)</f>
        <v>6.3</v>
      </c>
      <c r="D3185" s="125" t="str">
        <f t="shared" si="319"/>
        <v>LIC360</v>
      </c>
      <c r="E3185" s="125" t="str">
        <f t="shared" si="320"/>
        <v>LIC366.3</v>
      </c>
      <c r="F3185" s="158" t="str">
        <f>+VLOOKUP(H3185,'code mapping'!A:C,3,0)</f>
        <v>LIC36</v>
      </c>
      <c r="G3185" s="127" t="s">
        <v>453</v>
      </c>
      <c r="H3185" s="127" t="s">
        <v>810</v>
      </c>
      <c r="I3185" s="127" t="s">
        <v>60</v>
      </c>
      <c r="J3185" s="128">
        <v>550000</v>
      </c>
      <c r="K3185" s="127" t="s">
        <v>550</v>
      </c>
      <c r="L3185" s="151">
        <v>555276</v>
      </c>
      <c r="M3185" s="128">
        <v>0</v>
      </c>
      <c r="N3185" s="127" t="s">
        <v>572</v>
      </c>
      <c r="O3185" s="127" t="s">
        <v>457</v>
      </c>
      <c r="P3185" s="128">
        <v>-1571186.44</v>
      </c>
      <c r="Q3185" s="128">
        <v>0</v>
      </c>
      <c r="R3185" s="128">
        <v>0</v>
      </c>
      <c r="S3185" s="128">
        <v>0</v>
      </c>
      <c r="T3185" s="128">
        <v>-1571186.44</v>
      </c>
      <c r="U3185" s="128">
        <v>0</v>
      </c>
      <c r="V3185" s="128">
        <v>-1571186.44</v>
      </c>
      <c r="W3185" s="128">
        <v>0</v>
      </c>
      <c r="X3185" s="128">
        <v>0</v>
      </c>
      <c r="Y3185" s="128">
        <v>0</v>
      </c>
      <c r="Z3185" s="128">
        <v>-1571186.44</v>
      </c>
      <c r="AA3185" s="128">
        <v>0</v>
      </c>
      <c r="AB3185" s="126">
        <f t="shared" si="321"/>
        <v>0.157118644</v>
      </c>
      <c r="AC3185" s="122" t="s">
        <v>1838</v>
      </c>
      <c r="AD3185" s="123">
        <f t="shared" si="323"/>
        <v>18.797413702</v>
      </c>
    </row>
    <row r="3186" spans="1:30" ht="12.75" hidden="1" customHeight="1">
      <c r="A3186" s="125" t="str">
        <f t="shared" si="318"/>
        <v>LIC36SGST on Reclassify of Exp</v>
      </c>
      <c r="B3186" s="125">
        <f>+IFERROR(VLOOKUP(L3186,'TB mapping'!A:D,4,0),0)</f>
        <v>0</v>
      </c>
      <c r="C3186" s="125">
        <f>+IFERROR(VLOOKUP(L3186,'TB mapping'!A:C,3,0),0)</f>
        <v>6.3</v>
      </c>
      <c r="D3186" s="125" t="str">
        <f t="shared" si="319"/>
        <v>LIC360</v>
      </c>
      <c r="E3186" s="125" t="str">
        <f t="shared" si="320"/>
        <v>LIC366.3</v>
      </c>
      <c r="F3186" s="158" t="str">
        <f>+VLOOKUP(H3186,'code mapping'!A:C,3,0)</f>
        <v>LIC36</v>
      </c>
      <c r="G3186" s="127" t="s">
        <v>453</v>
      </c>
      <c r="H3186" s="127" t="s">
        <v>810</v>
      </c>
      <c r="I3186" s="127" t="s">
        <v>60</v>
      </c>
      <c r="J3186" s="128">
        <v>550000</v>
      </c>
      <c r="K3186" s="127" t="s">
        <v>550</v>
      </c>
      <c r="L3186" s="151">
        <v>555277</v>
      </c>
      <c r="M3186" s="128">
        <v>0</v>
      </c>
      <c r="N3186" s="127" t="s">
        <v>573</v>
      </c>
      <c r="O3186" s="127" t="s">
        <v>457</v>
      </c>
      <c r="P3186" s="128">
        <v>-1571186.44</v>
      </c>
      <c r="Q3186" s="128">
        <v>0</v>
      </c>
      <c r="R3186" s="128">
        <v>0</v>
      </c>
      <c r="S3186" s="128">
        <v>0</v>
      </c>
      <c r="T3186" s="128">
        <v>-1571186.44</v>
      </c>
      <c r="U3186" s="128">
        <v>0</v>
      </c>
      <c r="V3186" s="128">
        <v>-1571186.44</v>
      </c>
      <c r="W3186" s="128">
        <v>0</v>
      </c>
      <c r="X3186" s="128">
        <v>0</v>
      </c>
      <c r="Y3186" s="128">
        <v>0</v>
      </c>
      <c r="Z3186" s="128">
        <v>-1571186.44</v>
      </c>
      <c r="AA3186" s="128">
        <v>0</v>
      </c>
      <c r="AB3186" s="126">
        <f t="shared" si="321"/>
        <v>0.157118644</v>
      </c>
      <c r="AC3186" s="122" t="s">
        <v>1838</v>
      </c>
      <c r="AD3186" s="123">
        <f t="shared" si="323"/>
        <v>18.797413702</v>
      </c>
    </row>
    <row r="3187" spans="1:30" ht="12.75" hidden="1" customHeight="1">
      <c r="A3187" s="125" t="str">
        <f t="shared" si="318"/>
        <v>LIC36Other Expense-Reclassfication</v>
      </c>
      <c r="B3187" s="125">
        <f>+IFERROR(VLOOKUP(L3187,'TB mapping'!A:D,4,0),0)</f>
        <v>0</v>
      </c>
      <c r="C3187" s="125">
        <f>+IFERROR(VLOOKUP(L3187,'TB mapping'!A:C,3,0),0)</f>
        <v>0</v>
      </c>
      <c r="D3187" s="125" t="str">
        <f t="shared" si="319"/>
        <v>LIC360</v>
      </c>
      <c r="E3187" s="125" t="str">
        <f t="shared" si="320"/>
        <v>LIC360</v>
      </c>
      <c r="F3187" s="158" t="str">
        <f>+VLOOKUP(H3187,'code mapping'!A:C,3,0)</f>
        <v>LIC36</v>
      </c>
      <c r="G3187" s="127" t="s">
        <v>453</v>
      </c>
      <c r="H3187" s="127" t="s">
        <v>810</v>
      </c>
      <c r="I3187" s="127" t="s">
        <v>60</v>
      </c>
      <c r="J3187" s="128">
        <v>550000</v>
      </c>
      <c r="K3187" s="127" t="s">
        <v>550</v>
      </c>
      <c r="L3187" s="151">
        <v>555280</v>
      </c>
      <c r="M3187" s="128">
        <v>0</v>
      </c>
      <c r="N3187" s="127" t="s">
        <v>1590</v>
      </c>
      <c r="O3187" s="127" t="s">
        <v>457</v>
      </c>
      <c r="P3187" s="128">
        <v>0</v>
      </c>
      <c r="Q3187" s="128">
        <v>10099999.93</v>
      </c>
      <c r="R3187" s="128">
        <v>0</v>
      </c>
      <c r="S3187" s="128">
        <v>0</v>
      </c>
      <c r="T3187" s="128">
        <v>0</v>
      </c>
      <c r="U3187" s="128">
        <v>10099999.93</v>
      </c>
      <c r="V3187" s="128">
        <v>0</v>
      </c>
      <c r="W3187" s="128">
        <v>10099999.93</v>
      </c>
      <c r="X3187" s="128">
        <v>0</v>
      </c>
      <c r="Y3187" s="128">
        <v>0</v>
      </c>
      <c r="Z3187" s="128">
        <v>0</v>
      </c>
      <c r="AA3187" s="128">
        <v>10099999.93</v>
      </c>
      <c r="AB3187" s="126">
        <f t="shared" si="321"/>
        <v>-1.0099999929999999</v>
      </c>
      <c r="AC3187" s="122" t="s">
        <v>1838</v>
      </c>
      <c r="AD3187" s="123">
        <f>SUMIF(C:C,C3187,AB:AB)</f>
        <v>1983.9723217250009</v>
      </c>
    </row>
    <row r="3188" spans="1:30" ht="12.75" hidden="1" customHeight="1">
      <c r="A3188" s="125" t="str">
        <f t="shared" si="318"/>
        <v>LIC36CGST on Mfees</v>
      </c>
      <c r="B3188" s="125">
        <f>+IFERROR(VLOOKUP(L3188,'TB mapping'!A:D,4,0),0)</f>
        <v>6.1</v>
      </c>
      <c r="C3188" s="125">
        <f>+IFERROR(VLOOKUP(L3188,'TB mapping'!A:C,3,0),0)</f>
        <v>6.3</v>
      </c>
      <c r="D3188" s="125" t="str">
        <f t="shared" si="319"/>
        <v>LIC366.1</v>
      </c>
      <c r="E3188" s="125" t="str">
        <f t="shared" si="320"/>
        <v>LIC366.3</v>
      </c>
      <c r="F3188" s="158" t="str">
        <f>+VLOOKUP(H3188,'code mapping'!A:C,3,0)</f>
        <v>LIC36</v>
      </c>
      <c r="G3188" s="127" t="s">
        <v>453</v>
      </c>
      <c r="H3188" s="127" t="s">
        <v>810</v>
      </c>
      <c r="I3188" s="127" t="s">
        <v>60</v>
      </c>
      <c r="J3188" s="128">
        <v>550000</v>
      </c>
      <c r="K3188" s="127" t="s">
        <v>550</v>
      </c>
      <c r="L3188" s="151">
        <v>555597</v>
      </c>
      <c r="M3188" s="128">
        <v>0</v>
      </c>
      <c r="N3188" s="127" t="s">
        <v>574</v>
      </c>
      <c r="O3188" s="127" t="s">
        <v>457</v>
      </c>
      <c r="P3188" s="128">
        <v>-4398951.67</v>
      </c>
      <c r="Q3188" s="128">
        <v>0</v>
      </c>
      <c r="R3188" s="128">
        <v>0</v>
      </c>
      <c r="S3188" s="128">
        <v>0</v>
      </c>
      <c r="T3188" s="128">
        <v>-4398951.67</v>
      </c>
      <c r="U3188" s="128">
        <v>0</v>
      </c>
      <c r="V3188" s="128">
        <v>-4398951.67</v>
      </c>
      <c r="W3188" s="128">
        <v>0</v>
      </c>
      <c r="X3188" s="128">
        <v>0</v>
      </c>
      <c r="Y3188" s="128">
        <v>0</v>
      </c>
      <c r="Z3188" s="128">
        <v>-4398951.67</v>
      </c>
      <c r="AA3188" s="128">
        <v>0</v>
      </c>
      <c r="AB3188" s="126">
        <f t="shared" si="321"/>
        <v>0.43989516699999998</v>
      </c>
      <c r="AC3188" s="122" t="s">
        <v>1838</v>
      </c>
      <c r="AD3188" s="123">
        <f t="shared" ref="AD3188:AD3199" si="324">SUMIF(E:E,E3188,AB:AB)</f>
        <v>18.797413702</v>
      </c>
    </row>
    <row r="3189" spans="1:30" ht="12.75" hidden="1" customHeight="1">
      <c r="A3189" s="125" t="str">
        <f t="shared" si="318"/>
        <v>LIC36SGST on Mfees</v>
      </c>
      <c r="B3189" s="125">
        <f>+IFERROR(VLOOKUP(L3189,'TB mapping'!A:D,4,0),0)</f>
        <v>6.1</v>
      </c>
      <c r="C3189" s="125">
        <f>+IFERROR(VLOOKUP(L3189,'TB mapping'!A:C,3,0),0)</f>
        <v>6.3</v>
      </c>
      <c r="D3189" s="125" t="str">
        <f t="shared" si="319"/>
        <v>LIC366.1</v>
      </c>
      <c r="E3189" s="125" t="str">
        <f t="shared" si="320"/>
        <v>LIC366.3</v>
      </c>
      <c r="F3189" s="158" t="str">
        <f>+VLOOKUP(H3189,'code mapping'!A:C,3,0)</f>
        <v>LIC36</v>
      </c>
      <c r="G3189" s="127" t="s">
        <v>453</v>
      </c>
      <c r="H3189" s="127" t="s">
        <v>810</v>
      </c>
      <c r="I3189" s="127" t="s">
        <v>60</v>
      </c>
      <c r="J3189" s="128">
        <v>550000</v>
      </c>
      <c r="K3189" s="127" t="s">
        <v>550</v>
      </c>
      <c r="L3189" s="151">
        <v>555598</v>
      </c>
      <c r="M3189" s="128">
        <v>0</v>
      </c>
      <c r="N3189" s="127" t="s">
        <v>575</v>
      </c>
      <c r="O3189" s="127" t="s">
        <v>457</v>
      </c>
      <c r="P3189" s="128">
        <v>-4398951.66</v>
      </c>
      <c r="Q3189" s="128">
        <v>0</v>
      </c>
      <c r="R3189" s="128">
        <v>0</v>
      </c>
      <c r="S3189" s="128">
        <v>0</v>
      </c>
      <c r="T3189" s="128">
        <v>-4398951.66</v>
      </c>
      <c r="U3189" s="128">
        <v>0</v>
      </c>
      <c r="V3189" s="128">
        <v>-4398951.66</v>
      </c>
      <c r="W3189" s="128">
        <v>0</v>
      </c>
      <c r="X3189" s="128">
        <v>0</v>
      </c>
      <c r="Y3189" s="128">
        <v>0</v>
      </c>
      <c r="Z3189" s="128">
        <v>-4398951.66</v>
      </c>
      <c r="AA3189" s="128">
        <v>0</v>
      </c>
      <c r="AB3189" s="126">
        <f t="shared" si="321"/>
        <v>0.439895166</v>
      </c>
      <c r="AC3189" s="122" t="s">
        <v>1838</v>
      </c>
      <c r="AD3189" s="123">
        <f t="shared" si="324"/>
        <v>18.797413702</v>
      </c>
    </row>
    <row r="3190" spans="1:30" ht="12.75" hidden="1" customHeight="1">
      <c r="A3190" s="125" t="str">
        <f t="shared" si="318"/>
        <v>LIC36CGST on Mfees -GDP</v>
      </c>
      <c r="B3190" s="125">
        <f>+IFERROR(VLOOKUP(L3190,'TB mapping'!A:D,4,0),0)</f>
        <v>6.1</v>
      </c>
      <c r="C3190" s="125">
        <f>+IFERROR(VLOOKUP(L3190,'TB mapping'!A:C,3,0),0)</f>
        <v>6.3</v>
      </c>
      <c r="D3190" s="125" t="str">
        <f t="shared" si="319"/>
        <v>LIC366.1</v>
      </c>
      <c r="E3190" s="125" t="str">
        <f t="shared" si="320"/>
        <v>LIC366.3</v>
      </c>
      <c r="F3190" s="158" t="str">
        <f>+VLOOKUP(H3190,'code mapping'!A:C,3,0)</f>
        <v>LIC36</v>
      </c>
      <c r="G3190" s="127" t="s">
        <v>453</v>
      </c>
      <c r="H3190" s="127" t="s">
        <v>810</v>
      </c>
      <c r="I3190" s="127" t="s">
        <v>60</v>
      </c>
      <c r="J3190" s="128">
        <v>550000</v>
      </c>
      <c r="K3190" s="127" t="s">
        <v>550</v>
      </c>
      <c r="L3190" s="151">
        <v>555599</v>
      </c>
      <c r="M3190" s="128">
        <v>0</v>
      </c>
      <c r="N3190" s="127" t="s">
        <v>576</v>
      </c>
      <c r="O3190" s="127" t="s">
        <v>457</v>
      </c>
      <c r="P3190" s="128">
        <v>0</v>
      </c>
      <c r="Q3190" s="128">
        <v>533.4</v>
      </c>
      <c r="R3190" s="128">
        <v>0</v>
      </c>
      <c r="S3190" s="128">
        <v>0</v>
      </c>
      <c r="T3190" s="128">
        <v>0</v>
      </c>
      <c r="U3190" s="128">
        <v>533.4</v>
      </c>
      <c r="V3190" s="128">
        <v>0</v>
      </c>
      <c r="W3190" s="128">
        <v>533.4</v>
      </c>
      <c r="X3190" s="128">
        <v>0</v>
      </c>
      <c r="Y3190" s="128">
        <v>0</v>
      </c>
      <c r="Z3190" s="128">
        <v>0</v>
      </c>
      <c r="AA3190" s="128">
        <v>533.4</v>
      </c>
      <c r="AB3190" s="126">
        <f t="shared" si="321"/>
        <v>-5.3340000000000001E-5</v>
      </c>
      <c r="AC3190" s="122" t="s">
        <v>1838</v>
      </c>
      <c r="AD3190" s="123">
        <f t="shared" si="324"/>
        <v>18.797413702</v>
      </c>
    </row>
    <row r="3191" spans="1:30" ht="12.75" hidden="1" customHeight="1">
      <c r="A3191" s="125" t="str">
        <f t="shared" si="318"/>
        <v>LIC36SGST on Mfees -GDP</v>
      </c>
      <c r="B3191" s="125">
        <f>+IFERROR(VLOOKUP(L3191,'TB mapping'!A:D,4,0),0)</f>
        <v>6.1</v>
      </c>
      <c r="C3191" s="125">
        <f>+IFERROR(VLOOKUP(L3191,'TB mapping'!A:C,3,0),0)</f>
        <v>6.3</v>
      </c>
      <c r="D3191" s="125" t="str">
        <f t="shared" si="319"/>
        <v>LIC366.1</v>
      </c>
      <c r="E3191" s="125" t="str">
        <f t="shared" si="320"/>
        <v>LIC366.3</v>
      </c>
      <c r="F3191" s="158" t="str">
        <f>+VLOOKUP(H3191,'code mapping'!A:C,3,0)</f>
        <v>LIC36</v>
      </c>
      <c r="G3191" s="127" t="s">
        <v>453</v>
      </c>
      <c r="H3191" s="127" t="s">
        <v>810</v>
      </c>
      <c r="I3191" s="127" t="s">
        <v>60</v>
      </c>
      <c r="J3191" s="128">
        <v>550000</v>
      </c>
      <c r="K3191" s="127" t="s">
        <v>550</v>
      </c>
      <c r="L3191" s="151">
        <v>555600</v>
      </c>
      <c r="M3191" s="128">
        <v>0</v>
      </c>
      <c r="N3191" s="127" t="s">
        <v>577</v>
      </c>
      <c r="O3191" s="127" t="s">
        <v>457</v>
      </c>
      <c r="P3191" s="128">
        <v>0</v>
      </c>
      <c r="Q3191" s="128">
        <v>533.39</v>
      </c>
      <c r="R3191" s="128">
        <v>0</v>
      </c>
      <c r="S3191" s="128">
        <v>0</v>
      </c>
      <c r="T3191" s="128">
        <v>0</v>
      </c>
      <c r="U3191" s="128">
        <v>533.39</v>
      </c>
      <c r="V3191" s="128">
        <v>0</v>
      </c>
      <c r="W3191" s="128">
        <v>533.39</v>
      </c>
      <c r="X3191" s="128">
        <v>0</v>
      </c>
      <c r="Y3191" s="128">
        <v>0</v>
      </c>
      <c r="Z3191" s="128">
        <v>0</v>
      </c>
      <c r="AA3191" s="128">
        <v>533.39</v>
      </c>
      <c r="AB3191" s="126">
        <f t="shared" si="321"/>
        <v>-5.3338999999999999E-5</v>
      </c>
      <c r="AC3191" s="122" t="s">
        <v>1838</v>
      </c>
      <c r="AD3191" s="123">
        <f t="shared" si="324"/>
        <v>18.797413702</v>
      </c>
    </row>
    <row r="3192" spans="1:30" ht="12.75" hidden="1" customHeight="1">
      <c r="A3192" s="125" t="str">
        <f t="shared" si="318"/>
        <v>LIC36CGST on Mfees -Regular</v>
      </c>
      <c r="B3192" s="125">
        <f>+IFERROR(VLOOKUP(L3192,'TB mapping'!A:D,4,0),0)</f>
        <v>6.1</v>
      </c>
      <c r="C3192" s="125">
        <f>+IFERROR(VLOOKUP(L3192,'TB mapping'!A:C,3,0),0)</f>
        <v>6.3</v>
      </c>
      <c r="D3192" s="125" t="str">
        <f t="shared" si="319"/>
        <v>LIC366.1</v>
      </c>
      <c r="E3192" s="125" t="str">
        <f t="shared" si="320"/>
        <v>LIC366.3</v>
      </c>
      <c r="F3192" s="158" t="str">
        <f>+VLOOKUP(H3192,'code mapping'!A:C,3,0)</f>
        <v>LIC36</v>
      </c>
      <c r="G3192" s="127" t="s">
        <v>453</v>
      </c>
      <c r="H3192" s="127" t="s">
        <v>810</v>
      </c>
      <c r="I3192" s="127" t="s">
        <v>60</v>
      </c>
      <c r="J3192" s="128">
        <v>550000</v>
      </c>
      <c r="K3192" s="127" t="s">
        <v>550</v>
      </c>
      <c r="L3192" s="151">
        <v>555605</v>
      </c>
      <c r="M3192" s="128">
        <v>0</v>
      </c>
      <c r="N3192" s="127" t="s">
        <v>743</v>
      </c>
      <c r="O3192" s="127" t="s">
        <v>457</v>
      </c>
      <c r="P3192" s="128">
        <v>-76271.19</v>
      </c>
      <c r="Q3192" s="128">
        <v>0</v>
      </c>
      <c r="R3192" s="128">
        <v>0</v>
      </c>
      <c r="S3192" s="128">
        <v>0</v>
      </c>
      <c r="T3192" s="128">
        <v>-76271.19</v>
      </c>
      <c r="U3192" s="128">
        <v>0</v>
      </c>
      <c r="V3192" s="128">
        <v>-76271.19</v>
      </c>
      <c r="W3192" s="128">
        <v>0</v>
      </c>
      <c r="X3192" s="128">
        <v>0</v>
      </c>
      <c r="Y3192" s="128">
        <v>0</v>
      </c>
      <c r="Z3192" s="128">
        <v>-76271.19</v>
      </c>
      <c r="AA3192" s="128">
        <v>0</v>
      </c>
      <c r="AB3192" s="126">
        <f t="shared" si="321"/>
        <v>7.6271189999999999E-3</v>
      </c>
      <c r="AC3192" s="122" t="s">
        <v>1838</v>
      </c>
      <c r="AD3192" s="123">
        <f t="shared" si="324"/>
        <v>18.797413702</v>
      </c>
    </row>
    <row r="3193" spans="1:30" ht="12.75" hidden="1" customHeight="1">
      <c r="A3193" s="125" t="str">
        <f t="shared" ref="A3193:A3203" si="325">+F3193&amp;N3193</f>
        <v>LIC36SGST on Mfees -Regular</v>
      </c>
      <c r="B3193" s="125">
        <f>+IFERROR(VLOOKUP(L3193,'TB mapping'!A:D,4,0),0)</f>
        <v>6.1</v>
      </c>
      <c r="C3193" s="125">
        <f>+IFERROR(VLOOKUP(L3193,'TB mapping'!A:C,3,0),0)</f>
        <v>6.3</v>
      </c>
      <c r="D3193" s="125" t="str">
        <f t="shared" ref="D3193:D3203" si="326">+F3193&amp;B3193</f>
        <v>LIC366.1</v>
      </c>
      <c r="E3193" s="125" t="str">
        <f t="shared" ref="E3193:E3203" si="327">+F3193&amp;C3193</f>
        <v>LIC366.3</v>
      </c>
      <c r="F3193" s="158" t="str">
        <f>+VLOOKUP(H3193,'code mapping'!A:C,3,0)</f>
        <v>LIC36</v>
      </c>
      <c r="G3193" s="127" t="s">
        <v>453</v>
      </c>
      <c r="H3193" s="127" t="s">
        <v>810</v>
      </c>
      <c r="I3193" s="127" t="s">
        <v>60</v>
      </c>
      <c r="J3193" s="128">
        <v>550000</v>
      </c>
      <c r="K3193" s="127" t="s">
        <v>550</v>
      </c>
      <c r="L3193" s="151">
        <v>555606</v>
      </c>
      <c r="M3193" s="128">
        <v>0</v>
      </c>
      <c r="N3193" s="127" t="s">
        <v>744</v>
      </c>
      <c r="O3193" s="127" t="s">
        <v>457</v>
      </c>
      <c r="P3193" s="128">
        <v>-76271.19</v>
      </c>
      <c r="Q3193" s="128">
        <v>0</v>
      </c>
      <c r="R3193" s="128">
        <v>0</v>
      </c>
      <c r="S3193" s="128">
        <v>0</v>
      </c>
      <c r="T3193" s="128">
        <v>-76271.19</v>
      </c>
      <c r="U3193" s="128">
        <v>0</v>
      </c>
      <c r="V3193" s="128">
        <v>-76271.19</v>
      </c>
      <c r="W3193" s="128">
        <v>0</v>
      </c>
      <c r="X3193" s="128">
        <v>0</v>
      </c>
      <c r="Y3193" s="128">
        <v>0</v>
      </c>
      <c r="Z3193" s="128">
        <v>-76271.19</v>
      </c>
      <c r="AA3193" s="128">
        <v>0</v>
      </c>
      <c r="AB3193" s="126">
        <f t="shared" ref="AB3193:AB3203" si="328">SUM(-Z3193-AA3193)/10^7</f>
        <v>7.6271189999999999E-3</v>
      </c>
      <c r="AC3193" s="122" t="s">
        <v>1838</v>
      </c>
      <c r="AD3193" s="123">
        <f t="shared" si="324"/>
        <v>18.797413702</v>
      </c>
    </row>
    <row r="3194" spans="1:30" ht="12.75" hidden="1" customHeight="1">
      <c r="A3194" s="125" t="str">
        <f t="shared" si="325"/>
        <v>LIC36Operating Expenses</v>
      </c>
      <c r="B3194" s="125">
        <f>+IFERROR(VLOOKUP(L3194,'TB mapping'!A:D,4,0),0)</f>
        <v>0</v>
      </c>
      <c r="C3194" s="125">
        <f>+IFERROR(VLOOKUP(L3194,'TB mapping'!A:C,3,0),0)</f>
        <v>6.3</v>
      </c>
      <c r="D3194" s="125" t="str">
        <f t="shared" si="326"/>
        <v>LIC360</v>
      </c>
      <c r="E3194" s="125" t="str">
        <f t="shared" si="327"/>
        <v>LIC366.3</v>
      </c>
      <c r="F3194" s="158" t="str">
        <f>+VLOOKUP(H3194,'code mapping'!A:C,3,0)</f>
        <v>LIC36</v>
      </c>
      <c r="G3194" s="127" t="s">
        <v>453</v>
      </c>
      <c r="H3194" s="127" t="s">
        <v>810</v>
      </c>
      <c r="I3194" s="127" t="s">
        <v>60</v>
      </c>
      <c r="J3194" s="128">
        <v>550000</v>
      </c>
      <c r="K3194" s="127" t="s">
        <v>550</v>
      </c>
      <c r="L3194" s="151">
        <v>556421</v>
      </c>
      <c r="M3194" s="128">
        <v>0</v>
      </c>
      <c r="N3194" s="127" t="s">
        <v>578</v>
      </c>
      <c r="O3194" s="127" t="s">
        <v>457</v>
      </c>
      <c r="P3194" s="128">
        <v>-91873.58</v>
      </c>
      <c r="Q3194" s="128">
        <v>0</v>
      </c>
      <c r="R3194" s="128">
        <v>0</v>
      </c>
      <c r="S3194" s="128">
        <v>0</v>
      </c>
      <c r="T3194" s="128">
        <v>-91873.58</v>
      </c>
      <c r="U3194" s="128">
        <v>0</v>
      </c>
      <c r="V3194" s="128">
        <v>-91873.58</v>
      </c>
      <c r="W3194" s="128">
        <v>0</v>
      </c>
      <c r="X3194" s="128">
        <v>0</v>
      </c>
      <c r="Y3194" s="128">
        <v>0</v>
      </c>
      <c r="Z3194" s="128">
        <v>-91873.58</v>
      </c>
      <c r="AA3194" s="128">
        <v>0</v>
      </c>
      <c r="AB3194" s="126">
        <f t="shared" si="328"/>
        <v>9.1873579999999996E-3</v>
      </c>
      <c r="AC3194" s="122" t="s">
        <v>1838</v>
      </c>
      <c r="AD3194" s="123">
        <f t="shared" si="324"/>
        <v>18.797413702</v>
      </c>
    </row>
    <row r="3195" spans="1:30" ht="12.75" hidden="1" customHeight="1">
      <c r="A3195" s="125" t="str">
        <f t="shared" si="325"/>
        <v>LIC36Management Fee</v>
      </c>
      <c r="B3195" s="125">
        <f>+IFERROR(VLOOKUP(L3195,'TB mapping'!A:D,4,0),0)</f>
        <v>6.1</v>
      </c>
      <c r="C3195" s="125">
        <f>+IFERROR(VLOOKUP(L3195,'TB mapping'!A:C,3,0),0)</f>
        <v>6.3</v>
      </c>
      <c r="D3195" s="125" t="str">
        <f t="shared" si="326"/>
        <v>LIC366.1</v>
      </c>
      <c r="E3195" s="125" t="str">
        <f t="shared" si="327"/>
        <v>LIC366.3</v>
      </c>
      <c r="F3195" s="158" t="str">
        <f>+VLOOKUP(H3195,'code mapping'!A:C,3,0)</f>
        <v>LIC36</v>
      </c>
      <c r="G3195" s="127" t="s">
        <v>453</v>
      </c>
      <c r="H3195" s="127" t="s">
        <v>810</v>
      </c>
      <c r="I3195" s="127" t="s">
        <v>60</v>
      </c>
      <c r="J3195" s="128">
        <v>555100</v>
      </c>
      <c r="K3195" s="127" t="s">
        <v>579</v>
      </c>
      <c r="L3195" s="151">
        <v>555100</v>
      </c>
      <c r="M3195" s="128">
        <v>0</v>
      </c>
      <c r="N3195" s="127" t="s">
        <v>580</v>
      </c>
      <c r="O3195" s="127" t="s">
        <v>457</v>
      </c>
      <c r="P3195" s="128">
        <v>-14378278.210000001</v>
      </c>
      <c r="Q3195" s="128">
        <v>0</v>
      </c>
      <c r="R3195" s="128">
        <v>0</v>
      </c>
      <c r="S3195" s="128">
        <v>0</v>
      </c>
      <c r="T3195" s="128">
        <v>-14378278.210000001</v>
      </c>
      <c r="U3195" s="128">
        <v>0</v>
      </c>
      <c r="V3195" s="128">
        <v>-14378278.210000001</v>
      </c>
      <c r="W3195" s="128">
        <v>0</v>
      </c>
      <c r="X3195" s="128">
        <v>0</v>
      </c>
      <c r="Y3195" s="128">
        <v>0</v>
      </c>
      <c r="Z3195" s="128">
        <v>-14378278.210000001</v>
      </c>
      <c r="AA3195" s="128">
        <v>0</v>
      </c>
      <c r="AB3195" s="126">
        <f t="shared" si="328"/>
        <v>1.4378278210000002</v>
      </c>
      <c r="AC3195" s="122" t="s">
        <v>1838</v>
      </c>
      <c r="AD3195" s="123">
        <f t="shared" si="324"/>
        <v>18.797413702</v>
      </c>
    </row>
    <row r="3196" spans="1:30" ht="12.75" hidden="1" customHeight="1">
      <c r="A3196" s="125" t="str">
        <f t="shared" si="325"/>
        <v>LIC36Management Fees-RG</v>
      </c>
      <c r="B3196" s="125">
        <f>+IFERROR(VLOOKUP(L3196,'TB mapping'!A:D,4,0),0)</f>
        <v>6.1</v>
      </c>
      <c r="C3196" s="125">
        <f>+IFERROR(VLOOKUP(L3196,'TB mapping'!A:C,3,0),0)</f>
        <v>6.3</v>
      </c>
      <c r="D3196" s="125" t="str">
        <f t="shared" si="326"/>
        <v>LIC366.1</v>
      </c>
      <c r="E3196" s="125" t="str">
        <f t="shared" si="327"/>
        <v>LIC366.3</v>
      </c>
      <c r="F3196" s="158" t="str">
        <f>+VLOOKUP(H3196,'code mapping'!A:C,3,0)</f>
        <v>LIC36</v>
      </c>
      <c r="G3196" s="127" t="s">
        <v>453</v>
      </c>
      <c r="H3196" s="127" t="s">
        <v>810</v>
      </c>
      <c r="I3196" s="127" t="s">
        <v>60</v>
      </c>
      <c r="J3196" s="128">
        <v>555100</v>
      </c>
      <c r="K3196" s="127" t="s">
        <v>579</v>
      </c>
      <c r="L3196" s="151">
        <v>555191</v>
      </c>
      <c r="M3196" s="128">
        <v>0</v>
      </c>
      <c r="N3196" s="127" t="s">
        <v>581</v>
      </c>
      <c r="O3196" s="127" t="s">
        <v>457</v>
      </c>
      <c r="P3196" s="128">
        <v>-3063863.12</v>
      </c>
      <c r="Q3196" s="128">
        <v>0</v>
      </c>
      <c r="R3196" s="128">
        <v>0</v>
      </c>
      <c r="S3196" s="128">
        <v>0</v>
      </c>
      <c r="T3196" s="128">
        <v>-3063863.12</v>
      </c>
      <c r="U3196" s="128">
        <v>0</v>
      </c>
      <c r="V3196" s="128">
        <v>-3063863.12</v>
      </c>
      <c r="W3196" s="128">
        <v>0</v>
      </c>
      <c r="X3196" s="128">
        <v>0</v>
      </c>
      <c r="Y3196" s="128">
        <v>0</v>
      </c>
      <c r="Z3196" s="128">
        <v>-3063863.12</v>
      </c>
      <c r="AA3196" s="128">
        <v>0</v>
      </c>
      <c r="AB3196" s="126">
        <f t="shared" si="328"/>
        <v>0.30638631199999999</v>
      </c>
      <c r="AC3196" s="122" t="s">
        <v>1838</v>
      </c>
      <c r="AD3196" s="123">
        <f t="shared" si="324"/>
        <v>18.797413702</v>
      </c>
    </row>
    <row r="3197" spans="1:30" ht="12.75" hidden="1" customHeight="1">
      <c r="A3197" s="125" t="str">
        <f t="shared" si="325"/>
        <v>LIC36Management Fees-GDP</v>
      </c>
      <c r="B3197" s="125">
        <f>+IFERROR(VLOOKUP(L3197,'TB mapping'!A:D,4,0),0)</f>
        <v>6.1</v>
      </c>
      <c r="C3197" s="125">
        <f>+IFERROR(VLOOKUP(L3197,'TB mapping'!A:C,3,0),0)</f>
        <v>6.3</v>
      </c>
      <c r="D3197" s="125" t="str">
        <f t="shared" si="326"/>
        <v>LIC366.1</v>
      </c>
      <c r="E3197" s="125" t="str">
        <f t="shared" si="327"/>
        <v>LIC366.3</v>
      </c>
      <c r="F3197" s="158" t="str">
        <f>+VLOOKUP(H3197,'code mapping'!A:C,3,0)</f>
        <v>LIC36</v>
      </c>
      <c r="G3197" s="127" t="s">
        <v>453</v>
      </c>
      <c r="H3197" s="127" t="s">
        <v>810</v>
      </c>
      <c r="I3197" s="127" t="s">
        <v>60</v>
      </c>
      <c r="J3197" s="128">
        <v>555100</v>
      </c>
      <c r="K3197" s="127" t="s">
        <v>579</v>
      </c>
      <c r="L3197" s="151">
        <v>555329</v>
      </c>
      <c r="M3197" s="128">
        <v>0</v>
      </c>
      <c r="N3197" s="127" t="s">
        <v>584</v>
      </c>
      <c r="O3197" s="127" t="s">
        <v>457</v>
      </c>
      <c r="P3197" s="128">
        <v>-22625027.93</v>
      </c>
      <c r="Q3197" s="128">
        <v>0</v>
      </c>
      <c r="R3197" s="128">
        <v>0</v>
      </c>
      <c r="S3197" s="128">
        <v>0</v>
      </c>
      <c r="T3197" s="128">
        <v>-22625027.93</v>
      </c>
      <c r="U3197" s="128">
        <v>0</v>
      </c>
      <c r="V3197" s="128">
        <v>-22625027.93</v>
      </c>
      <c r="W3197" s="128">
        <v>0</v>
      </c>
      <c r="X3197" s="128">
        <v>0</v>
      </c>
      <c r="Y3197" s="128">
        <v>0</v>
      </c>
      <c r="Z3197" s="128">
        <v>-22625027.93</v>
      </c>
      <c r="AA3197" s="128">
        <v>0</v>
      </c>
      <c r="AB3197" s="126">
        <f t="shared" si="328"/>
        <v>2.2625027929999999</v>
      </c>
      <c r="AC3197" s="122" t="s">
        <v>1838</v>
      </c>
      <c r="AD3197" s="123">
        <f t="shared" si="324"/>
        <v>18.797413702</v>
      </c>
    </row>
    <row r="3198" spans="1:30" ht="12.75" hidden="1" customHeight="1">
      <c r="A3198" s="125" t="str">
        <f t="shared" si="325"/>
        <v>LIC36Management Fees-DDP</v>
      </c>
      <c r="B3198" s="125">
        <f>+IFERROR(VLOOKUP(L3198,'TB mapping'!A:D,4,0),0)</f>
        <v>6.1</v>
      </c>
      <c r="C3198" s="125">
        <f>+IFERROR(VLOOKUP(L3198,'TB mapping'!A:C,3,0),0)</f>
        <v>6.3</v>
      </c>
      <c r="D3198" s="125" t="str">
        <f t="shared" si="326"/>
        <v>LIC366.1</v>
      </c>
      <c r="E3198" s="125" t="str">
        <f t="shared" si="327"/>
        <v>LIC366.3</v>
      </c>
      <c r="F3198" s="158" t="str">
        <f>+VLOOKUP(H3198,'code mapping'!A:C,3,0)</f>
        <v>LIC36</v>
      </c>
      <c r="G3198" s="127" t="s">
        <v>453</v>
      </c>
      <c r="H3198" s="127" t="s">
        <v>810</v>
      </c>
      <c r="I3198" s="127" t="s">
        <v>60</v>
      </c>
      <c r="J3198" s="128">
        <v>555100</v>
      </c>
      <c r="K3198" s="127" t="s">
        <v>579</v>
      </c>
      <c r="L3198" s="151">
        <v>555330</v>
      </c>
      <c r="M3198" s="128">
        <v>0</v>
      </c>
      <c r="N3198" s="127" t="s">
        <v>585</v>
      </c>
      <c r="O3198" s="127" t="s">
        <v>457</v>
      </c>
      <c r="P3198" s="128">
        <v>-1417433.08</v>
      </c>
      <c r="Q3198" s="128">
        <v>0</v>
      </c>
      <c r="R3198" s="128">
        <v>0</v>
      </c>
      <c r="S3198" s="128">
        <v>0</v>
      </c>
      <c r="T3198" s="128">
        <v>-1417433.08</v>
      </c>
      <c r="U3198" s="128">
        <v>0</v>
      </c>
      <c r="V3198" s="128">
        <v>-1417433.08</v>
      </c>
      <c r="W3198" s="128">
        <v>0</v>
      </c>
      <c r="X3198" s="128">
        <v>0</v>
      </c>
      <c r="Y3198" s="128">
        <v>0</v>
      </c>
      <c r="Z3198" s="128">
        <v>-1417433.08</v>
      </c>
      <c r="AA3198" s="128">
        <v>0</v>
      </c>
      <c r="AB3198" s="126">
        <f t="shared" si="328"/>
        <v>0.14174330800000001</v>
      </c>
      <c r="AC3198" s="122" t="s">
        <v>1838</v>
      </c>
      <c r="AD3198" s="123">
        <f t="shared" si="324"/>
        <v>18.797413702</v>
      </c>
    </row>
    <row r="3199" spans="1:30" ht="12.75" hidden="1" customHeight="1">
      <c r="A3199" s="125" t="str">
        <f t="shared" si="325"/>
        <v>LIC36Management Fees-Regular</v>
      </c>
      <c r="B3199" s="125">
        <f>+IFERROR(VLOOKUP(L3199,'TB mapping'!A:D,4,0),0)</f>
        <v>6.1</v>
      </c>
      <c r="C3199" s="125">
        <f>+IFERROR(VLOOKUP(L3199,'TB mapping'!A:C,3,0),0)</f>
        <v>6.3</v>
      </c>
      <c r="D3199" s="125" t="str">
        <f t="shared" si="326"/>
        <v>LIC366.1</v>
      </c>
      <c r="E3199" s="125" t="str">
        <f t="shared" si="327"/>
        <v>LIC366.3</v>
      </c>
      <c r="F3199" s="158" t="str">
        <f>+VLOOKUP(H3199,'code mapping'!A:C,3,0)</f>
        <v>LIC36</v>
      </c>
      <c r="G3199" s="127" t="s">
        <v>453</v>
      </c>
      <c r="H3199" s="127" t="s">
        <v>810</v>
      </c>
      <c r="I3199" s="127" t="s">
        <v>60</v>
      </c>
      <c r="J3199" s="128">
        <v>555100</v>
      </c>
      <c r="K3199" s="127" t="s">
        <v>579</v>
      </c>
      <c r="L3199" s="151">
        <v>555521</v>
      </c>
      <c r="M3199" s="128">
        <v>0</v>
      </c>
      <c r="N3199" s="127" t="s">
        <v>745</v>
      </c>
      <c r="O3199" s="127" t="s">
        <v>457</v>
      </c>
      <c r="P3199" s="128">
        <v>-847457.62</v>
      </c>
      <c r="Q3199" s="128">
        <v>0</v>
      </c>
      <c r="R3199" s="128">
        <v>0</v>
      </c>
      <c r="S3199" s="128">
        <v>0</v>
      </c>
      <c r="T3199" s="128">
        <v>-847457.62</v>
      </c>
      <c r="U3199" s="128">
        <v>0</v>
      </c>
      <c r="V3199" s="128">
        <v>-847457.62</v>
      </c>
      <c r="W3199" s="128">
        <v>0</v>
      </c>
      <c r="X3199" s="128">
        <v>0</v>
      </c>
      <c r="Y3199" s="128">
        <v>0</v>
      </c>
      <c r="Z3199" s="128">
        <v>-847457.62</v>
      </c>
      <c r="AA3199" s="128">
        <v>0</v>
      </c>
      <c r="AB3199" s="126">
        <f t="shared" si="328"/>
        <v>8.4745762000000002E-2</v>
      </c>
      <c r="AC3199" s="122" t="s">
        <v>1838</v>
      </c>
      <c r="AD3199" s="123">
        <f t="shared" si="324"/>
        <v>18.797413702</v>
      </c>
    </row>
    <row r="3200" spans="1:30" ht="12.75" hidden="1" customHeight="1">
      <c r="A3200" s="125" t="str">
        <f t="shared" si="325"/>
        <v>LIC36Dividend Dist - RDD</v>
      </c>
      <c r="B3200" s="125">
        <f>+IFERROR(VLOOKUP(L3200,'TB mapping'!A:D,4,0),0)</f>
        <v>0</v>
      </c>
      <c r="C3200" s="125" t="str">
        <f>+IFERROR(VLOOKUP(L3200,'TB mapping'!A:C,3,0),0)</f>
        <v>ignore</v>
      </c>
      <c r="D3200" s="125" t="str">
        <f t="shared" si="326"/>
        <v>LIC360</v>
      </c>
      <c r="E3200" s="125" t="str">
        <f t="shared" si="327"/>
        <v>LIC36ignore</v>
      </c>
      <c r="F3200" s="158" t="str">
        <f>+VLOOKUP(H3200,'code mapping'!A:C,3,0)</f>
        <v>LIC36</v>
      </c>
      <c r="G3200" s="127" t="s">
        <v>453</v>
      </c>
      <c r="H3200" s="127" t="s">
        <v>810</v>
      </c>
      <c r="I3200" s="127" t="s">
        <v>60</v>
      </c>
      <c r="J3200" s="128">
        <v>555300</v>
      </c>
      <c r="K3200" s="127" t="s">
        <v>586</v>
      </c>
      <c r="L3200" s="151">
        <v>553304</v>
      </c>
      <c r="M3200" s="128">
        <v>0</v>
      </c>
      <c r="N3200" s="127" t="s">
        <v>689</v>
      </c>
      <c r="O3200" s="127" t="s">
        <v>457</v>
      </c>
      <c r="P3200" s="128">
        <v>-115079491.89</v>
      </c>
      <c r="Q3200" s="128">
        <v>0</v>
      </c>
      <c r="R3200" s="128">
        <v>0</v>
      </c>
      <c r="S3200" s="128">
        <v>0</v>
      </c>
      <c r="T3200" s="128">
        <v>-115079491.89</v>
      </c>
      <c r="U3200" s="128">
        <v>0</v>
      </c>
      <c r="V3200" s="128">
        <v>-115079491.89</v>
      </c>
      <c r="W3200" s="128">
        <v>0</v>
      </c>
      <c r="X3200" s="128">
        <v>0</v>
      </c>
      <c r="Y3200" s="128">
        <v>0</v>
      </c>
      <c r="Z3200" s="128">
        <v>-115079491.89</v>
      </c>
      <c r="AA3200" s="128">
        <v>0</v>
      </c>
      <c r="AB3200" s="126">
        <f t="shared" si="328"/>
        <v>11.507949189</v>
      </c>
      <c r="AC3200" s="122" t="s">
        <v>1838</v>
      </c>
      <c r="AD3200" s="123">
        <f>SUMIF(C:C,C3200,AB:AB)</f>
        <v>-291.7660984179999</v>
      </c>
    </row>
    <row r="3201" spans="1:30" ht="12.75" hidden="1" customHeight="1">
      <c r="A3201" s="125" t="str">
        <f t="shared" si="325"/>
        <v>LIC36Dividend Distribution-DDP</v>
      </c>
      <c r="B3201" s="125">
        <f>+IFERROR(VLOOKUP(L3201,'TB mapping'!A:D,4,0),0)</f>
        <v>0</v>
      </c>
      <c r="C3201" s="125" t="str">
        <f>+IFERROR(VLOOKUP(L3201,'TB mapping'!A:C,3,0),0)</f>
        <v>ignore</v>
      </c>
      <c r="D3201" s="125" t="str">
        <f t="shared" si="326"/>
        <v>LIC360</v>
      </c>
      <c r="E3201" s="125" t="str">
        <f t="shared" si="327"/>
        <v>LIC36ignore</v>
      </c>
      <c r="F3201" s="158" t="str">
        <f>+VLOOKUP(H3201,'code mapping'!A:C,3,0)</f>
        <v>LIC36</v>
      </c>
      <c r="G3201" s="127" t="s">
        <v>453</v>
      </c>
      <c r="H3201" s="127" t="s">
        <v>810</v>
      </c>
      <c r="I3201" s="127" t="s">
        <v>60</v>
      </c>
      <c r="J3201" s="128">
        <v>555300</v>
      </c>
      <c r="K3201" s="127" t="s">
        <v>586</v>
      </c>
      <c r="L3201" s="151">
        <v>554346</v>
      </c>
      <c r="M3201" s="128">
        <v>0</v>
      </c>
      <c r="N3201" s="127" t="s">
        <v>605</v>
      </c>
      <c r="O3201" s="127" t="s">
        <v>457</v>
      </c>
      <c r="P3201" s="128">
        <v>-292335122.48000002</v>
      </c>
      <c r="Q3201" s="128">
        <v>0</v>
      </c>
      <c r="R3201" s="128">
        <v>0</v>
      </c>
      <c r="S3201" s="128">
        <v>0</v>
      </c>
      <c r="T3201" s="128">
        <v>-292335122.48000002</v>
      </c>
      <c r="U3201" s="128">
        <v>0</v>
      </c>
      <c r="V3201" s="128">
        <v>-292335122.48000002</v>
      </c>
      <c r="W3201" s="128">
        <v>0</v>
      </c>
      <c r="X3201" s="128">
        <v>0</v>
      </c>
      <c r="Y3201" s="128">
        <v>0</v>
      </c>
      <c r="Z3201" s="128">
        <v>-292335122.48000002</v>
      </c>
      <c r="AA3201" s="128">
        <v>0</v>
      </c>
      <c r="AB3201" s="126">
        <f t="shared" si="328"/>
        <v>29.233512248</v>
      </c>
      <c r="AC3201" s="122" t="s">
        <v>1838</v>
      </c>
      <c r="AD3201" s="123">
        <f>SUMIF(C:C,C3201,AB:AB)</f>
        <v>-291.7660984179999</v>
      </c>
    </row>
    <row r="3202" spans="1:30" ht="12.75" hidden="1" customHeight="1">
      <c r="A3202" s="125" t="str">
        <f t="shared" si="325"/>
        <v>LIC36DDT Expense-RDD</v>
      </c>
      <c r="B3202" s="125">
        <f>+IFERROR(VLOOKUP(L3202,'TB mapping'!A:D,4,0),0)</f>
        <v>0</v>
      </c>
      <c r="C3202" s="125" t="str">
        <f>+IFERROR(VLOOKUP(L3202,'TB mapping'!A:C,3,0),0)</f>
        <v>ignore</v>
      </c>
      <c r="D3202" s="125" t="str">
        <f t="shared" si="326"/>
        <v>LIC360</v>
      </c>
      <c r="E3202" s="125" t="str">
        <f t="shared" si="327"/>
        <v>LIC36ignore</v>
      </c>
      <c r="F3202" s="158" t="str">
        <f>+VLOOKUP(H3202,'code mapping'!A:C,3,0)</f>
        <v>LIC36</v>
      </c>
      <c r="G3202" s="127" t="s">
        <v>453</v>
      </c>
      <c r="H3202" s="127" t="s">
        <v>810</v>
      </c>
      <c r="I3202" s="127" t="s">
        <v>60</v>
      </c>
      <c r="J3202" s="128">
        <v>555300</v>
      </c>
      <c r="K3202" s="127" t="s">
        <v>586</v>
      </c>
      <c r="L3202" s="151">
        <v>556304</v>
      </c>
      <c r="M3202" s="128">
        <v>0</v>
      </c>
      <c r="N3202" s="127" t="s">
        <v>695</v>
      </c>
      <c r="O3202" s="127" t="s">
        <v>457</v>
      </c>
      <c r="P3202" s="128">
        <v>-54610623.439999998</v>
      </c>
      <c r="Q3202" s="128">
        <v>0</v>
      </c>
      <c r="R3202" s="128">
        <v>0</v>
      </c>
      <c r="S3202" s="128">
        <v>0</v>
      </c>
      <c r="T3202" s="128">
        <v>-54610623.439999998</v>
      </c>
      <c r="U3202" s="128">
        <v>0</v>
      </c>
      <c r="V3202" s="128">
        <v>-54610623.439999998</v>
      </c>
      <c r="W3202" s="128">
        <v>0</v>
      </c>
      <c r="X3202" s="128">
        <v>0</v>
      </c>
      <c r="Y3202" s="128">
        <v>0</v>
      </c>
      <c r="Z3202" s="128">
        <v>-54610623.439999998</v>
      </c>
      <c r="AA3202" s="128">
        <v>0</v>
      </c>
      <c r="AB3202" s="126">
        <f t="shared" si="328"/>
        <v>5.4610623440000001</v>
      </c>
      <c r="AC3202" s="122" t="s">
        <v>1838</v>
      </c>
      <c r="AD3202" s="123">
        <f>SUMIF(C:C,C3202,AB:AB)</f>
        <v>-291.7660984179999</v>
      </c>
    </row>
    <row r="3203" spans="1:30" ht="12.75" hidden="1" customHeight="1">
      <c r="A3203" s="125" t="str">
        <f t="shared" si="325"/>
        <v>LIC36DDT Expense-DDP</v>
      </c>
      <c r="B3203" s="125">
        <f>+IFERROR(VLOOKUP(L3203,'TB mapping'!A:D,4,0),0)</f>
        <v>0</v>
      </c>
      <c r="C3203" s="125" t="str">
        <f>+IFERROR(VLOOKUP(L3203,'TB mapping'!A:C,3,0),0)</f>
        <v>ignore</v>
      </c>
      <c r="D3203" s="125" t="str">
        <f t="shared" si="326"/>
        <v>LIC360</v>
      </c>
      <c r="E3203" s="125" t="str">
        <f t="shared" si="327"/>
        <v>LIC36ignore</v>
      </c>
      <c r="F3203" s="158" t="str">
        <f>+VLOOKUP(H3203,'code mapping'!A:C,3,0)</f>
        <v>LIC36</v>
      </c>
      <c r="G3203" s="127" t="s">
        <v>453</v>
      </c>
      <c r="H3203" s="127" t="s">
        <v>810</v>
      </c>
      <c r="I3203" s="127" t="s">
        <v>60</v>
      </c>
      <c r="J3203" s="128">
        <v>555300</v>
      </c>
      <c r="K3203" s="127" t="s">
        <v>586</v>
      </c>
      <c r="L3203" s="151">
        <v>556346</v>
      </c>
      <c r="M3203" s="128">
        <v>0</v>
      </c>
      <c r="N3203" s="127" t="s">
        <v>606</v>
      </c>
      <c r="O3203" s="127" t="s">
        <v>457</v>
      </c>
      <c r="P3203" s="128">
        <v>-142192496.09999999</v>
      </c>
      <c r="Q3203" s="128">
        <v>0</v>
      </c>
      <c r="R3203" s="128">
        <v>0</v>
      </c>
      <c r="S3203" s="128">
        <v>0</v>
      </c>
      <c r="T3203" s="128">
        <v>-142192496.09999999</v>
      </c>
      <c r="U3203" s="128">
        <v>0</v>
      </c>
      <c r="V3203" s="128">
        <v>-142192496.09999999</v>
      </c>
      <c r="W3203" s="128">
        <v>0</v>
      </c>
      <c r="X3203" s="128">
        <v>0</v>
      </c>
      <c r="Y3203" s="128">
        <v>0</v>
      </c>
      <c r="Z3203" s="128">
        <v>-142192496.09999999</v>
      </c>
      <c r="AA3203" s="128">
        <v>0</v>
      </c>
      <c r="AB3203" s="126">
        <f t="shared" si="328"/>
        <v>14.219249609999999</v>
      </c>
      <c r="AC3203" s="122" t="s">
        <v>1838</v>
      </c>
      <c r="AD3203" s="123">
        <f>SUMIF(C:C,C3203,AB:AB)</f>
        <v>-291.7660984179999</v>
      </c>
    </row>
    <row r="3204" spans="1:30" ht="12.75" hidden="1" customHeight="1">
      <c r="G3204" s="140">
        <v>43193</v>
      </c>
      <c r="H3204" s="147">
        <v>0.63165509259124519</v>
      </c>
      <c r="I3204" s="148">
        <v>1</v>
      </c>
      <c r="AB3204" s="126"/>
    </row>
  </sheetData>
  <autoFilter ref="A1:AF3204" xr:uid="{00000000-0009-0000-0000-000004000000}">
    <filterColumn colId="1">
      <filters>
        <filter val="6.1"/>
      </filters>
    </filterColumn>
    <filterColumn colId="5">
      <filters>
        <filter val="LIC94"/>
        <filter val="LIC95"/>
        <filter val="LIC96"/>
      </filters>
    </filterColumn>
  </autoFilter>
  <pageMargins left="0" right="0" top="0" bottom="0" header="0" footer="0"/>
  <pageSetup fitToWidth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B164"/>
  <sheetViews>
    <sheetView topLeftCell="B1" zoomScaleNormal="100" workbookViewId="0">
      <pane xSplit="3" ySplit="4" topLeftCell="E5" activePane="bottomRight" state="frozen"/>
      <selection activeCell="AT83" sqref="AT83"/>
      <selection pane="topRight" activeCell="AT83" sqref="AT83"/>
      <selection pane="bottomLeft" activeCell="AT83" sqref="AT83"/>
      <selection pane="bottomRight" activeCell="E4" sqref="E4"/>
    </sheetView>
  </sheetViews>
  <sheetFormatPr defaultColWidth="0" defaultRowHeight="12.6" customHeight="1" zeroHeight="1"/>
  <cols>
    <col min="1" max="1" width="0" style="1" hidden="1" customWidth="1"/>
    <col min="2" max="2" width="3.42578125" style="1" customWidth="1"/>
    <col min="3" max="3" width="5.28515625" style="7" customWidth="1"/>
    <col min="4" max="4" width="74.7109375" style="7" customWidth="1"/>
    <col min="5" max="23" width="30.7109375" style="7" customWidth="1"/>
    <col min="24" max="26" width="30.7109375" style="7" hidden="1" customWidth="1"/>
    <col min="27" max="27" width="30.7109375" style="7" customWidth="1"/>
    <col min="28" max="28" width="30.7109375" style="7" hidden="1" customWidth="1"/>
    <col min="29" max="50" width="30.7109375" style="7" customWidth="1"/>
    <col min="51" max="51" width="9.140625" style="7" hidden="1" customWidth="1"/>
    <col min="52" max="52" width="16.42578125" style="7" hidden="1" customWidth="1"/>
    <col min="53" max="53" width="17.5703125" style="7" hidden="1" customWidth="1"/>
    <col min="54" max="54" width="18.28515625" style="7" hidden="1" customWidth="1"/>
    <col min="55" max="16384" width="9.140625" style="7" hidden="1"/>
  </cols>
  <sheetData>
    <row r="1" spans="1:54" ht="12.75" customHeight="1">
      <c r="C1" s="2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2"/>
      <c r="Q1" s="2"/>
      <c r="R1" s="6"/>
      <c r="S1" s="2"/>
      <c r="T1" s="2"/>
      <c r="U1" s="2"/>
      <c r="V1" s="2"/>
      <c r="W1" s="2"/>
      <c r="AB1" s="2"/>
      <c r="AC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4" ht="12.75" customHeight="1">
      <c r="C2" s="2"/>
      <c r="D2" s="3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2"/>
      <c r="S2" s="2"/>
      <c r="T2" s="2"/>
      <c r="U2" s="2"/>
      <c r="V2" s="2"/>
      <c r="W2" s="2"/>
      <c r="AB2" s="2"/>
      <c r="AC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4" s="12" customFormat="1" ht="12.75" customHeight="1">
      <c r="A3" s="8"/>
      <c r="B3" s="8"/>
      <c r="C3" s="9"/>
      <c r="D3" s="10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  <c r="R3" s="11" t="s">
        <v>16</v>
      </c>
      <c r="S3" s="11" t="s">
        <v>17</v>
      </c>
      <c r="T3" s="11" t="s">
        <v>18</v>
      </c>
      <c r="U3" s="11" t="s">
        <v>19</v>
      </c>
      <c r="V3" s="11" t="s">
        <v>20</v>
      </c>
      <c r="W3" s="11" t="s">
        <v>21</v>
      </c>
      <c r="X3" s="11" t="s">
        <v>22</v>
      </c>
      <c r="Y3" s="11" t="s">
        <v>23</v>
      </c>
      <c r="Z3" s="11" t="s">
        <v>24</v>
      </c>
      <c r="AA3" s="11" t="s">
        <v>25</v>
      </c>
      <c r="AB3" s="11" t="s">
        <v>26</v>
      </c>
      <c r="AC3" s="11" t="s">
        <v>27</v>
      </c>
      <c r="AD3" s="11" t="s">
        <v>28</v>
      </c>
      <c r="AE3" s="11" t="s">
        <v>29</v>
      </c>
      <c r="AF3" s="11" t="s">
        <v>30</v>
      </c>
      <c r="AG3" s="11" t="s">
        <v>31</v>
      </c>
      <c r="AH3" s="11" t="s">
        <v>32</v>
      </c>
      <c r="AI3" s="11" t="s">
        <v>33</v>
      </c>
      <c r="AJ3" s="11" t="s">
        <v>34</v>
      </c>
      <c r="AK3" s="11" t="s">
        <v>35</v>
      </c>
      <c r="AL3" s="11" t="s">
        <v>36</v>
      </c>
      <c r="AM3" s="11" t="s">
        <v>37</v>
      </c>
      <c r="AN3" s="11" t="s">
        <v>38</v>
      </c>
      <c r="AO3" s="11" t="s">
        <v>39</v>
      </c>
      <c r="AP3" s="11" t="s">
        <v>40</v>
      </c>
      <c r="AQ3" s="11" t="s">
        <v>41</v>
      </c>
      <c r="AR3" s="11" t="s">
        <v>42</v>
      </c>
      <c r="AS3" s="11" t="s">
        <v>43</v>
      </c>
      <c r="AT3" s="11" t="s">
        <v>44</v>
      </c>
      <c r="AU3" s="11" t="s">
        <v>45</v>
      </c>
      <c r="AV3" s="11" t="s">
        <v>46</v>
      </c>
      <c r="AW3" s="11" t="s">
        <v>47</v>
      </c>
      <c r="AX3" s="11" t="s">
        <v>48</v>
      </c>
    </row>
    <row r="4" spans="1:54" ht="54" customHeight="1" thickBot="1">
      <c r="C4" s="13" t="s">
        <v>49</v>
      </c>
      <c r="D4" s="14" t="s">
        <v>50</v>
      </c>
      <c r="E4" s="15" t="s">
        <v>51</v>
      </c>
      <c r="F4" s="15" t="s">
        <v>52</v>
      </c>
      <c r="G4" s="15" t="s">
        <v>53</v>
      </c>
      <c r="H4" s="15" t="s">
        <v>54</v>
      </c>
      <c r="I4" s="15" t="s">
        <v>55</v>
      </c>
      <c r="J4" s="15" t="s">
        <v>56</v>
      </c>
      <c r="K4" s="15" t="s">
        <v>57</v>
      </c>
      <c r="L4" s="15" t="s">
        <v>58</v>
      </c>
      <c r="M4" s="15" t="s">
        <v>59</v>
      </c>
      <c r="N4" s="15" t="s">
        <v>60</v>
      </c>
      <c r="O4" s="15" t="s">
        <v>61</v>
      </c>
      <c r="P4" s="15" t="s">
        <v>62</v>
      </c>
      <c r="Q4" s="15" t="s">
        <v>63</v>
      </c>
      <c r="R4" s="15" t="s">
        <v>64</v>
      </c>
      <c r="S4" s="15" t="s">
        <v>65</v>
      </c>
      <c r="T4" s="15" t="s">
        <v>66</v>
      </c>
      <c r="U4" s="15" t="s">
        <v>67</v>
      </c>
      <c r="V4" s="15" t="s">
        <v>68</v>
      </c>
      <c r="W4" s="16" t="s">
        <v>69</v>
      </c>
      <c r="X4" s="16" t="s">
        <v>70</v>
      </c>
      <c r="Y4" s="16" t="s">
        <v>71</v>
      </c>
      <c r="Z4" s="16" t="s">
        <v>72</v>
      </c>
      <c r="AA4" s="16" t="s">
        <v>73</v>
      </c>
      <c r="AB4" s="16" t="s">
        <v>74</v>
      </c>
      <c r="AC4" s="16" t="s">
        <v>75</v>
      </c>
      <c r="AD4" s="16" t="s">
        <v>76</v>
      </c>
      <c r="AE4" s="16" t="s">
        <v>77</v>
      </c>
      <c r="AF4" s="16" t="s">
        <v>78</v>
      </c>
      <c r="AG4" s="16" t="s">
        <v>79</v>
      </c>
      <c r="AH4" s="16" t="s">
        <v>80</v>
      </c>
      <c r="AI4" s="16" t="s">
        <v>81</v>
      </c>
      <c r="AJ4" s="16" t="s">
        <v>82</v>
      </c>
      <c r="AK4" s="16" t="s">
        <v>83</v>
      </c>
      <c r="AL4" s="16" t="s">
        <v>84</v>
      </c>
      <c r="AM4" s="16" t="s">
        <v>85</v>
      </c>
      <c r="AN4" s="16" t="s">
        <v>86</v>
      </c>
      <c r="AO4" s="16" t="s">
        <v>87</v>
      </c>
      <c r="AP4" s="16" t="s">
        <v>88</v>
      </c>
      <c r="AQ4" s="16" t="s">
        <v>89</v>
      </c>
      <c r="AR4" s="16" t="s">
        <v>90</v>
      </c>
      <c r="AS4" s="16" t="s">
        <v>91</v>
      </c>
      <c r="AT4" s="16" t="s">
        <v>92</v>
      </c>
      <c r="AU4" s="16" t="s">
        <v>93</v>
      </c>
      <c r="AV4" s="16" t="s">
        <v>94</v>
      </c>
      <c r="AW4" s="16" t="s">
        <v>95</v>
      </c>
      <c r="AX4" s="16" t="s">
        <v>96</v>
      </c>
    </row>
    <row r="5" spans="1:54" ht="13.5" thickTop="1">
      <c r="C5" s="3">
        <v>1.1000000000000001</v>
      </c>
      <c r="D5" s="2" t="s">
        <v>97</v>
      </c>
      <c r="E5" s="17">
        <v>141.20039941100001</v>
      </c>
      <c r="F5" s="17">
        <v>27.336371957000001</v>
      </c>
      <c r="G5" s="17">
        <v>96.989835319000008</v>
      </c>
      <c r="H5" s="17">
        <v>106.44423203700001</v>
      </c>
      <c r="I5" s="17">
        <v>24.797667292</v>
      </c>
      <c r="J5" s="17">
        <v>36.517124251999995</v>
      </c>
      <c r="K5" s="17">
        <v>126.010663271</v>
      </c>
      <c r="L5" s="17">
        <v>34.736871196999999</v>
      </c>
      <c r="M5" s="17">
        <v>11.627717393999999</v>
      </c>
      <c r="N5" s="17">
        <v>4153.6028221199995</v>
      </c>
      <c r="O5" s="17">
        <v>3.8636223339999995</v>
      </c>
      <c r="P5" s="17">
        <v>4.7675886609999996</v>
      </c>
      <c r="Q5" s="17">
        <v>1241.8926606269999</v>
      </c>
      <c r="R5" s="17">
        <v>234.74371340099998</v>
      </c>
      <c r="S5" s="17">
        <v>49.303480814000004</v>
      </c>
      <c r="T5" s="17">
        <v>2.910519667</v>
      </c>
      <c r="U5" s="17">
        <v>11.213741541999999</v>
      </c>
      <c r="V5" s="17">
        <v>5.3728318909999997</v>
      </c>
      <c r="W5" s="17">
        <v>5.2525979200000004</v>
      </c>
      <c r="X5" s="18">
        <v>0</v>
      </c>
      <c r="Y5" s="18">
        <v>0</v>
      </c>
      <c r="Z5" s="18">
        <v>0</v>
      </c>
      <c r="AA5" s="18">
        <v>15.242214612</v>
      </c>
      <c r="AB5" s="19">
        <v>0</v>
      </c>
      <c r="AC5" s="18">
        <v>33.357376006999999</v>
      </c>
      <c r="AD5" s="18">
        <v>19.008399015000002</v>
      </c>
      <c r="AE5" s="18">
        <v>9.3341243840000008</v>
      </c>
      <c r="AF5" s="18">
        <v>54.507137977999996</v>
      </c>
      <c r="AG5" s="18">
        <v>79.925908758000006</v>
      </c>
      <c r="AH5" s="18">
        <v>37.467455717</v>
      </c>
      <c r="AI5" s="18">
        <v>55.123699615</v>
      </c>
      <c r="AJ5" s="18">
        <v>32.622941589999996</v>
      </c>
      <c r="AK5" s="18">
        <v>70.310624149999995</v>
      </c>
      <c r="AL5" s="18">
        <v>65.295625376999993</v>
      </c>
      <c r="AM5" s="18">
        <v>34.882082630999996</v>
      </c>
      <c r="AN5" s="18">
        <v>21.548839763</v>
      </c>
      <c r="AO5" s="18">
        <v>46.725512999999999</v>
      </c>
      <c r="AP5" s="18">
        <v>33.619054990000002</v>
      </c>
      <c r="AQ5" s="18">
        <v>108.630887926</v>
      </c>
      <c r="AR5" s="18">
        <v>62.332841786000003</v>
      </c>
      <c r="AS5" s="18">
        <v>43.814490449000004</v>
      </c>
      <c r="AT5" s="18">
        <v>27.523093308</v>
      </c>
      <c r="AU5" s="18">
        <v>20.543167839000002</v>
      </c>
      <c r="AV5" s="18">
        <v>42.635671000000002</v>
      </c>
      <c r="AW5" s="18">
        <v>9.6365130000000008</v>
      </c>
      <c r="AX5" s="18">
        <v>26.644241999999998</v>
      </c>
    </row>
    <row r="6" spans="1:54" s="21" customFormat="1" ht="12.75">
      <c r="A6" s="20"/>
      <c r="B6" s="20"/>
      <c r="C6" s="3">
        <v>1.2</v>
      </c>
      <c r="D6" s="2" t="s">
        <v>98</v>
      </c>
      <c r="E6" s="4">
        <v>143.39929543599999</v>
      </c>
      <c r="F6" s="4">
        <v>86.912815453999997</v>
      </c>
      <c r="G6" s="4">
        <v>91.191090527</v>
      </c>
      <c r="H6" s="4">
        <v>89.205725510000008</v>
      </c>
      <c r="I6" s="4">
        <v>29.356513929000002</v>
      </c>
      <c r="J6" s="4">
        <v>32.894601545000008</v>
      </c>
      <c r="K6" s="4">
        <v>125.872961993</v>
      </c>
      <c r="L6" s="4">
        <v>26.403872796000002</v>
      </c>
      <c r="M6" s="4">
        <v>11.256138394000001</v>
      </c>
      <c r="N6" s="4">
        <v>4306.0745478600002</v>
      </c>
      <c r="O6" s="4">
        <v>3.3724659250000002</v>
      </c>
      <c r="P6" s="4">
        <v>4.6152179460000013</v>
      </c>
      <c r="Q6" s="4">
        <v>1375.898158152</v>
      </c>
      <c r="R6" s="4">
        <v>129.933133849</v>
      </c>
      <c r="S6" s="4">
        <v>45.646514306</v>
      </c>
      <c r="T6" s="4">
        <v>2.6884355750000002</v>
      </c>
      <c r="U6" s="4">
        <v>9.7387900700000003</v>
      </c>
      <c r="V6" s="4">
        <v>4.3260447189999995</v>
      </c>
      <c r="W6" s="4">
        <v>4.7613210230000007</v>
      </c>
      <c r="X6" s="4">
        <v>0</v>
      </c>
      <c r="Y6" s="4">
        <v>0</v>
      </c>
      <c r="Z6" s="4">
        <v>0</v>
      </c>
      <c r="AA6" s="4">
        <v>15.242214612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32.622941589999996</v>
      </c>
      <c r="AK6" s="4">
        <v>70.310624149999995</v>
      </c>
      <c r="AL6" s="4">
        <v>65.295625376999993</v>
      </c>
      <c r="AM6" s="4">
        <v>34.882082630999996</v>
      </c>
      <c r="AN6" s="4">
        <v>21.548839763</v>
      </c>
      <c r="AO6" s="4">
        <v>46.125512999999998</v>
      </c>
      <c r="AP6" s="4">
        <v>33.619054990000002</v>
      </c>
      <c r="AQ6" s="4">
        <v>147.26367874499999</v>
      </c>
      <c r="AR6" s="4">
        <v>62.774556182999994</v>
      </c>
      <c r="AS6" s="4">
        <v>43.814490449000004</v>
      </c>
      <c r="AT6" s="4">
        <v>27.523093308</v>
      </c>
      <c r="AU6" s="4">
        <v>20.543167839000002</v>
      </c>
      <c r="AV6" s="4">
        <v>42.585670999999998</v>
      </c>
      <c r="AW6" s="4">
        <v>9.6365130000000008</v>
      </c>
      <c r="AX6" s="4">
        <v>26.644241999999998</v>
      </c>
      <c r="AZ6" s="22">
        <v>7223.9799536459996</v>
      </c>
      <c r="BA6" s="22">
        <v>72239799536.459991</v>
      </c>
      <c r="BB6" s="22">
        <v>67645277832.93972</v>
      </c>
    </row>
    <row r="7" spans="1:54" ht="12" customHeight="1">
      <c r="C7" s="23">
        <v>2</v>
      </c>
      <c r="D7" s="2" t="s">
        <v>99</v>
      </c>
      <c r="E7" s="24">
        <v>93.678168051670809</v>
      </c>
      <c r="F7" s="24">
        <v>137.8369218260076</v>
      </c>
      <c r="G7" s="24">
        <v>237.85232117010432</v>
      </c>
      <c r="H7" s="24">
        <v>125.1521157603589</v>
      </c>
      <c r="I7" s="24">
        <v>94.435983047722004</v>
      </c>
      <c r="J7" s="24">
        <v>79.616481197709078</v>
      </c>
      <c r="K7" s="24">
        <v>405.13876204500002</v>
      </c>
      <c r="L7" s="24">
        <v>62.109575004999996</v>
      </c>
      <c r="M7" s="24">
        <v>7.8981320389524896</v>
      </c>
      <c r="N7" s="25">
        <v>7416.0332303209998</v>
      </c>
      <c r="O7" s="24">
        <v>11.05965487044363</v>
      </c>
      <c r="P7" s="24">
        <v>17.07903970564811</v>
      </c>
      <c r="Q7" s="24">
        <v>1654.501904216</v>
      </c>
      <c r="R7" s="24">
        <v>107.92332488999998</v>
      </c>
      <c r="S7" s="24">
        <v>17.027060890364559</v>
      </c>
      <c r="T7" s="24">
        <v>2.1134093299999992</v>
      </c>
      <c r="U7" s="24">
        <v>6.4849511950000007</v>
      </c>
      <c r="V7" s="24">
        <v>3.6719018090000004</v>
      </c>
      <c r="W7" s="24">
        <v>3.2524199479999982</v>
      </c>
      <c r="X7" s="24">
        <v>0</v>
      </c>
      <c r="Y7" s="24">
        <v>0</v>
      </c>
      <c r="Z7" s="24">
        <v>0</v>
      </c>
      <c r="AA7" s="24">
        <v>3.8381994409999987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6.4971836960000076</v>
      </c>
      <c r="AK7" s="24">
        <v>19.630671951000011</v>
      </c>
      <c r="AL7" s="24">
        <v>17.023577324000001</v>
      </c>
      <c r="AM7" s="24">
        <v>1.0600147008852261</v>
      </c>
      <c r="AN7" s="24">
        <v>5.545607154999999</v>
      </c>
      <c r="AO7" s="24">
        <v>32.964993554999992</v>
      </c>
      <c r="AP7" s="24">
        <v>0.99147710076570661</v>
      </c>
      <c r="AQ7" s="24">
        <v>55.312818614789904</v>
      </c>
      <c r="AR7" s="24">
        <v>6.4751790881939471</v>
      </c>
      <c r="AS7" s="24">
        <v>7.3552164619999942</v>
      </c>
      <c r="AT7" s="24">
        <v>4.531148506000001</v>
      </c>
      <c r="AU7" s="24">
        <v>3.5294935949999982</v>
      </c>
      <c r="AV7" s="24">
        <v>382.13640968800001</v>
      </c>
      <c r="AW7" s="24">
        <v>299.43250166900003</v>
      </c>
      <c r="AX7" s="24">
        <v>248.10042717299999</v>
      </c>
      <c r="AZ7" s="22">
        <v>11577.290277037615</v>
      </c>
      <c r="BB7" s="17">
        <v>0</v>
      </c>
    </row>
    <row r="8" spans="1:54" ht="12.75">
      <c r="C8" s="3"/>
      <c r="D8" s="2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7"/>
      <c r="S8" s="27"/>
      <c r="T8" s="27"/>
      <c r="U8" s="27"/>
      <c r="V8" s="27"/>
      <c r="W8" s="27"/>
      <c r="AB8" s="27"/>
      <c r="AC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</row>
    <row r="9" spans="1:54" ht="12.75">
      <c r="C9" s="3">
        <v>3.1</v>
      </c>
      <c r="D9" s="2" t="s">
        <v>100</v>
      </c>
      <c r="E9" s="25">
        <v>219.10498556290278</v>
      </c>
      <c r="F9" s="25">
        <v>96.668134838702571</v>
      </c>
      <c r="G9" s="25">
        <v>354.41450202867532</v>
      </c>
      <c r="H9" s="25">
        <v>237.093679358608</v>
      </c>
      <c r="I9" s="25">
        <v>96.455741119758017</v>
      </c>
      <c r="J9" s="25">
        <v>117.14803310895209</v>
      </c>
      <c r="K9" s="25">
        <v>511.93857901099994</v>
      </c>
      <c r="L9" s="25">
        <v>115.902545188</v>
      </c>
      <c r="M9" s="25">
        <v>19.873975529191522</v>
      </c>
      <c r="N9" s="25">
        <v>11013.359199765</v>
      </c>
      <c r="O9" s="25">
        <v>15.576363864512619</v>
      </c>
      <c r="P9" s="25">
        <v>20.826305948417101</v>
      </c>
      <c r="Q9" s="25">
        <v>2668.9366908100001</v>
      </c>
      <c r="R9" s="25">
        <v>456.32792351800003</v>
      </c>
      <c r="S9" s="25">
        <v>63.563907652908576</v>
      </c>
      <c r="T9" s="25">
        <v>5.1479735130000002</v>
      </c>
      <c r="U9" s="25">
        <v>18.273094943</v>
      </c>
      <c r="V9" s="25">
        <v>9.8966714480000011</v>
      </c>
      <c r="W9" s="25">
        <v>8.7629901180000012</v>
      </c>
      <c r="X9" s="19">
        <v>0</v>
      </c>
      <c r="Y9" s="19">
        <v>0</v>
      </c>
      <c r="Z9" s="19">
        <v>0</v>
      </c>
      <c r="AA9" s="19">
        <v>18.783598262000002</v>
      </c>
      <c r="AB9" s="25">
        <v>0</v>
      </c>
      <c r="AC9" s="19">
        <v>40.887062460000003</v>
      </c>
      <c r="AD9" s="19">
        <v>23.952183053999999</v>
      </c>
      <c r="AE9" s="19">
        <v>11.746312156999998</v>
      </c>
      <c r="AF9" s="19">
        <v>68.255304303999992</v>
      </c>
      <c r="AG9" s="19">
        <v>99.884813823000002</v>
      </c>
      <c r="AH9" s="19">
        <v>44.902490686</v>
      </c>
      <c r="AI9" s="19">
        <v>60.530970094744468</v>
      </c>
      <c r="AJ9" s="18">
        <v>38.242179317999998</v>
      </c>
      <c r="AK9" s="18">
        <v>87.096619129999993</v>
      </c>
      <c r="AL9" s="18">
        <v>79.697920710000005</v>
      </c>
      <c r="AM9" s="18">
        <v>36.333611214693185</v>
      </c>
      <c r="AN9" s="18">
        <v>26.215137511000002</v>
      </c>
      <c r="AO9" s="18">
        <v>77.844155499999999</v>
      </c>
      <c r="AP9" s="18">
        <v>34.786835378334771</v>
      </c>
      <c r="AQ9" s="18">
        <v>138.2339889642509</v>
      </c>
      <c r="AR9" s="18">
        <v>69.058472489346087</v>
      </c>
      <c r="AS9" s="18">
        <v>49.452680272999999</v>
      </c>
      <c r="AT9" s="18">
        <v>31.070417238999998</v>
      </c>
      <c r="AU9" s="18">
        <v>23.361981599</v>
      </c>
      <c r="AV9" s="18">
        <v>395.49891666599996</v>
      </c>
      <c r="AW9" s="18">
        <v>290.052640048</v>
      </c>
      <c r="AX9" s="18">
        <v>254.49571773699998</v>
      </c>
    </row>
    <row r="10" spans="1:54" s="21" customFormat="1" ht="12.75" customHeight="1">
      <c r="A10" s="20"/>
      <c r="B10" s="20"/>
      <c r="C10" s="3">
        <v>3.2</v>
      </c>
      <c r="D10" s="2" t="s">
        <v>101</v>
      </c>
      <c r="E10" s="4">
        <v>237.0774634876708</v>
      </c>
      <c r="F10" s="4">
        <v>224.74973728000759</v>
      </c>
      <c r="G10" s="4">
        <v>329.04341169710432</v>
      </c>
      <c r="H10" s="4">
        <v>214.3578412703589</v>
      </c>
      <c r="I10" s="4">
        <v>123.79249697672201</v>
      </c>
      <c r="J10" s="4">
        <v>112.51108274270909</v>
      </c>
      <c r="K10" s="4">
        <v>531.01172403800001</v>
      </c>
      <c r="L10" s="4">
        <v>88.513447800999998</v>
      </c>
      <c r="M10" s="4">
        <v>19.15427043295249</v>
      </c>
      <c r="N10" s="4">
        <v>11722.107778181</v>
      </c>
      <c r="O10" s="4">
        <v>14.43212079544363</v>
      </c>
      <c r="P10" s="4">
        <v>21.694257651648112</v>
      </c>
      <c r="Q10" s="4">
        <v>3030.4000623679999</v>
      </c>
      <c r="R10" s="4">
        <v>237.85645873899998</v>
      </c>
      <c r="S10" s="4">
        <v>62.67357519636456</v>
      </c>
      <c r="T10" s="4">
        <v>4.8018449049999994</v>
      </c>
      <c r="U10" s="4">
        <v>16.223741265000001</v>
      </c>
      <c r="V10" s="4">
        <v>7.9979465279999999</v>
      </c>
      <c r="W10" s="4">
        <v>8.0137409709999989</v>
      </c>
      <c r="X10" s="4">
        <v>0</v>
      </c>
      <c r="Y10" s="4">
        <v>0</v>
      </c>
      <c r="Z10" s="4">
        <v>0</v>
      </c>
      <c r="AA10" s="4">
        <v>19.080414052999998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39.120125286000004</v>
      </c>
      <c r="AK10" s="4">
        <v>89.941296101000006</v>
      </c>
      <c r="AL10" s="4">
        <v>82.319202700999995</v>
      </c>
      <c r="AM10" s="4">
        <v>35.942097331885222</v>
      </c>
      <c r="AN10" s="4">
        <v>27.094446917999999</v>
      </c>
      <c r="AO10" s="4">
        <v>79.09050655499999</v>
      </c>
      <c r="AP10" s="4">
        <v>34.610532090765709</v>
      </c>
      <c r="AQ10" s="4">
        <v>202.5764973597899</v>
      </c>
      <c r="AR10" s="4">
        <v>69.249735271193941</v>
      </c>
      <c r="AS10" s="4">
        <v>51.169706910999999</v>
      </c>
      <c r="AT10" s="4">
        <v>32.054241814000001</v>
      </c>
      <c r="AU10" s="4">
        <v>24.072661434</v>
      </c>
      <c r="AV10" s="4">
        <v>424.72208068800001</v>
      </c>
      <c r="AW10" s="4">
        <v>309.06901466900001</v>
      </c>
      <c r="AX10" s="4">
        <v>274.74466917299998</v>
      </c>
      <c r="AZ10" s="22">
        <v>18801.270230683614</v>
      </c>
      <c r="BA10" s="22">
        <v>188012702306.83615</v>
      </c>
      <c r="BB10" s="22">
        <v>0</v>
      </c>
    </row>
    <row r="11" spans="1:54" ht="12.75" customHeight="1">
      <c r="C11" s="3"/>
      <c r="D11" s="3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AB11" s="26"/>
      <c r="AC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</row>
    <row r="12" spans="1:54" ht="12.75" customHeight="1">
      <c r="C12" s="3">
        <v>4.0999999999999996</v>
      </c>
      <c r="D12" s="3" t="s">
        <v>102</v>
      </c>
      <c r="E12" s="28"/>
      <c r="F12" s="29"/>
      <c r="G12" s="29"/>
      <c r="H12" s="29"/>
      <c r="I12" s="29"/>
      <c r="J12" s="30"/>
      <c r="K12" s="29"/>
      <c r="L12" s="30"/>
      <c r="M12" s="28"/>
      <c r="N12" s="29"/>
      <c r="O12" s="29"/>
      <c r="P12" s="29"/>
      <c r="Q12" s="29"/>
      <c r="R12" s="29"/>
      <c r="S12" s="29"/>
      <c r="T12" s="29"/>
      <c r="U12" s="29"/>
      <c r="V12" s="29"/>
      <c r="W12" s="29"/>
      <c r="AB12" s="29"/>
      <c r="AC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</row>
    <row r="13" spans="1:54" ht="12.75" customHeight="1">
      <c r="C13" s="31" t="s">
        <v>103</v>
      </c>
      <c r="D13" s="32" t="s">
        <v>104</v>
      </c>
      <c r="E13" s="33">
        <v>15.510400000000001</v>
      </c>
      <c r="F13" s="33">
        <v>14.9673</v>
      </c>
      <c r="G13" s="33">
        <v>13.8584</v>
      </c>
      <c r="H13" s="33">
        <v>16.270099999999999</v>
      </c>
      <c r="I13" s="33">
        <v>16.426200000000001</v>
      </c>
      <c r="J13" s="33">
        <v>0</v>
      </c>
      <c r="K13" s="33">
        <v>10.511799999999999</v>
      </c>
      <c r="L13" s="33">
        <v>10.792999999999999</v>
      </c>
      <c r="M13" s="33">
        <v>0</v>
      </c>
      <c r="N13" s="33">
        <v>1098</v>
      </c>
      <c r="O13" s="33">
        <v>18.896699999999999</v>
      </c>
      <c r="P13" s="33">
        <v>18.6922</v>
      </c>
      <c r="Q13" s="33">
        <v>10.161099999999999</v>
      </c>
      <c r="R13" s="33">
        <v>10.1</v>
      </c>
      <c r="S13" s="33">
        <v>12.8017</v>
      </c>
      <c r="T13" s="33">
        <v>10.0741</v>
      </c>
      <c r="U13" s="33">
        <v>10.0427</v>
      </c>
      <c r="V13" s="33">
        <v>10.5869</v>
      </c>
      <c r="W13" s="33">
        <v>10.0707</v>
      </c>
      <c r="X13" s="33">
        <v>0</v>
      </c>
      <c r="Y13" s="33">
        <v>0</v>
      </c>
      <c r="Z13" s="33">
        <v>0</v>
      </c>
      <c r="AA13" s="33">
        <v>10.231299999999999</v>
      </c>
      <c r="AB13" s="33">
        <v>0</v>
      </c>
      <c r="AC13" s="33">
        <v>12.250400000000001</v>
      </c>
      <c r="AD13" s="33">
        <v>0</v>
      </c>
      <c r="AE13" s="33">
        <v>0</v>
      </c>
      <c r="AF13" s="33">
        <v>0</v>
      </c>
      <c r="AG13" s="33">
        <v>11.471399999999999</v>
      </c>
      <c r="AH13" s="33">
        <v>11.9796</v>
      </c>
      <c r="AI13" s="33">
        <v>10.951599999999999</v>
      </c>
      <c r="AJ13" s="33">
        <v>11.704700000000001</v>
      </c>
      <c r="AK13" s="33">
        <v>12.2744</v>
      </c>
      <c r="AL13" s="33">
        <v>12.120900000000001</v>
      </c>
      <c r="AM13" s="33">
        <v>10.379899999999999</v>
      </c>
      <c r="AN13" s="33">
        <v>12.068199999999999</v>
      </c>
      <c r="AO13" s="33">
        <v>0</v>
      </c>
      <c r="AP13" s="33">
        <v>10.3452</v>
      </c>
      <c r="AQ13" s="33">
        <v>12.661</v>
      </c>
      <c r="AR13" s="33">
        <v>11.048500000000001</v>
      </c>
      <c r="AS13" s="33">
        <v>11.214</v>
      </c>
      <c r="AT13" s="33">
        <v>11.231999999999999</v>
      </c>
      <c r="AU13" s="33">
        <v>11.313800000000001</v>
      </c>
      <c r="AV13" s="33">
        <v>0</v>
      </c>
      <c r="AW13" s="33">
        <v>0</v>
      </c>
      <c r="AX13" s="33">
        <v>0</v>
      </c>
    </row>
    <row r="14" spans="1:54" ht="12.75" customHeight="1">
      <c r="C14" s="31" t="s">
        <v>105</v>
      </c>
      <c r="D14" s="32" t="s">
        <v>106</v>
      </c>
      <c r="E14" s="33">
        <v>0</v>
      </c>
      <c r="F14" s="33">
        <v>91.570400000000006</v>
      </c>
      <c r="G14" s="33">
        <v>42.3446</v>
      </c>
      <c r="H14" s="33">
        <v>22.1372</v>
      </c>
      <c r="I14" s="33">
        <v>54.353200000000001</v>
      </c>
      <c r="J14" s="33">
        <v>49.484200000000001</v>
      </c>
      <c r="K14" s="33">
        <v>44.540199999999999</v>
      </c>
      <c r="L14" s="33">
        <v>35.915199999999999</v>
      </c>
      <c r="M14" s="33">
        <v>16.860099999999999</v>
      </c>
      <c r="N14" s="33">
        <v>2938.4146999999998</v>
      </c>
      <c r="O14" s="33">
        <v>55.128900000000002</v>
      </c>
      <c r="P14" s="33">
        <v>50.674500000000002</v>
      </c>
      <c r="Q14" s="33">
        <v>24.914300000000001</v>
      </c>
      <c r="R14" s="33">
        <v>20.528099999999998</v>
      </c>
      <c r="S14" s="33">
        <v>12.801</v>
      </c>
      <c r="T14" s="33">
        <v>19.9513</v>
      </c>
      <c r="U14" s="33">
        <v>19.726600000000001</v>
      </c>
      <c r="V14" s="33">
        <v>19.631799999999998</v>
      </c>
      <c r="W14" s="33">
        <v>19.6401</v>
      </c>
      <c r="X14" s="33">
        <v>0</v>
      </c>
      <c r="Y14" s="33">
        <v>0</v>
      </c>
      <c r="Z14" s="33">
        <v>0</v>
      </c>
      <c r="AA14" s="33">
        <v>12.8276</v>
      </c>
      <c r="AB14" s="33">
        <v>0</v>
      </c>
      <c r="AC14" s="33">
        <v>12.250400000000001</v>
      </c>
      <c r="AD14" s="33">
        <v>12.567500000000001</v>
      </c>
      <c r="AE14" s="33">
        <v>12.5786</v>
      </c>
      <c r="AF14" s="33">
        <v>12.4015</v>
      </c>
      <c r="AG14" s="33">
        <v>12.481999999999999</v>
      </c>
      <c r="AH14" s="33">
        <v>11.9796</v>
      </c>
      <c r="AI14" s="33">
        <v>10.951499999999999</v>
      </c>
      <c r="AJ14" s="33">
        <v>11.704700000000001</v>
      </c>
      <c r="AK14" s="33">
        <v>12.2744</v>
      </c>
      <c r="AL14" s="33">
        <v>12.1206</v>
      </c>
      <c r="AM14" s="33">
        <v>10.379799999999999</v>
      </c>
      <c r="AN14" s="33">
        <v>12.068199999999999</v>
      </c>
      <c r="AO14" s="33">
        <v>16.6599</v>
      </c>
      <c r="AP14" s="33">
        <v>10.3451</v>
      </c>
      <c r="AQ14" s="33">
        <v>12.6608</v>
      </c>
      <c r="AR14" s="33">
        <v>11.048999999999999</v>
      </c>
      <c r="AS14" s="33">
        <v>11.214</v>
      </c>
      <c r="AT14" s="33">
        <v>11.231999999999999</v>
      </c>
      <c r="AU14" s="33">
        <v>11.313800000000001</v>
      </c>
      <c r="AV14" s="33">
        <v>92.7624</v>
      </c>
      <c r="AW14" s="33">
        <v>300.99340000000001</v>
      </c>
      <c r="AX14" s="33">
        <v>95.516199999999998</v>
      </c>
    </row>
    <row r="15" spans="1:54" ht="12.75" customHeight="1">
      <c r="C15" s="31" t="s">
        <v>107</v>
      </c>
      <c r="D15" s="32" t="s">
        <v>108</v>
      </c>
      <c r="E15" s="33">
        <v>15.889900000000001</v>
      </c>
      <c r="F15" s="33">
        <v>15.4062</v>
      </c>
      <c r="G15" s="33">
        <v>16.7285</v>
      </c>
      <c r="H15" s="33">
        <v>18.0258</v>
      </c>
      <c r="I15" s="33">
        <v>17.023</v>
      </c>
      <c r="J15" s="33">
        <v>0</v>
      </c>
      <c r="K15" s="33">
        <v>10.9976</v>
      </c>
      <c r="L15" s="33">
        <v>11.2102</v>
      </c>
      <c r="M15" s="33">
        <v>0</v>
      </c>
      <c r="N15" s="33">
        <v>1098</v>
      </c>
      <c r="O15" s="33">
        <v>18.928699999999999</v>
      </c>
      <c r="P15" s="33">
        <v>19.071000000000002</v>
      </c>
      <c r="Q15" s="33">
        <v>10.1</v>
      </c>
      <c r="R15" s="33">
        <v>10.276400000000001</v>
      </c>
      <c r="S15" s="33">
        <v>13.2155</v>
      </c>
      <c r="T15" s="33">
        <v>10.0756</v>
      </c>
      <c r="U15" s="33">
        <v>10.044</v>
      </c>
      <c r="V15" s="33">
        <v>10.5265</v>
      </c>
      <c r="W15" s="33">
        <v>10.073499999999999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12.4292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11.0501</v>
      </c>
      <c r="AJ15" s="33">
        <v>11.7624</v>
      </c>
      <c r="AK15" s="33">
        <v>0</v>
      </c>
      <c r="AL15" s="33">
        <v>12.2385</v>
      </c>
      <c r="AM15" s="33">
        <v>10.5008</v>
      </c>
      <c r="AN15" s="33">
        <v>0</v>
      </c>
      <c r="AO15" s="33">
        <v>0</v>
      </c>
      <c r="AP15" s="33">
        <v>10.352499999999999</v>
      </c>
      <c r="AQ15" s="33">
        <v>12.886900000000001</v>
      </c>
      <c r="AR15" s="33">
        <v>11.178699999999999</v>
      </c>
      <c r="AS15" s="33">
        <v>11.441700000000001</v>
      </c>
      <c r="AT15" s="33">
        <v>11.4184</v>
      </c>
      <c r="AU15" s="33">
        <v>11.4817</v>
      </c>
      <c r="AV15" s="33">
        <v>0</v>
      </c>
      <c r="AW15" s="33">
        <v>0</v>
      </c>
      <c r="AX15" s="33">
        <v>0</v>
      </c>
    </row>
    <row r="16" spans="1:54" ht="12.75" customHeight="1">
      <c r="C16" s="31" t="s">
        <v>109</v>
      </c>
      <c r="D16" s="2" t="s">
        <v>110</v>
      </c>
      <c r="E16" s="33">
        <v>0</v>
      </c>
      <c r="F16" s="33">
        <v>94.329599999999999</v>
      </c>
      <c r="G16" s="33">
        <v>43.373100000000001</v>
      </c>
      <c r="H16" s="33">
        <v>22.8644</v>
      </c>
      <c r="I16" s="33">
        <v>56.275500000000001</v>
      </c>
      <c r="J16" s="33">
        <v>50.922400000000003</v>
      </c>
      <c r="K16" s="33">
        <v>45.526200000000003</v>
      </c>
      <c r="L16" s="33">
        <v>37.1569</v>
      </c>
      <c r="M16" s="33">
        <v>17.5428</v>
      </c>
      <c r="N16" s="33">
        <v>2949.0255000000002</v>
      </c>
      <c r="O16" s="33">
        <v>56.367600000000003</v>
      </c>
      <c r="P16" s="33">
        <v>51.762300000000003</v>
      </c>
      <c r="Q16" s="33">
        <v>25.750900000000001</v>
      </c>
      <c r="R16" s="33">
        <v>21.154</v>
      </c>
      <c r="S16" s="33">
        <v>13.2874</v>
      </c>
      <c r="T16" s="33">
        <v>20.03</v>
      </c>
      <c r="U16" s="33">
        <v>19.8093</v>
      </c>
      <c r="V16" s="33">
        <v>19.778400000000001</v>
      </c>
      <c r="W16" s="33">
        <v>19.763400000000001</v>
      </c>
      <c r="X16" s="33">
        <v>0</v>
      </c>
      <c r="Y16" s="33">
        <v>0</v>
      </c>
      <c r="Z16" s="33">
        <v>0</v>
      </c>
      <c r="AA16" s="33">
        <v>13.0343</v>
      </c>
      <c r="AB16" s="33">
        <v>0</v>
      </c>
      <c r="AC16" s="33">
        <v>12.4291</v>
      </c>
      <c r="AD16" s="33">
        <v>12.6815</v>
      </c>
      <c r="AE16" s="33">
        <v>12.6036</v>
      </c>
      <c r="AF16" s="33">
        <v>12.5745</v>
      </c>
      <c r="AG16" s="33">
        <v>12.5061</v>
      </c>
      <c r="AH16" s="33">
        <v>12.061</v>
      </c>
      <c r="AI16" s="33">
        <v>11.0501</v>
      </c>
      <c r="AJ16" s="33">
        <v>11.7621</v>
      </c>
      <c r="AK16" s="33">
        <v>12.4099</v>
      </c>
      <c r="AL16" s="33">
        <v>12.2385</v>
      </c>
      <c r="AM16" s="33">
        <v>10.5008</v>
      </c>
      <c r="AN16" s="33">
        <v>12.239699999999999</v>
      </c>
      <c r="AO16" s="33">
        <v>0</v>
      </c>
      <c r="AP16" s="33">
        <v>10.3528</v>
      </c>
      <c r="AQ16" s="33">
        <v>12.893000000000001</v>
      </c>
      <c r="AR16" s="33">
        <v>11.186400000000001</v>
      </c>
      <c r="AS16" s="33">
        <v>11.441700000000001</v>
      </c>
      <c r="AT16" s="33">
        <v>11.4184</v>
      </c>
      <c r="AU16" s="33">
        <v>11.4817</v>
      </c>
      <c r="AV16" s="33">
        <v>0</v>
      </c>
      <c r="AW16" s="33">
        <v>0</v>
      </c>
      <c r="AX16" s="33">
        <v>0</v>
      </c>
    </row>
    <row r="17" spans="3:53" ht="12.75">
      <c r="C17" s="31" t="s">
        <v>111</v>
      </c>
      <c r="D17" s="2" t="s">
        <v>112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10.5884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10.180400000000001</v>
      </c>
      <c r="R17" s="33">
        <v>10.118399999999999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</row>
    <row r="18" spans="3:53" ht="12.75">
      <c r="C18" s="31" t="s">
        <v>113</v>
      </c>
      <c r="D18" s="2" t="s">
        <v>114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10.726100000000001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</row>
    <row r="19" spans="3:53" ht="12.75">
      <c r="C19" s="31" t="s">
        <v>115</v>
      </c>
      <c r="D19" s="2" t="s">
        <v>116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11.9152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</row>
    <row r="20" spans="3:53" ht="12.75">
      <c r="C20" s="31" t="s">
        <v>117</v>
      </c>
      <c r="D20" s="2" t="s">
        <v>118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10.6312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13.480600000000001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</row>
    <row r="21" spans="3:53" ht="12.75">
      <c r="C21" s="31" t="s">
        <v>119</v>
      </c>
      <c r="D21" s="2" t="s">
        <v>120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11.1027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</row>
    <row r="22" spans="3:53" ht="12.75">
      <c r="C22" s="31" t="s">
        <v>121</v>
      </c>
      <c r="D22" s="2" t="s">
        <v>122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12.2324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</row>
    <row r="23" spans="3:53" ht="12.75">
      <c r="C23" s="31" t="s">
        <v>123</v>
      </c>
      <c r="D23" s="2" t="s">
        <v>124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13.433199999999999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</row>
    <row r="24" spans="3:53" ht="12.75">
      <c r="C24" s="31" t="s">
        <v>125</v>
      </c>
      <c r="D24" s="2" t="s">
        <v>126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20.7592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</row>
    <row r="25" spans="3:53" ht="12.75">
      <c r="C25" s="31" t="s">
        <v>127</v>
      </c>
      <c r="D25" s="2" t="s">
        <v>128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10.1114</v>
      </c>
      <c r="R25" s="33">
        <v>10.1135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</row>
    <row r="26" spans="3:53" ht="12.75">
      <c r="C26" s="31" t="s">
        <v>129</v>
      </c>
      <c r="D26" s="2" t="s">
        <v>130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10.5702</v>
      </c>
      <c r="R26" s="33">
        <v>10.1142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</row>
    <row r="27" spans="3:53" ht="12.75">
      <c r="C27" s="3"/>
      <c r="D27" s="3"/>
      <c r="E27" s="4"/>
      <c r="F27" s="4"/>
      <c r="G27" s="4"/>
      <c r="H27" s="4"/>
      <c r="I27" s="4"/>
      <c r="J27" s="4"/>
      <c r="K27" s="4"/>
      <c r="L27" s="4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AB27" s="2"/>
      <c r="AC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3:53" ht="12.75">
      <c r="C28" s="3"/>
      <c r="D28" s="3"/>
      <c r="E28" s="4"/>
      <c r="F28" s="4"/>
      <c r="G28" s="4"/>
      <c r="H28" s="4"/>
      <c r="I28" s="4"/>
      <c r="J28" s="4"/>
      <c r="K28" s="4"/>
      <c r="L28" s="4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AB28" s="2"/>
      <c r="AC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</row>
    <row r="29" spans="3:53" ht="12.75">
      <c r="C29" s="3">
        <v>4.2</v>
      </c>
      <c r="D29" s="3" t="s">
        <v>131</v>
      </c>
      <c r="E29" s="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AB29" s="2"/>
      <c r="AC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spans="3:53" ht="12.75">
      <c r="C30" s="31" t="s">
        <v>103</v>
      </c>
      <c r="D30" s="32" t="s">
        <v>104</v>
      </c>
      <c r="E30" s="33">
        <v>16.523199999999999</v>
      </c>
      <c r="F30" s="33">
        <v>14.3344</v>
      </c>
      <c r="G30" s="33">
        <v>13.611599999999999</v>
      </c>
      <c r="H30" s="33">
        <v>17.276599999999998</v>
      </c>
      <c r="I30" s="33">
        <v>17.209199999999999</v>
      </c>
      <c r="J30" s="33">
        <v>0</v>
      </c>
      <c r="K30" s="33">
        <v>10.468999999999999</v>
      </c>
      <c r="L30" s="33">
        <v>10.800599999999999</v>
      </c>
      <c r="M30" s="33">
        <v>0</v>
      </c>
      <c r="N30" s="33">
        <v>1098</v>
      </c>
      <c r="O30" s="33">
        <v>19.954799999999999</v>
      </c>
      <c r="P30" s="33">
        <v>19.9922</v>
      </c>
      <c r="Q30" s="33">
        <v>10.161099999999999</v>
      </c>
      <c r="R30" s="33">
        <v>10.127599999999999</v>
      </c>
      <c r="S30" s="33">
        <v>13.6235</v>
      </c>
      <c r="T30" s="33">
        <v>10.0642</v>
      </c>
      <c r="U30" s="33">
        <v>10.027200000000001</v>
      </c>
      <c r="V30" s="33">
        <v>10.391999999999999</v>
      </c>
      <c r="W30" s="33">
        <v>10.065099999999999</v>
      </c>
      <c r="X30" s="33">
        <v>0</v>
      </c>
      <c r="Y30" s="33">
        <v>0</v>
      </c>
      <c r="Z30" s="33">
        <v>0</v>
      </c>
      <c r="AA30" s="33">
        <v>10.3917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11.9716</v>
      </c>
      <c r="AK30" s="33">
        <v>12.650600000000001</v>
      </c>
      <c r="AL30" s="33">
        <v>12.499599999999999</v>
      </c>
      <c r="AM30" s="33">
        <v>10.2613</v>
      </c>
      <c r="AN30" s="33">
        <v>12.449199999999999</v>
      </c>
      <c r="AO30" s="33">
        <v>0</v>
      </c>
      <c r="AP30" s="33">
        <v>10.293100000000001</v>
      </c>
      <c r="AQ30" s="33">
        <v>13.214</v>
      </c>
      <c r="AR30" s="33">
        <v>11.003500000000001</v>
      </c>
      <c r="AS30" s="33">
        <v>11.580399999999999</v>
      </c>
      <c r="AT30" s="33">
        <v>11.5685</v>
      </c>
      <c r="AU30" s="33">
        <v>11.6364</v>
      </c>
      <c r="AV30" s="33">
        <v>0</v>
      </c>
      <c r="AW30" s="33">
        <v>0</v>
      </c>
      <c r="AX30" s="33">
        <v>0</v>
      </c>
      <c r="AZ30" s="34">
        <v>11224.922200000003</v>
      </c>
      <c r="BA30" s="17">
        <v>0</v>
      </c>
    </row>
    <row r="31" spans="3:53" ht="12.75">
      <c r="C31" s="31" t="s">
        <v>105</v>
      </c>
      <c r="D31" s="32" t="s">
        <v>106</v>
      </c>
      <c r="E31" s="33">
        <v>0</v>
      </c>
      <c r="F31" s="33">
        <v>91.341300000000004</v>
      </c>
      <c r="G31" s="33">
        <v>41.590499999999999</v>
      </c>
      <c r="H31" s="33">
        <v>24.021999999999998</v>
      </c>
      <c r="I31" s="33">
        <v>58.623100000000001</v>
      </c>
      <c r="J31" s="33">
        <v>50.503</v>
      </c>
      <c r="K31" s="33">
        <v>46.063499999999998</v>
      </c>
      <c r="L31" s="33">
        <v>36.937600000000003</v>
      </c>
      <c r="M31" s="33">
        <v>16.960899999999999</v>
      </c>
      <c r="N31" s="33">
        <v>3034.2006999999999</v>
      </c>
      <c r="O31" s="33">
        <v>58.217199999999998</v>
      </c>
      <c r="P31" s="33">
        <v>54.198799999999999</v>
      </c>
      <c r="Q31" s="33">
        <v>25.7317</v>
      </c>
      <c r="R31" s="33">
        <v>21.196100000000001</v>
      </c>
      <c r="S31" s="33">
        <v>13.6227</v>
      </c>
      <c r="T31" s="33">
        <v>20.497900000000001</v>
      </c>
      <c r="U31" s="33">
        <v>20.2713</v>
      </c>
      <c r="V31" s="33">
        <v>20.180099999999999</v>
      </c>
      <c r="W31" s="33">
        <v>20.179400000000001</v>
      </c>
      <c r="X31" s="33">
        <v>0</v>
      </c>
      <c r="Y31" s="33">
        <v>0</v>
      </c>
      <c r="Z31" s="33">
        <v>0</v>
      </c>
      <c r="AA31" s="33">
        <v>13.028600000000001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11.9716</v>
      </c>
      <c r="AK31" s="33">
        <v>12.650600000000001</v>
      </c>
      <c r="AL31" s="33">
        <v>12.499599999999999</v>
      </c>
      <c r="AM31" s="33">
        <v>10.261200000000001</v>
      </c>
      <c r="AN31" s="33">
        <v>12.449199999999999</v>
      </c>
      <c r="AO31" s="33">
        <v>17.143699999999999</v>
      </c>
      <c r="AP31" s="33">
        <v>10.292999999999999</v>
      </c>
      <c r="AQ31" s="33">
        <v>13.7149</v>
      </c>
      <c r="AR31" s="33">
        <v>11.0045</v>
      </c>
      <c r="AS31" s="33">
        <v>11.580399999999999</v>
      </c>
      <c r="AT31" s="33">
        <v>11.5684</v>
      </c>
      <c r="AU31" s="33">
        <v>11.6364</v>
      </c>
      <c r="AV31" s="33">
        <v>99.733800000000002</v>
      </c>
      <c r="AW31" s="33">
        <v>320.7278</v>
      </c>
      <c r="AX31" s="33">
        <v>103.11669999999999</v>
      </c>
    </row>
    <row r="32" spans="3:53" ht="12.75">
      <c r="C32" s="31" t="s">
        <v>107</v>
      </c>
      <c r="D32" s="32" t="s">
        <v>108</v>
      </c>
      <c r="E32" s="33">
        <v>17.041399999999999</v>
      </c>
      <c r="F32" s="33">
        <v>14.8591</v>
      </c>
      <c r="G32" s="33">
        <v>16.525200000000002</v>
      </c>
      <c r="H32" s="33">
        <v>19.303799999999999</v>
      </c>
      <c r="I32" s="33">
        <v>17.963699999999999</v>
      </c>
      <c r="J32" s="33">
        <v>0</v>
      </c>
      <c r="K32" s="33">
        <v>11.4009</v>
      </c>
      <c r="L32" s="33">
        <v>11.270099999999999</v>
      </c>
      <c r="M32" s="33">
        <v>0</v>
      </c>
      <c r="N32" s="33">
        <v>1098</v>
      </c>
      <c r="O32" s="33">
        <v>20.038900000000002</v>
      </c>
      <c r="P32" s="33">
        <v>20.453499999999998</v>
      </c>
      <c r="Q32" s="33">
        <v>10.1</v>
      </c>
      <c r="R32" s="33">
        <v>10.2475</v>
      </c>
      <c r="S32" s="33">
        <v>14.1495</v>
      </c>
      <c r="T32" s="33">
        <v>10.0657</v>
      </c>
      <c r="U32" s="33">
        <v>10.028</v>
      </c>
      <c r="V32" s="33">
        <v>0</v>
      </c>
      <c r="W32" s="33">
        <v>10.067500000000001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12.0336</v>
      </c>
      <c r="AK32" s="33">
        <v>0</v>
      </c>
      <c r="AL32" s="33">
        <v>12.645799999999999</v>
      </c>
      <c r="AM32" s="33">
        <v>10.4056</v>
      </c>
      <c r="AN32" s="33">
        <v>0</v>
      </c>
      <c r="AO32" s="33">
        <v>0</v>
      </c>
      <c r="AP32" s="33">
        <v>10.3019</v>
      </c>
      <c r="AQ32" s="33">
        <v>13.575799999999999</v>
      </c>
      <c r="AR32" s="33">
        <v>11.2281</v>
      </c>
      <c r="AS32" s="33">
        <v>11.8848</v>
      </c>
      <c r="AT32" s="33">
        <v>11.8209</v>
      </c>
      <c r="AU32" s="33">
        <v>11.869300000000001</v>
      </c>
      <c r="AV32" s="33">
        <v>0</v>
      </c>
      <c r="AW32" s="33">
        <v>0</v>
      </c>
      <c r="AX32" s="33">
        <v>0</v>
      </c>
    </row>
    <row r="33" spans="3:53" ht="12.75">
      <c r="C33" s="31" t="s">
        <v>109</v>
      </c>
      <c r="D33" s="32" t="s">
        <v>110</v>
      </c>
      <c r="E33" s="33">
        <v>0</v>
      </c>
      <c r="F33" s="33">
        <v>94.641400000000004</v>
      </c>
      <c r="G33" s="33">
        <v>42.848100000000002</v>
      </c>
      <c r="H33" s="33">
        <v>24.9664</v>
      </c>
      <c r="I33" s="33">
        <v>61.085700000000003</v>
      </c>
      <c r="J33" s="33">
        <v>52.190800000000003</v>
      </c>
      <c r="K33" s="33">
        <v>47.196599999999997</v>
      </c>
      <c r="L33" s="33">
        <v>38.360999999999997</v>
      </c>
      <c r="M33" s="33">
        <v>17.722999999999999</v>
      </c>
      <c r="N33" s="33">
        <v>3047.2959000000001</v>
      </c>
      <c r="O33" s="33">
        <v>59.693399999999997</v>
      </c>
      <c r="P33" s="33">
        <v>55.516399999999997</v>
      </c>
      <c r="Q33" s="33">
        <v>26.689</v>
      </c>
      <c r="R33" s="33">
        <v>21.9177</v>
      </c>
      <c r="S33" s="33">
        <v>14.231400000000001</v>
      </c>
      <c r="T33" s="33">
        <v>20.590900000000001</v>
      </c>
      <c r="U33" s="33">
        <v>20.3705</v>
      </c>
      <c r="V33" s="33">
        <v>20.340900000000001</v>
      </c>
      <c r="W33" s="33">
        <v>20.332599999999999</v>
      </c>
      <c r="X33" s="33">
        <v>0</v>
      </c>
      <c r="Y33" s="33">
        <v>0</v>
      </c>
      <c r="Z33" s="33">
        <v>0</v>
      </c>
      <c r="AA33" s="33">
        <v>13.2715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12.0334</v>
      </c>
      <c r="AK33" s="33">
        <v>12.8177</v>
      </c>
      <c r="AL33" s="33">
        <v>12.645799999999999</v>
      </c>
      <c r="AM33" s="33">
        <v>10.4057</v>
      </c>
      <c r="AN33" s="33">
        <v>12.6648</v>
      </c>
      <c r="AO33" s="33">
        <v>0</v>
      </c>
      <c r="AP33" s="33">
        <v>10.302199999999999</v>
      </c>
      <c r="AQ33" s="33">
        <v>14.084</v>
      </c>
      <c r="AR33" s="33">
        <v>11.2392</v>
      </c>
      <c r="AS33" s="33">
        <v>11.8848</v>
      </c>
      <c r="AT33" s="33">
        <v>11.8209</v>
      </c>
      <c r="AU33" s="33">
        <v>11.869300000000001</v>
      </c>
      <c r="AV33" s="33">
        <v>0</v>
      </c>
      <c r="AW33" s="33">
        <v>0</v>
      </c>
      <c r="AX33" s="33">
        <v>0</v>
      </c>
    </row>
    <row r="34" spans="3:53" ht="12.75">
      <c r="C34" s="31" t="s">
        <v>111</v>
      </c>
      <c r="D34" s="32" t="s">
        <v>112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10.5047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10.1203</v>
      </c>
      <c r="R34" s="33">
        <v>10.1006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</row>
    <row r="35" spans="3:53" ht="12.75">
      <c r="C35" s="31" t="s">
        <v>113</v>
      </c>
      <c r="D35" s="32" t="s">
        <v>114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10.6462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</row>
    <row r="36" spans="3:53" ht="12.75">
      <c r="C36" s="31" t="s">
        <v>115</v>
      </c>
      <c r="D36" s="32" t="s">
        <v>116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11.5512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</row>
    <row r="37" spans="3:53" ht="12.75">
      <c r="C37" s="31" t="s">
        <v>117</v>
      </c>
      <c r="D37" s="32" t="s">
        <v>118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10.5863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13.965999999999999</v>
      </c>
      <c r="R37" s="33">
        <v>10.2181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</row>
    <row r="38" spans="3:53" ht="12.75">
      <c r="C38" s="31" t="s">
        <v>119</v>
      </c>
      <c r="D38" s="32" t="s">
        <v>120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11.069800000000001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</row>
    <row r="39" spans="3:53" ht="12.75">
      <c r="C39" s="31" t="s">
        <v>121</v>
      </c>
      <c r="D39" s="32" t="s">
        <v>122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11.917400000000001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</row>
    <row r="40" spans="3:53" ht="12.75">
      <c r="C40" s="31" t="s">
        <v>123</v>
      </c>
      <c r="D40" s="32" t="s">
        <v>124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13.805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</row>
    <row r="41" spans="3:53" ht="12.75">
      <c r="C41" s="31" t="s">
        <v>125</v>
      </c>
      <c r="D41" s="32" t="s">
        <v>126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21.3337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</row>
    <row r="42" spans="3:53" ht="12.75">
      <c r="C42" s="31" t="s">
        <v>127</v>
      </c>
      <c r="D42" s="32" t="s">
        <v>128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10.139900000000001</v>
      </c>
      <c r="R42" s="33">
        <v>10.1059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</row>
    <row r="43" spans="3:53" ht="12.75">
      <c r="C43" s="31" t="s">
        <v>129</v>
      </c>
      <c r="D43" s="32" t="s">
        <v>130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10.5687</v>
      </c>
      <c r="R43" s="33">
        <v>10.106400000000001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</row>
    <row r="44" spans="3:53" ht="12.75">
      <c r="C44" s="2"/>
      <c r="D44" s="2"/>
      <c r="E44" s="4"/>
      <c r="F44" s="4"/>
      <c r="G44" s="4"/>
      <c r="H44" s="4"/>
      <c r="I44" s="4"/>
      <c r="J44" s="4"/>
      <c r="K44" s="4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AB44" s="2"/>
      <c r="AC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spans="3:53" ht="12.75">
      <c r="C45" s="2">
        <v>4.3</v>
      </c>
      <c r="D45" s="3" t="s">
        <v>132</v>
      </c>
      <c r="E45" s="35"/>
      <c r="F45" s="35"/>
      <c r="G45" s="35"/>
      <c r="H45" s="35"/>
      <c r="I45" s="35"/>
      <c r="J45" s="4"/>
      <c r="K45" s="4"/>
      <c r="L45" s="4"/>
      <c r="M45" s="35"/>
      <c r="O45" s="35"/>
      <c r="P45" s="35"/>
      <c r="Q45" s="4"/>
      <c r="R45" s="4"/>
      <c r="S45" s="35"/>
      <c r="T45" s="4"/>
      <c r="U45" s="4"/>
      <c r="V45" s="36"/>
      <c r="W45" s="4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</row>
    <row r="46" spans="3:53" ht="12.75">
      <c r="C46" s="2"/>
      <c r="D46" s="2"/>
      <c r="E46" s="4"/>
      <c r="F46" s="4"/>
      <c r="G46" s="4"/>
      <c r="H46" s="4"/>
      <c r="I46" s="4"/>
      <c r="J46" s="4"/>
      <c r="K46" s="4"/>
      <c r="L46" s="4"/>
      <c r="M46" s="4"/>
      <c r="O46" s="4"/>
      <c r="P46" s="4"/>
      <c r="Q46" s="4"/>
      <c r="R46" s="4"/>
      <c r="S46" s="4"/>
      <c r="T46" s="4"/>
      <c r="U46" s="4"/>
      <c r="V46" s="4"/>
      <c r="W46" s="4"/>
      <c r="AB46" s="4"/>
      <c r="AC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3:53" ht="12.75">
      <c r="C47" s="2"/>
      <c r="D47" s="3" t="s">
        <v>133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AB47" s="4"/>
      <c r="AC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3:53" ht="12.75">
      <c r="C48" s="2" t="s">
        <v>103</v>
      </c>
      <c r="D48" s="2" t="s">
        <v>134</v>
      </c>
      <c r="E48" s="37">
        <v>0</v>
      </c>
      <c r="F48" s="38">
        <v>0.6</v>
      </c>
      <c r="G48" s="37">
        <v>0</v>
      </c>
      <c r="H48" s="38">
        <v>0.375</v>
      </c>
      <c r="I48" s="38">
        <v>0.5</v>
      </c>
      <c r="J48" s="37">
        <v>0</v>
      </c>
      <c r="K48" s="38">
        <v>0.28890608000000001</v>
      </c>
      <c r="L48" s="38">
        <v>0.21667955999999999</v>
      </c>
      <c r="M48" s="37">
        <v>0</v>
      </c>
      <c r="N48" s="38">
        <v>25.441174220000001</v>
      </c>
      <c r="O48" s="37">
        <v>0</v>
      </c>
      <c r="P48" s="37">
        <v>0</v>
      </c>
      <c r="Q48" s="38">
        <v>0.23692370000000001</v>
      </c>
      <c r="R48" s="38">
        <v>0.21403589000000001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8">
        <v>0</v>
      </c>
      <c r="Y48" s="38">
        <v>0</v>
      </c>
      <c r="Z48" s="38">
        <v>0</v>
      </c>
      <c r="AA48" s="37">
        <v>0</v>
      </c>
      <c r="AB48" s="38">
        <v>0</v>
      </c>
      <c r="AC48" s="38">
        <v>1.7167775999999999</v>
      </c>
      <c r="AD48" s="37">
        <v>0</v>
      </c>
      <c r="AE48" s="37">
        <v>0</v>
      </c>
      <c r="AF48" s="37">
        <v>0</v>
      </c>
      <c r="AG48" s="38">
        <v>1.21744841</v>
      </c>
      <c r="AH48" s="38">
        <v>1.6465597199999999</v>
      </c>
      <c r="AI48" s="38">
        <v>0.89658358999999999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8">
        <v>0.5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Z48" s="34">
        <v>136.94281075999996</v>
      </c>
      <c r="BA48" s="39">
        <v>0</v>
      </c>
    </row>
    <row r="49" spans="3:50" ht="12.75">
      <c r="C49" s="2" t="s">
        <v>103</v>
      </c>
      <c r="D49" s="2" t="s">
        <v>135</v>
      </c>
      <c r="E49" s="37">
        <v>0</v>
      </c>
      <c r="F49" s="38">
        <v>0.6</v>
      </c>
      <c r="G49" s="37">
        <v>0</v>
      </c>
      <c r="H49" s="38">
        <v>0.375</v>
      </c>
      <c r="I49" s="38">
        <v>0.5</v>
      </c>
      <c r="J49" s="37">
        <v>0</v>
      </c>
      <c r="K49" s="38">
        <v>0.26766595999999998</v>
      </c>
      <c r="L49" s="38">
        <v>0.20074945999999999</v>
      </c>
      <c r="M49" s="37">
        <v>0</v>
      </c>
      <c r="N49" s="38">
        <v>23.570760949999997</v>
      </c>
      <c r="O49" s="37">
        <v>0</v>
      </c>
      <c r="P49" s="37">
        <v>0</v>
      </c>
      <c r="Q49" s="38">
        <v>0.21950527</v>
      </c>
      <c r="R49" s="38">
        <v>0.19830013999999999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8">
        <v>0</v>
      </c>
      <c r="Y49" s="38">
        <v>0</v>
      </c>
      <c r="Z49" s="38">
        <v>0</v>
      </c>
      <c r="AA49" s="37">
        <v>0</v>
      </c>
      <c r="AB49" s="38">
        <v>0</v>
      </c>
      <c r="AC49" s="38">
        <v>1.5905615900000001</v>
      </c>
      <c r="AD49" s="37">
        <v>0</v>
      </c>
      <c r="AE49" s="37">
        <v>0</v>
      </c>
      <c r="AF49" s="37">
        <v>0</v>
      </c>
      <c r="AG49" s="38">
        <v>1.12794265</v>
      </c>
      <c r="AH49" s="38">
        <v>1.52550607</v>
      </c>
      <c r="AI49" s="38">
        <v>0.89658358999999999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8">
        <v>0.5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</row>
    <row r="50" spans="3:50" ht="12.75">
      <c r="C50" s="2"/>
      <c r="D50" s="3" t="s">
        <v>128</v>
      </c>
      <c r="E50" s="36"/>
      <c r="F50" s="28"/>
      <c r="G50" s="36"/>
      <c r="H50" s="28"/>
      <c r="I50" s="28"/>
      <c r="J50" s="36"/>
      <c r="K50" s="28"/>
      <c r="L50" s="28"/>
      <c r="M50" s="36"/>
      <c r="N50" s="28"/>
      <c r="O50" s="36"/>
      <c r="P50" s="36"/>
      <c r="Q50" s="28"/>
      <c r="R50" s="28"/>
      <c r="S50" s="36"/>
      <c r="T50" s="36"/>
      <c r="U50" s="28"/>
      <c r="V50" s="36"/>
      <c r="W50" s="36"/>
      <c r="X50" s="28"/>
      <c r="Y50" s="28"/>
      <c r="Z50" s="28"/>
      <c r="AA50" s="36"/>
      <c r="AB50" s="28"/>
      <c r="AC50" s="28"/>
      <c r="AD50" s="36"/>
      <c r="AE50" s="36"/>
      <c r="AF50" s="36"/>
      <c r="AG50" s="28"/>
      <c r="AH50" s="28"/>
      <c r="AI50" s="28"/>
      <c r="AJ50" s="36"/>
      <c r="AK50" s="36"/>
      <c r="AL50" s="36"/>
      <c r="AM50" s="36"/>
      <c r="AN50" s="36"/>
      <c r="AO50" s="36"/>
      <c r="AP50" s="36"/>
      <c r="AQ50" s="28"/>
      <c r="AR50" s="36"/>
      <c r="AS50" s="36"/>
      <c r="AT50" s="36"/>
      <c r="AU50" s="36"/>
      <c r="AV50" s="36"/>
      <c r="AW50" s="36"/>
      <c r="AX50" s="36"/>
    </row>
    <row r="51" spans="3:50" ht="12.75">
      <c r="C51" s="2" t="s">
        <v>127</v>
      </c>
      <c r="D51" s="2" t="s">
        <v>134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8">
        <v>0.21514698000000002</v>
      </c>
      <c r="R51" s="38">
        <v>0.23927897000000001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8">
        <v>0</v>
      </c>
      <c r="Y51" s="38">
        <v>0</v>
      </c>
      <c r="Z51" s="38">
        <v>0</v>
      </c>
      <c r="AA51" s="37">
        <v>0</v>
      </c>
      <c r="AB51" s="38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</row>
    <row r="52" spans="3:50" ht="12.75">
      <c r="C52" s="2" t="s">
        <v>127</v>
      </c>
      <c r="D52" s="2" t="s">
        <v>135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8">
        <v>0.19932957000000001</v>
      </c>
      <c r="R52" s="38">
        <v>0.22168742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8">
        <v>0</v>
      </c>
      <c r="Y52" s="38">
        <v>0</v>
      </c>
      <c r="Z52" s="38">
        <v>0</v>
      </c>
      <c r="AA52" s="37">
        <v>0</v>
      </c>
      <c r="AB52" s="38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</row>
    <row r="53" spans="3:50" ht="12.75">
      <c r="C53" s="2"/>
      <c r="D53" s="3" t="s">
        <v>124</v>
      </c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28"/>
      <c r="R53" s="28"/>
      <c r="S53" s="36"/>
      <c r="T53" s="36"/>
      <c r="U53" s="36"/>
      <c r="V53" s="36"/>
      <c r="W53" s="36"/>
      <c r="X53" s="28"/>
      <c r="Y53" s="28"/>
      <c r="Z53" s="28"/>
      <c r="AA53" s="36"/>
      <c r="AB53" s="28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</row>
    <row r="54" spans="3:50" ht="12.75">
      <c r="C54" s="2" t="s">
        <v>123</v>
      </c>
      <c r="D54" s="2" t="s">
        <v>134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37">
        <v>0</v>
      </c>
      <c r="W54" s="37">
        <v>0</v>
      </c>
      <c r="X54" s="38">
        <v>0</v>
      </c>
      <c r="Y54" s="38">
        <v>0</v>
      </c>
      <c r="Z54" s="38">
        <v>0</v>
      </c>
      <c r="AA54" s="37">
        <v>0</v>
      </c>
      <c r="AB54" s="38">
        <v>0</v>
      </c>
      <c r="AC54" s="37">
        <v>0</v>
      </c>
      <c r="AD54" s="37">
        <v>0</v>
      </c>
      <c r="AE54" s="37">
        <v>0</v>
      </c>
      <c r="AF54" s="37">
        <v>0</v>
      </c>
      <c r="AG54" s="37">
        <v>0</v>
      </c>
      <c r="AH54" s="37">
        <v>0</v>
      </c>
      <c r="AI54" s="37">
        <v>0</v>
      </c>
      <c r="AJ54" s="37">
        <v>0</v>
      </c>
      <c r="AK54" s="37">
        <v>0</v>
      </c>
      <c r="AL54" s="37">
        <v>0</v>
      </c>
      <c r="AM54" s="37">
        <v>0</v>
      </c>
      <c r="AN54" s="37">
        <v>0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</row>
    <row r="55" spans="3:50" ht="12.75">
      <c r="C55" s="2" t="s">
        <v>123</v>
      </c>
      <c r="D55" s="2" t="s">
        <v>135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8">
        <v>0</v>
      </c>
      <c r="Y55" s="38">
        <v>0</v>
      </c>
      <c r="Z55" s="38">
        <v>0</v>
      </c>
      <c r="AA55" s="37">
        <v>0</v>
      </c>
      <c r="AB55" s="38">
        <v>0</v>
      </c>
      <c r="AC55" s="37">
        <v>0</v>
      </c>
      <c r="AD55" s="37">
        <v>0</v>
      </c>
      <c r="AE55" s="37">
        <v>0</v>
      </c>
      <c r="AF55" s="37">
        <v>0</v>
      </c>
      <c r="AG55" s="37">
        <v>0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</row>
    <row r="56" spans="3:50" ht="12.75">
      <c r="C56" s="2"/>
      <c r="D56" s="3" t="s">
        <v>112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28"/>
      <c r="R56" s="36"/>
      <c r="S56" s="36"/>
      <c r="T56" s="36"/>
      <c r="U56" s="36"/>
      <c r="V56" s="36"/>
      <c r="W56" s="36"/>
      <c r="X56" s="28"/>
      <c r="Y56" s="28"/>
      <c r="Z56" s="28"/>
      <c r="AA56" s="36"/>
      <c r="AB56" s="28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</row>
    <row r="57" spans="3:50" ht="12.75">
      <c r="C57" s="2" t="s">
        <v>111</v>
      </c>
      <c r="D57" s="2" t="s">
        <v>134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8">
        <v>0.21667956000000002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8">
        <v>0.28116030999999997</v>
      </c>
      <c r="R57" s="38">
        <v>0.24716962000000001</v>
      </c>
      <c r="S57" s="37">
        <v>0</v>
      </c>
      <c r="T57" s="37">
        <v>0</v>
      </c>
      <c r="U57" s="38">
        <v>0.20839067999999999</v>
      </c>
      <c r="V57" s="37">
        <v>0</v>
      </c>
      <c r="W57" s="37">
        <v>0</v>
      </c>
      <c r="X57" s="38">
        <v>0</v>
      </c>
      <c r="Y57" s="38">
        <v>0</v>
      </c>
      <c r="Z57" s="38">
        <v>0</v>
      </c>
      <c r="AA57" s="37">
        <v>0</v>
      </c>
      <c r="AB57" s="38">
        <v>0</v>
      </c>
      <c r="AC57" s="37">
        <v>0</v>
      </c>
      <c r="AD57" s="37">
        <v>0</v>
      </c>
      <c r="AE57" s="37">
        <v>0</v>
      </c>
      <c r="AF57" s="37">
        <v>0</v>
      </c>
      <c r="AG57" s="37">
        <v>0</v>
      </c>
      <c r="AH57" s="37">
        <v>0</v>
      </c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  <c r="AP57" s="37">
        <v>0</v>
      </c>
      <c r="AQ57" s="37">
        <v>0</v>
      </c>
      <c r="AR57" s="37">
        <v>0</v>
      </c>
      <c r="AS57" s="37">
        <v>0</v>
      </c>
      <c r="AT57" s="37">
        <v>0</v>
      </c>
      <c r="AU57" s="37">
        <v>0</v>
      </c>
      <c r="AV57" s="37">
        <v>0</v>
      </c>
      <c r="AW57" s="37">
        <v>0</v>
      </c>
      <c r="AX57" s="37">
        <v>0</v>
      </c>
    </row>
    <row r="58" spans="3:50" ht="12.75">
      <c r="C58" s="2" t="s">
        <v>111</v>
      </c>
      <c r="D58" s="2" t="s">
        <v>135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8">
        <v>0.20074944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8">
        <v>0.26048965000000002</v>
      </c>
      <c r="R58" s="38">
        <v>0.22899791999999999</v>
      </c>
      <c r="S58" s="37">
        <v>0</v>
      </c>
      <c r="T58" s="37">
        <v>0</v>
      </c>
      <c r="U58" s="38">
        <v>0.19306998</v>
      </c>
      <c r="V58" s="37">
        <v>0</v>
      </c>
      <c r="W58" s="37">
        <v>0</v>
      </c>
      <c r="X58" s="38">
        <v>0</v>
      </c>
      <c r="Y58" s="38">
        <v>0</v>
      </c>
      <c r="Z58" s="38">
        <v>0</v>
      </c>
      <c r="AA58" s="37">
        <v>0</v>
      </c>
      <c r="AB58" s="38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</row>
    <row r="59" spans="3:50" ht="12.75">
      <c r="C59" s="2"/>
      <c r="D59" s="3" t="s">
        <v>136</v>
      </c>
      <c r="E59" s="36"/>
      <c r="F59" s="36"/>
      <c r="G59" s="36"/>
      <c r="H59" s="36"/>
      <c r="I59" s="36"/>
      <c r="J59" s="28"/>
      <c r="K59" s="36"/>
      <c r="L59" s="36"/>
      <c r="M59" s="36"/>
      <c r="N59" s="36"/>
      <c r="O59" s="36"/>
      <c r="P59" s="36"/>
      <c r="Q59" s="28"/>
      <c r="R59" s="28"/>
      <c r="S59" s="36"/>
      <c r="T59" s="36"/>
      <c r="U59" s="36"/>
      <c r="V59" s="36"/>
      <c r="W59" s="28"/>
      <c r="X59" s="28"/>
      <c r="Y59" s="28"/>
      <c r="Z59" s="28"/>
      <c r="AA59" s="36"/>
      <c r="AB59" s="28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</row>
    <row r="60" spans="3:50" ht="12.75">
      <c r="C60" s="2" t="s">
        <v>113</v>
      </c>
      <c r="D60" s="2" t="s">
        <v>134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8">
        <v>0.21667955999999999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8">
        <v>0.20365006000000002</v>
      </c>
      <c r="U60" s="37">
        <v>0</v>
      </c>
      <c r="V60" s="37">
        <v>0</v>
      </c>
      <c r="W60" s="38">
        <v>0.2010064</v>
      </c>
      <c r="X60" s="38">
        <v>0</v>
      </c>
      <c r="Y60" s="38">
        <v>0</v>
      </c>
      <c r="Z60" s="38">
        <v>0</v>
      </c>
      <c r="AA60" s="37">
        <v>0</v>
      </c>
      <c r="AB60" s="38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</row>
    <row r="61" spans="3:50" ht="12.75">
      <c r="C61" s="2" t="s">
        <v>113</v>
      </c>
      <c r="D61" s="2" t="s">
        <v>135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8">
        <v>0.20074945999999999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8">
        <v>0.18867787999999999</v>
      </c>
      <c r="U61" s="37">
        <v>0</v>
      </c>
      <c r="V61" s="37">
        <v>0</v>
      </c>
      <c r="W61" s="38">
        <v>0.18622859</v>
      </c>
      <c r="X61" s="38">
        <v>0</v>
      </c>
      <c r="Y61" s="38">
        <v>0</v>
      </c>
      <c r="Z61" s="38">
        <v>0</v>
      </c>
      <c r="AA61" s="37">
        <v>0</v>
      </c>
      <c r="AB61" s="38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</row>
    <row r="62" spans="3:50" ht="12.75">
      <c r="C62" s="2"/>
      <c r="D62" s="3" t="s">
        <v>116</v>
      </c>
      <c r="E62" s="36"/>
      <c r="F62" s="36"/>
      <c r="G62" s="36"/>
      <c r="H62" s="36"/>
      <c r="I62" s="36"/>
      <c r="J62" s="28"/>
      <c r="K62" s="36"/>
      <c r="L62" s="36"/>
      <c r="M62" s="36"/>
      <c r="N62" s="36"/>
      <c r="O62" s="36"/>
      <c r="P62" s="36"/>
      <c r="Q62" s="28"/>
      <c r="R62" s="28"/>
      <c r="S62" s="36"/>
      <c r="T62" s="28"/>
      <c r="U62" s="36"/>
      <c r="V62" s="28"/>
      <c r="W62" s="28"/>
      <c r="X62" s="28"/>
      <c r="Y62" s="28"/>
      <c r="Z62" s="28"/>
      <c r="AA62" s="36"/>
      <c r="AB62" s="28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</row>
    <row r="63" spans="3:50" ht="12.75">
      <c r="C63" s="2" t="s">
        <v>115</v>
      </c>
      <c r="D63" s="2" t="s">
        <v>134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8">
        <v>0.43335911999999999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8">
        <v>0.34755401000000002</v>
      </c>
      <c r="W63" s="37">
        <v>0</v>
      </c>
      <c r="X63" s="38">
        <v>0</v>
      </c>
      <c r="Y63" s="38">
        <v>0</v>
      </c>
      <c r="Z63" s="38">
        <v>0</v>
      </c>
      <c r="AA63" s="37">
        <v>0</v>
      </c>
      <c r="AB63" s="38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</row>
    <row r="64" spans="3:50" ht="12.75">
      <c r="C64" s="2" t="s">
        <v>115</v>
      </c>
      <c r="D64" s="2" t="s">
        <v>135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8">
        <v>0.40149892999999998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8">
        <v>0.32200213999999999</v>
      </c>
      <c r="W64" s="37">
        <v>0</v>
      </c>
      <c r="X64" s="38">
        <v>0</v>
      </c>
      <c r="Y64" s="38">
        <v>0</v>
      </c>
      <c r="Z64" s="38">
        <v>0</v>
      </c>
      <c r="AA64" s="37">
        <v>0</v>
      </c>
      <c r="AB64" s="38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</row>
    <row r="65" spans="1:50" ht="12.75">
      <c r="C65" s="2"/>
      <c r="D65" s="3" t="s">
        <v>137</v>
      </c>
      <c r="E65" s="36"/>
      <c r="F65" s="36"/>
      <c r="G65" s="36"/>
      <c r="H65" s="36"/>
      <c r="I65" s="36"/>
      <c r="J65" s="28"/>
      <c r="K65" s="36"/>
      <c r="L65" s="36"/>
      <c r="M65" s="36"/>
      <c r="N65" s="28"/>
      <c r="O65" s="36"/>
      <c r="P65" s="36"/>
      <c r="Q65" s="28"/>
      <c r="R65" s="28"/>
      <c r="S65" s="36"/>
      <c r="T65" s="36"/>
      <c r="U65" s="28"/>
      <c r="V65" s="28"/>
      <c r="W65" s="36"/>
      <c r="X65" s="28"/>
      <c r="Y65" s="28"/>
      <c r="Z65" s="28"/>
      <c r="AA65" s="36"/>
      <c r="AB65" s="28"/>
      <c r="AC65" s="36"/>
      <c r="AD65" s="36"/>
      <c r="AE65" s="36"/>
      <c r="AF65" s="36"/>
      <c r="AG65" s="36"/>
      <c r="AH65" s="36"/>
      <c r="AI65" s="28"/>
      <c r="AJ65" s="36"/>
      <c r="AK65" s="36"/>
      <c r="AL65" s="36"/>
      <c r="AM65" s="36"/>
      <c r="AN65" s="36"/>
      <c r="AO65" s="36"/>
      <c r="AP65" s="36"/>
      <c r="AQ65" s="28"/>
      <c r="AR65" s="36"/>
      <c r="AS65" s="36"/>
      <c r="AT65" s="36"/>
      <c r="AU65" s="36"/>
      <c r="AV65" s="36"/>
      <c r="AW65" s="36"/>
      <c r="AX65" s="36"/>
    </row>
    <row r="66" spans="1:50" ht="12.75">
      <c r="C66" s="2" t="s">
        <v>107</v>
      </c>
      <c r="D66" s="2" t="s">
        <v>134</v>
      </c>
      <c r="E66" s="37">
        <v>0</v>
      </c>
      <c r="F66" s="38">
        <v>0.6</v>
      </c>
      <c r="G66" s="37">
        <v>0</v>
      </c>
      <c r="H66" s="38">
        <v>0.375</v>
      </c>
      <c r="I66" s="38">
        <v>0.5</v>
      </c>
      <c r="J66" s="37">
        <v>0</v>
      </c>
      <c r="K66" s="37">
        <v>0</v>
      </c>
      <c r="L66" s="38">
        <v>0.21667955999999999</v>
      </c>
      <c r="M66" s="37">
        <v>0</v>
      </c>
      <c r="N66" s="38">
        <v>25.998396839999998</v>
      </c>
      <c r="O66" s="37">
        <v>0</v>
      </c>
      <c r="P66" s="37">
        <v>0</v>
      </c>
      <c r="Q66" s="38">
        <v>0.26078428999999997</v>
      </c>
      <c r="R66" s="38">
        <v>0.28103756000000002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38">
        <v>0</v>
      </c>
      <c r="Y66" s="38">
        <v>0</v>
      </c>
      <c r="Z66" s="38">
        <v>0</v>
      </c>
      <c r="AA66" s="37">
        <v>0</v>
      </c>
      <c r="AB66" s="38">
        <v>0</v>
      </c>
      <c r="AC66" s="38">
        <v>1.85579739</v>
      </c>
      <c r="AD66" s="37">
        <v>0</v>
      </c>
      <c r="AE66" s="37">
        <v>0</v>
      </c>
      <c r="AF66" s="37">
        <v>0</v>
      </c>
      <c r="AG66" s="37">
        <v>0</v>
      </c>
      <c r="AH66" s="37">
        <v>0</v>
      </c>
      <c r="AI66" s="38">
        <v>0.99959542999999995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8">
        <v>0.5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</row>
    <row r="67" spans="1:50" ht="12.75">
      <c r="C67" s="2" t="s">
        <v>107</v>
      </c>
      <c r="D67" s="2" t="s">
        <v>135</v>
      </c>
      <c r="E67" s="37">
        <v>0</v>
      </c>
      <c r="F67" s="38">
        <v>0.6</v>
      </c>
      <c r="G67" s="37">
        <v>0</v>
      </c>
      <c r="H67" s="38">
        <v>0.375</v>
      </c>
      <c r="I67" s="38">
        <v>0.5</v>
      </c>
      <c r="J67" s="37">
        <v>0</v>
      </c>
      <c r="K67" s="37">
        <v>0</v>
      </c>
      <c r="L67" s="38">
        <v>0.20074945999999999</v>
      </c>
      <c r="M67" s="37">
        <v>0</v>
      </c>
      <c r="N67" s="38">
        <v>24.087017119999995</v>
      </c>
      <c r="O67" s="37">
        <v>0</v>
      </c>
      <c r="P67" s="37">
        <v>0</v>
      </c>
      <c r="Q67" s="38">
        <v>0.24161162</v>
      </c>
      <c r="R67" s="38">
        <v>0.26037602999999998</v>
      </c>
      <c r="S67" s="37">
        <v>0</v>
      </c>
      <c r="T67" s="37">
        <v>0</v>
      </c>
      <c r="U67" s="37">
        <v>0</v>
      </c>
      <c r="V67" s="37">
        <v>0</v>
      </c>
      <c r="W67" s="37">
        <v>0</v>
      </c>
      <c r="X67" s="38">
        <v>0</v>
      </c>
      <c r="Y67" s="38">
        <v>0</v>
      </c>
      <c r="Z67" s="38">
        <v>0</v>
      </c>
      <c r="AA67" s="37">
        <v>0</v>
      </c>
      <c r="AB67" s="38">
        <v>0</v>
      </c>
      <c r="AC67" s="38">
        <v>1.71936077</v>
      </c>
      <c r="AD67" s="37">
        <v>0</v>
      </c>
      <c r="AE67" s="37">
        <v>0</v>
      </c>
      <c r="AF67" s="37">
        <v>0</v>
      </c>
      <c r="AG67" s="37">
        <v>0</v>
      </c>
      <c r="AH67" s="37">
        <v>0</v>
      </c>
      <c r="AI67" s="38">
        <v>0.99959542999999995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8">
        <v>0.5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</row>
    <row r="68" spans="1:50" ht="12.75">
      <c r="C68" s="2"/>
      <c r="D68" s="3" t="s">
        <v>138</v>
      </c>
      <c r="E68" s="36"/>
      <c r="F68" s="28"/>
      <c r="G68" s="28"/>
      <c r="H68" s="28"/>
      <c r="I68" s="28"/>
      <c r="J68" s="36"/>
      <c r="K68" s="36"/>
      <c r="L68" s="28"/>
      <c r="M68" s="36"/>
      <c r="N68" s="28"/>
      <c r="O68" s="36"/>
      <c r="P68" s="36"/>
      <c r="Q68" s="28"/>
      <c r="R68" s="28"/>
      <c r="S68" s="36"/>
      <c r="T68" s="36"/>
      <c r="U68" s="28"/>
      <c r="V68" s="36"/>
      <c r="W68" s="36"/>
      <c r="X68" s="28"/>
      <c r="Y68" s="28"/>
      <c r="Z68" s="28"/>
      <c r="AA68" s="36"/>
      <c r="AB68" s="28"/>
      <c r="AC68" s="28"/>
      <c r="AD68" s="36"/>
      <c r="AE68" s="36"/>
      <c r="AF68" s="36"/>
      <c r="AG68" s="36"/>
      <c r="AH68" s="36"/>
      <c r="AI68" s="28"/>
      <c r="AJ68" s="36"/>
      <c r="AK68" s="36"/>
      <c r="AL68" s="36"/>
      <c r="AM68" s="36"/>
      <c r="AN68" s="36"/>
      <c r="AO68" s="36"/>
      <c r="AP68" s="36"/>
      <c r="AQ68" s="28"/>
      <c r="AR68" s="36"/>
      <c r="AS68" s="36"/>
      <c r="AT68" s="36"/>
      <c r="AU68" s="36"/>
      <c r="AV68" s="36"/>
      <c r="AW68" s="36"/>
      <c r="AX68" s="36"/>
    </row>
    <row r="69" spans="1:50" ht="12.75">
      <c r="C69" s="2" t="s">
        <v>129</v>
      </c>
      <c r="D69" s="2" t="s">
        <v>134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8">
        <v>0.27399947999999996</v>
      </c>
      <c r="R69" s="38">
        <v>0.26175233000000003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38">
        <v>0</v>
      </c>
      <c r="Y69" s="38">
        <v>0</v>
      </c>
      <c r="Z69" s="38">
        <v>0</v>
      </c>
      <c r="AA69" s="37">
        <v>0</v>
      </c>
      <c r="AB69" s="38">
        <v>0</v>
      </c>
      <c r="AC69" s="37">
        <v>0</v>
      </c>
      <c r="AD69" s="37">
        <v>0</v>
      </c>
      <c r="AE69" s="37">
        <v>0</v>
      </c>
      <c r="AF69" s="37">
        <v>0</v>
      </c>
      <c r="AG69" s="37">
        <v>0</v>
      </c>
      <c r="AH69" s="37">
        <v>0</v>
      </c>
      <c r="AI69" s="37">
        <v>0</v>
      </c>
      <c r="AJ69" s="37">
        <v>0</v>
      </c>
      <c r="AK69" s="37">
        <v>0</v>
      </c>
      <c r="AL69" s="37">
        <v>0</v>
      </c>
      <c r="AM69" s="37">
        <v>0</v>
      </c>
      <c r="AN69" s="37">
        <v>0</v>
      </c>
      <c r="AO69" s="37">
        <v>0</v>
      </c>
      <c r="AP69" s="37">
        <v>0</v>
      </c>
      <c r="AQ69" s="37">
        <v>0</v>
      </c>
      <c r="AR69" s="37">
        <v>0</v>
      </c>
      <c r="AS69" s="37">
        <v>0</v>
      </c>
      <c r="AT69" s="37">
        <v>0</v>
      </c>
      <c r="AU69" s="37">
        <v>0</v>
      </c>
      <c r="AV69" s="37">
        <v>0</v>
      </c>
      <c r="AW69" s="37">
        <v>0</v>
      </c>
      <c r="AX69" s="37">
        <v>0</v>
      </c>
    </row>
    <row r="70" spans="1:50" ht="12.75">
      <c r="C70" s="2" t="s">
        <v>129</v>
      </c>
      <c r="D70" s="2" t="s">
        <v>135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8">
        <v>0.25385529000000001</v>
      </c>
      <c r="R70" s="38">
        <v>0.24250852999999997</v>
      </c>
      <c r="S70" s="37">
        <v>0</v>
      </c>
      <c r="T70" s="37">
        <v>0</v>
      </c>
      <c r="U70" s="37">
        <v>0</v>
      </c>
      <c r="V70" s="37">
        <v>0</v>
      </c>
      <c r="W70" s="37">
        <v>0</v>
      </c>
      <c r="X70" s="38">
        <v>0</v>
      </c>
      <c r="Y70" s="38">
        <v>0</v>
      </c>
      <c r="Z70" s="38">
        <v>0</v>
      </c>
      <c r="AA70" s="37">
        <v>0</v>
      </c>
      <c r="AB70" s="38">
        <v>0</v>
      </c>
      <c r="AC70" s="37">
        <v>0</v>
      </c>
      <c r="AD70" s="37">
        <v>0</v>
      </c>
      <c r="AE70" s="37">
        <v>0</v>
      </c>
      <c r="AF70" s="37">
        <v>0</v>
      </c>
      <c r="AG70" s="37">
        <v>0</v>
      </c>
      <c r="AH70" s="37">
        <v>0</v>
      </c>
      <c r="AI70" s="37">
        <v>0</v>
      </c>
      <c r="AJ70" s="37">
        <v>0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</row>
    <row r="71" spans="1:50" ht="12.75">
      <c r="C71" s="2"/>
      <c r="D71" s="3" t="s">
        <v>118</v>
      </c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28"/>
      <c r="R71" s="28"/>
      <c r="S71" s="36"/>
      <c r="T71" s="36"/>
      <c r="U71" s="36"/>
      <c r="V71" s="36"/>
      <c r="W71" s="36"/>
      <c r="X71" s="28"/>
      <c r="Y71" s="28"/>
      <c r="Z71" s="28"/>
      <c r="AA71" s="36"/>
      <c r="AB71" s="28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</row>
    <row r="72" spans="1:50" ht="12.75">
      <c r="C72" s="2" t="s">
        <v>117</v>
      </c>
      <c r="D72" s="2" t="s">
        <v>134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8">
        <v>0.21667956000000002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8">
        <v>0.13524102999999998</v>
      </c>
      <c r="S72" s="37">
        <v>0</v>
      </c>
      <c r="T72" s="37">
        <v>0</v>
      </c>
      <c r="U72" s="38">
        <v>0.20839067999999999</v>
      </c>
      <c r="V72" s="37">
        <v>0</v>
      </c>
      <c r="W72" s="37">
        <v>0</v>
      </c>
      <c r="X72" s="38">
        <v>0</v>
      </c>
      <c r="Y72" s="38">
        <v>0</v>
      </c>
      <c r="Z72" s="38">
        <v>0</v>
      </c>
      <c r="AA72" s="37">
        <v>0</v>
      </c>
      <c r="AB72" s="38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</row>
    <row r="73" spans="1:50" ht="12.75">
      <c r="C73" s="2" t="s">
        <v>117</v>
      </c>
      <c r="D73" s="2" t="s">
        <v>135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8">
        <v>0.20074944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8">
        <v>0.12529822999999998</v>
      </c>
      <c r="S73" s="37">
        <v>0</v>
      </c>
      <c r="T73" s="37">
        <v>0</v>
      </c>
      <c r="U73" s="38">
        <v>0.19306998</v>
      </c>
      <c r="V73" s="37">
        <v>0</v>
      </c>
      <c r="W73" s="37">
        <v>0</v>
      </c>
      <c r="X73" s="38">
        <v>0</v>
      </c>
      <c r="Y73" s="38">
        <v>0</v>
      </c>
      <c r="Z73" s="38">
        <v>0</v>
      </c>
      <c r="AA73" s="37">
        <v>0</v>
      </c>
      <c r="AB73" s="38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</row>
    <row r="74" spans="1:50" ht="12.75">
      <c r="C74" s="2"/>
      <c r="D74" s="3" t="s">
        <v>139</v>
      </c>
      <c r="E74" s="36"/>
      <c r="F74" s="36"/>
      <c r="G74" s="36"/>
      <c r="H74" s="36"/>
      <c r="I74" s="36"/>
      <c r="J74" s="28"/>
      <c r="K74" s="36"/>
      <c r="L74" s="36"/>
      <c r="M74" s="36"/>
      <c r="N74" s="36"/>
      <c r="O74" s="36"/>
      <c r="P74" s="36"/>
      <c r="Q74" s="28"/>
      <c r="R74" s="28"/>
      <c r="S74" s="36"/>
      <c r="T74" s="36"/>
      <c r="U74" s="36"/>
      <c r="V74" s="36"/>
      <c r="W74" s="28"/>
      <c r="X74" s="28"/>
      <c r="Y74" s="28"/>
      <c r="Z74" s="28"/>
      <c r="AA74" s="36"/>
      <c r="AB74" s="28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</row>
    <row r="75" spans="1:50" ht="12.75">
      <c r="C75" s="2" t="s">
        <v>119</v>
      </c>
      <c r="D75" s="2" t="s">
        <v>134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8">
        <v>0.21667955999999999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7">
        <v>0</v>
      </c>
      <c r="Q75" s="37">
        <v>0</v>
      </c>
      <c r="R75" s="37">
        <v>0</v>
      </c>
      <c r="S75" s="37">
        <v>0</v>
      </c>
      <c r="T75" s="38">
        <v>0.20808460000000001</v>
      </c>
      <c r="U75" s="37">
        <v>0</v>
      </c>
      <c r="V75" s="37">
        <v>0</v>
      </c>
      <c r="W75" s="38">
        <v>0.21075698999999998</v>
      </c>
      <c r="X75" s="38">
        <v>0</v>
      </c>
      <c r="Y75" s="38">
        <v>0</v>
      </c>
      <c r="Z75" s="38">
        <v>0</v>
      </c>
      <c r="AA75" s="37">
        <v>0</v>
      </c>
      <c r="AB75" s="38">
        <v>0</v>
      </c>
      <c r="AC75" s="37">
        <v>0</v>
      </c>
      <c r="AD75" s="37">
        <v>0</v>
      </c>
      <c r="AE75" s="37">
        <v>0</v>
      </c>
      <c r="AF75" s="37">
        <v>0</v>
      </c>
      <c r="AG75" s="37">
        <v>0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</row>
    <row r="76" spans="1:50" ht="12.75">
      <c r="C76" s="2" t="s">
        <v>119</v>
      </c>
      <c r="D76" s="2" t="s">
        <v>135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8">
        <v>0.20074945999999999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38">
        <v>0.1927864</v>
      </c>
      <c r="U76" s="37">
        <v>0</v>
      </c>
      <c r="V76" s="37">
        <v>0</v>
      </c>
      <c r="W76" s="38">
        <v>0.19526230999999999</v>
      </c>
      <c r="X76" s="38">
        <v>0</v>
      </c>
      <c r="Y76" s="38">
        <v>0</v>
      </c>
      <c r="Z76" s="38">
        <v>0</v>
      </c>
      <c r="AA76" s="37">
        <v>0</v>
      </c>
      <c r="AB76" s="38">
        <v>0</v>
      </c>
      <c r="AC76" s="37">
        <v>0</v>
      </c>
      <c r="AD76" s="37">
        <v>0</v>
      </c>
      <c r="AE76" s="37">
        <v>0</v>
      </c>
      <c r="AF76" s="37">
        <v>0</v>
      </c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</row>
    <row r="77" spans="1:50" ht="12.75">
      <c r="C77" s="2"/>
      <c r="D77" s="3" t="s">
        <v>122</v>
      </c>
      <c r="E77" s="36"/>
      <c r="F77" s="36"/>
      <c r="G77" s="36"/>
      <c r="H77" s="36"/>
      <c r="I77" s="36"/>
      <c r="J77" s="28"/>
      <c r="K77" s="36"/>
      <c r="L77" s="36"/>
      <c r="M77" s="36"/>
      <c r="N77" s="36"/>
      <c r="O77" s="36"/>
      <c r="P77" s="36"/>
      <c r="Q77" s="28"/>
      <c r="R77" s="28"/>
      <c r="S77" s="36"/>
      <c r="T77" s="28"/>
      <c r="U77" s="36"/>
      <c r="V77" s="28"/>
      <c r="W77" s="28"/>
      <c r="X77" s="28"/>
      <c r="Y77" s="28"/>
      <c r="Z77" s="28"/>
      <c r="AA77" s="36"/>
      <c r="AB77" s="28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</row>
    <row r="78" spans="1:50" ht="12.75">
      <c r="C78" s="2" t="s">
        <v>121</v>
      </c>
      <c r="D78" s="2" t="s">
        <v>134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8">
        <v>0.43335911999999999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8">
        <v>0.44354305999999999</v>
      </c>
      <c r="W78" s="37">
        <v>0</v>
      </c>
      <c r="X78" s="38">
        <v>0</v>
      </c>
      <c r="Y78" s="38">
        <v>0</v>
      </c>
      <c r="Z78" s="38">
        <v>0</v>
      </c>
      <c r="AA78" s="37">
        <v>0</v>
      </c>
      <c r="AB78" s="38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</row>
    <row r="79" spans="1:50" ht="12.75">
      <c r="C79" s="2" t="s">
        <v>121</v>
      </c>
      <c r="D79" s="2" t="s">
        <v>135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8">
        <v>0.40149892999999998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0</v>
      </c>
      <c r="U79" s="37">
        <v>0</v>
      </c>
      <c r="V79" s="38">
        <v>0.41093415</v>
      </c>
      <c r="W79" s="37">
        <v>0</v>
      </c>
      <c r="X79" s="38">
        <v>0</v>
      </c>
      <c r="Y79" s="38">
        <v>0</v>
      </c>
      <c r="Z79" s="38">
        <v>0</v>
      </c>
      <c r="AA79" s="37">
        <v>0</v>
      </c>
      <c r="AB79" s="38">
        <v>0</v>
      </c>
      <c r="AC79" s="37">
        <v>0</v>
      </c>
      <c r="AD79" s="37">
        <v>0</v>
      </c>
      <c r="AE79" s="37">
        <v>0</v>
      </c>
      <c r="AF79" s="37">
        <v>0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</row>
    <row r="80" spans="1:50" s="21" customFormat="1" ht="12.75">
      <c r="A80" s="20"/>
      <c r="B80" s="20"/>
      <c r="C80" s="3"/>
      <c r="D80" s="3"/>
      <c r="E80" s="40">
        <v>0</v>
      </c>
      <c r="F80" s="40">
        <v>2.4</v>
      </c>
      <c r="G80" s="40">
        <v>0</v>
      </c>
      <c r="H80" s="40">
        <v>1.5</v>
      </c>
      <c r="I80" s="40">
        <v>2</v>
      </c>
      <c r="J80" s="40">
        <v>3.33943214</v>
      </c>
      <c r="K80" s="40">
        <v>0.55657204000000005</v>
      </c>
      <c r="L80" s="40">
        <v>0.83485803999999986</v>
      </c>
      <c r="M80" s="40">
        <v>0</v>
      </c>
      <c r="N80" s="40">
        <v>99.097349129999998</v>
      </c>
      <c r="O80" s="40">
        <v>0</v>
      </c>
      <c r="P80" s="40">
        <v>0</v>
      </c>
      <c r="Q80" s="40">
        <v>2.4428061599999999</v>
      </c>
      <c r="R80" s="40">
        <v>2.6556836699999997</v>
      </c>
      <c r="S80" s="40">
        <v>0</v>
      </c>
      <c r="T80" s="40">
        <v>0.79319894000000002</v>
      </c>
      <c r="U80" s="40">
        <v>0.81331075000000008</v>
      </c>
      <c r="V80" s="40">
        <v>1.5240333600000002</v>
      </c>
      <c r="W80" s="40">
        <v>0.79325428999999992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  <c r="AC80" s="40">
        <v>6.8824973499999995</v>
      </c>
      <c r="AD80" s="40">
        <v>0</v>
      </c>
      <c r="AE80" s="40">
        <v>0</v>
      </c>
      <c r="AF80" s="40">
        <v>0</v>
      </c>
      <c r="AG80" s="40">
        <v>2.3453910599999999</v>
      </c>
      <c r="AH80" s="40">
        <v>3.17206579</v>
      </c>
      <c r="AI80" s="40">
        <v>3.7923580399999999</v>
      </c>
      <c r="AJ80" s="40">
        <v>0</v>
      </c>
      <c r="AK80" s="40">
        <v>0</v>
      </c>
      <c r="AL80" s="40">
        <v>0</v>
      </c>
      <c r="AM80" s="40">
        <v>0</v>
      </c>
      <c r="AN80" s="40">
        <v>0</v>
      </c>
      <c r="AO80" s="40">
        <v>0</v>
      </c>
      <c r="AP80" s="40">
        <v>0</v>
      </c>
      <c r="AQ80" s="40">
        <v>2</v>
      </c>
      <c r="AR80" s="40">
        <v>0</v>
      </c>
      <c r="AS80" s="40">
        <v>0</v>
      </c>
      <c r="AT80" s="40">
        <v>0</v>
      </c>
      <c r="AU80" s="40">
        <v>0</v>
      </c>
      <c r="AV80" s="40">
        <v>0</v>
      </c>
      <c r="AW80" s="40">
        <v>0</v>
      </c>
      <c r="AX80" s="40">
        <v>0</v>
      </c>
    </row>
    <row r="81" spans="2:54" ht="12.75">
      <c r="C81" s="2"/>
      <c r="D81" s="41" t="s">
        <v>140</v>
      </c>
      <c r="E81" s="4"/>
      <c r="F81" s="4"/>
      <c r="G81" s="4"/>
      <c r="H81" s="4"/>
      <c r="I81" s="4"/>
      <c r="J81" s="4"/>
      <c r="K81" s="4"/>
      <c r="L81" s="4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AB81" s="2"/>
      <c r="AC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</row>
    <row r="82" spans="2:54" ht="12.75" customHeight="1">
      <c r="C82" s="2">
        <v>5.0999999999999996</v>
      </c>
      <c r="D82" s="2" t="s">
        <v>141</v>
      </c>
      <c r="E82" s="42">
        <v>1.1735504699999999</v>
      </c>
      <c r="F82" s="42">
        <v>0.86399631999999993</v>
      </c>
      <c r="G82" s="42">
        <v>2.7270931050000002</v>
      </c>
      <c r="H82" s="42">
        <v>1.5802905</v>
      </c>
      <c r="I82" s="42">
        <v>0.68802719999999995</v>
      </c>
      <c r="J82" s="42">
        <v>0.14839147999999999</v>
      </c>
      <c r="K82" s="42">
        <v>0</v>
      </c>
      <c r="L82" s="42">
        <v>0</v>
      </c>
      <c r="M82" s="42">
        <v>8.0200569999999999E-2</v>
      </c>
      <c r="N82" s="42">
        <v>0</v>
      </c>
      <c r="O82" s="42">
        <v>0.14111253500000001</v>
      </c>
      <c r="P82" s="42">
        <v>0.17407979700000001</v>
      </c>
      <c r="Q82" s="42">
        <v>0</v>
      </c>
      <c r="R82" s="42">
        <v>0</v>
      </c>
      <c r="S82" s="42">
        <v>0.45900580000000002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1.0261372999999999E-2</v>
      </c>
      <c r="AB82" s="42">
        <v>0</v>
      </c>
      <c r="AC82" s="42">
        <v>9.437779999999998E-3</v>
      </c>
      <c r="AD82" s="42">
        <v>0</v>
      </c>
      <c r="AE82" s="42">
        <v>0</v>
      </c>
      <c r="AF82" s="42">
        <v>0</v>
      </c>
      <c r="AG82" s="42">
        <v>0</v>
      </c>
      <c r="AH82" s="42">
        <v>4.4715015000000004E-2</v>
      </c>
      <c r="AI82" s="42">
        <v>0.40889361499999999</v>
      </c>
      <c r="AJ82" s="42">
        <v>4.7680644999999994E-2</v>
      </c>
      <c r="AK82" s="42">
        <v>0</v>
      </c>
      <c r="AL82" s="42">
        <v>0</v>
      </c>
      <c r="AM82" s="42">
        <v>0.26505359000000001</v>
      </c>
      <c r="AN82" s="42">
        <v>0</v>
      </c>
      <c r="AO82" s="42">
        <v>0</v>
      </c>
      <c r="AP82" s="42">
        <v>0.26489007000000003</v>
      </c>
      <c r="AQ82" s="42">
        <v>1.0358797599999998</v>
      </c>
      <c r="AR82" s="42">
        <v>0.40374544500000004</v>
      </c>
      <c r="AS82" s="42">
        <v>0.12258835999999998</v>
      </c>
      <c r="AT82" s="42">
        <v>7.8166796999999982E-2</v>
      </c>
      <c r="AU82" s="42">
        <v>6.5824151999999997E-2</v>
      </c>
      <c r="AV82" s="42">
        <v>3.5805323100000002</v>
      </c>
      <c r="AW82" s="42">
        <v>2.8561470930000001</v>
      </c>
      <c r="AX82" s="42">
        <v>2.3571700760000005</v>
      </c>
      <c r="AZ82" s="17">
        <v>818.95981228200083</v>
      </c>
      <c r="BA82" s="17">
        <v>7.0000169216655195E-8</v>
      </c>
    </row>
    <row r="83" spans="2:54" ht="12.75">
      <c r="C83" s="2">
        <v>5.2</v>
      </c>
      <c r="D83" s="2" t="s">
        <v>143</v>
      </c>
      <c r="E83" s="42">
        <v>2.1777108550000039</v>
      </c>
      <c r="F83" s="42">
        <v>2.0369076890000111</v>
      </c>
      <c r="G83" s="42">
        <v>0.195546572</v>
      </c>
      <c r="H83" s="42">
        <v>0.33039213000000001</v>
      </c>
      <c r="I83" s="42">
        <v>0.26619879200000002</v>
      </c>
      <c r="J83" s="42">
        <v>3.6166345179999992</v>
      </c>
      <c r="K83" s="42">
        <v>19.166600147999944</v>
      </c>
      <c r="L83" s="42">
        <v>3.5504207610000251</v>
      </c>
      <c r="M83" s="42">
        <v>0.19319216799999975</v>
      </c>
      <c r="N83" s="42">
        <v>497.21123825799992</v>
      </c>
      <c r="O83" s="43">
        <v>3.2630150000000002E-3</v>
      </c>
      <c r="P83" s="42">
        <v>5.9771110000000002E-3</v>
      </c>
      <c r="Q83" s="42">
        <v>128.49311732600015</v>
      </c>
      <c r="R83" s="42">
        <v>14.958792816000077</v>
      </c>
      <c r="S83" s="42">
        <v>4.8308053000000004E-2</v>
      </c>
      <c r="T83" s="42">
        <v>0.15025604100000001</v>
      </c>
      <c r="U83" s="42">
        <v>0.50999803399999999</v>
      </c>
      <c r="V83" s="42">
        <v>0.25502607800000004</v>
      </c>
      <c r="W83" s="42">
        <v>0.25055305899999997</v>
      </c>
      <c r="X83" s="42">
        <v>0</v>
      </c>
      <c r="Y83" s="42">
        <v>0</v>
      </c>
      <c r="Z83" s="42">
        <v>0</v>
      </c>
      <c r="AA83" s="42">
        <v>0.535213155</v>
      </c>
      <c r="AB83" s="42">
        <v>0</v>
      </c>
      <c r="AC83" s="42">
        <v>0.48637029200000381</v>
      </c>
      <c r="AD83" s="42">
        <v>0.41921946300000196</v>
      </c>
      <c r="AE83" s="42">
        <v>0.18808015099999881</v>
      </c>
      <c r="AF83" s="42">
        <v>1.1731822170000019</v>
      </c>
      <c r="AG83" s="42">
        <v>2.2515087070000002</v>
      </c>
      <c r="AH83" s="42">
        <v>1.3979303299999963</v>
      </c>
      <c r="AI83" s="42">
        <v>4.0231176E-2</v>
      </c>
      <c r="AJ83" s="42">
        <v>1.2863035079999923</v>
      </c>
      <c r="AK83" s="42">
        <v>3.5581115199999465</v>
      </c>
      <c r="AL83" s="42">
        <v>3.2680295690000727</v>
      </c>
      <c r="AM83" s="42">
        <v>2.4821139999999998E-2</v>
      </c>
      <c r="AN83" s="42">
        <v>1.0875064030000066</v>
      </c>
      <c r="AO83" s="42">
        <v>2.7184339739999941</v>
      </c>
      <c r="AP83" s="42">
        <v>2.7447394999999982E-2</v>
      </c>
      <c r="AQ83" s="42">
        <v>0.44871310999999997</v>
      </c>
      <c r="AR83" s="42">
        <v>0.17484760900000001</v>
      </c>
      <c r="AS83" s="42">
        <v>1.4813659789999389</v>
      </c>
      <c r="AT83" s="42">
        <v>0.88342592799999997</v>
      </c>
      <c r="AU83" s="42">
        <v>0.59423180199999925</v>
      </c>
      <c r="AV83" s="42">
        <v>2.2922857000000001E-2</v>
      </c>
      <c r="AW83" s="42">
        <v>2.0951885E-2</v>
      </c>
      <c r="AX83" s="42">
        <v>2.4959257999999998E-2</v>
      </c>
      <c r="AZ83" s="7">
        <v>-818.95981221200066</v>
      </c>
    </row>
    <row r="84" spans="2:54" ht="12.75" customHeight="1">
      <c r="C84" s="2">
        <v>5.3</v>
      </c>
      <c r="D84" s="2" t="s">
        <v>144</v>
      </c>
      <c r="E84" s="42">
        <v>14.452990997000001</v>
      </c>
      <c r="F84" s="42">
        <v>5.8685278159999994</v>
      </c>
      <c r="G84" s="42">
        <v>11.480490590999999</v>
      </c>
      <c r="H84" s="42">
        <v>17.547422466</v>
      </c>
      <c r="I84" s="42">
        <v>6.8719768569999991</v>
      </c>
      <c r="J84" s="42">
        <v>1.4710204439999999</v>
      </c>
      <c r="K84" s="42">
        <v>1.8102940509999998</v>
      </c>
      <c r="L84" s="42">
        <v>1.347533487</v>
      </c>
      <c r="M84" s="42">
        <v>2.169302235</v>
      </c>
      <c r="N84" s="42">
        <v>7.8556657000000002E-2</v>
      </c>
      <c r="O84" s="42">
        <v>0.98829582100000013</v>
      </c>
      <c r="P84" s="42">
        <v>0.91383712400000006</v>
      </c>
      <c r="Q84" s="42">
        <v>2.8994300649999998</v>
      </c>
      <c r="R84" s="42">
        <v>-0.23068893700000001</v>
      </c>
      <c r="S84" s="42">
        <v>2.802443529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  <c r="Z84" s="42">
        <v>0</v>
      </c>
      <c r="AA84" s="43">
        <v>2.4552759999999997E-3</v>
      </c>
      <c r="AB84" s="42">
        <v>0</v>
      </c>
      <c r="AC84" s="42">
        <v>0.88742180799999981</v>
      </c>
      <c r="AD84" s="42">
        <v>-0.26765359999999999</v>
      </c>
      <c r="AE84" s="42">
        <v>-0.120435025</v>
      </c>
      <c r="AF84" s="42">
        <v>-9.7280000000000005E-2</v>
      </c>
      <c r="AG84" s="42">
        <v>-0.79794553999999995</v>
      </c>
      <c r="AH84" s="42">
        <v>1.2200304009999998</v>
      </c>
      <c r="AI84" s="42">
        <v>3.7695829860000005</v>
      </c>
      <c r="AJ84" s="42">
        <v>-7.2475710999999998E-2</v>
      </c>
      <c r="AK84" s="221">
        <v>-0.53337570000000001</v>
      </c>
      <c r="AL84" s="42">
        <v>-0.56036280000000005</v>
      </c>
      <c r="AM84" s="42">
        <v>1.2108591509999997</v>
      </c>
      <c r="AN84" s="42">
        <v>-2.9572000000000001E-2</v>
      </c>
      <c r="AO84" s="42">
        <v>0.58839153099999997</v>
      </c>
      <c r="AP84" s="42">
        <v>0.65677654200000002</v>
      </c>
      <c r="AQ84" s="42">
        <v>12.321514181</v>
      </c>
      <c r="AR84" s="42">
        <v>2.4584747019999997</v>
      </c>
      <c r="AS84" s="42">
        <v>0.99004831999999987</v>
      </c>
      <c r="AT84" s="42">
        <v>0.63507753499999997</v>
      </c>
      <c r="AU84" s="42">
        <v>0.599845776</v>
      </c>
      <c r="AV84" s="42">
        <v>3.0457542950000005</v>
      </c>
      <c r="AW84" s="42">
        <v>2.757373785</v>
      </c>
      <c r="AX84" s="42">
        <v>0.91341664099999997</v>
      </c>
    </row>
    <row r="85" spans="2:54" ht="12.75" customHeight="1">
      <c r="C85" s="2"/>
      <c r="D85" s="2" t="s">
        <v>145</v>
      </c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</row>
    <row r="86" spans="2:54" ht="12.75">
      <c r="C86" s="2">
        <v>5.4</v>
      </c>
      <c r="D86" s="2" t="s">
        <v>146</v>
      </c>
      <c r="E86" s="44">
        <v>0</v>
      </c>
      <c r="F86" s="44">
        <v>-2.6808565999999999E-2</v>
      </c>
      <c r="G86" s="44">
        <v>0</v>
      </c>
      <c r="H86" s="44">
        <v>0</v>
      </c>
      <c r="I86" s="44">
        <v>0</v>
      </c>
      <c r="J86" s="44">
        <v>1.8077384999999998E-2</v>
      </c>
      <c r="K86" s="44">
        <v>-7.6749624000000002E-2</v>
      </c>
      <c r="L86" s="44">
        <v>1.5201438000000001E-2</v>
      </c>
      <c r="M86" s="44">
        <v>3.6448750000000002E-2</v>
      </c>
      <c r="N86" s="44">
        <v>0.33709670700000005</v>
      </c>
      <c r="O86" s="44">
        <v>0</v>
      </c>
      <c r="P86" s="44">
        <v>0</v>
      </c>
      <c r="Q86" s="44">
        <v>0.73371932500000014</v>
      </c>
      <c r="R86" s="44">
        <v>1.350062045</v>
      </c>
      <c r="S86" s="44">
        <v>0</v>
      </c>
      <c r="T86" s="44">
        <v>0</v>
      </c>
      <c r="U86" s="44">
        <v>0</v>
      </c>
      <c r="V86" s="44">
        <v>0</v>
      </c>
      <c r="W86" s="44">
        <v>0</v>
      </c>
      <c r="X86" s="44">
        <v>0</v>
      </c>
      <c r="Y86" s="44">
        <v>0</v>
      </c>
      <c r="Z86" s="44">
        <v>0</v>
      </c>
      <c r="AA86" s="44">
        <v>0</v>
      </c>
      <c r="AB86" s="44">
        <v>0</v>
      </c>
      <c r="AC86" s="44">
        <v>0</v>
      </c>
      <c r="AD86" s="44">
        <v>0</v>
      </c>
      <c r="AE86" s="44">
        <v>0</v>
      </c>
      <c r="AF86" s="44">
        <v>0</v>
      </c>
      <c r="AG86" s="44">
        <v>0</v>
      </c>
      <c r="AH86" s="44">
        <v>0</v>
      </c>
      <c r="AI86" s="44">
        <v>0</v>
      </c>
      <c r="AJ86" s="44">
        <v>0</v>
      </c>
      <c r="AK86" s="44">
        <v>0</v>
      </c>
      <c r="AL86" s="44">
        <v>0</v>
      </c>
      <c r="AM86" s="44">
        <v>0</v>
      </c>
      <c r="AN86" s="44">
        <v>0</v>
      </c>
      <c r="AO86" s="44">
        <v>0.88539006799999997</v>
      </c>
      <c r="AP86" s="44">
        <v>0</v>
      </c>
      <c r="AQ86" s="44">
        <v>0</v>
      </c>
      <c r="AR86" s="44">
        <v>0</v>
      </c>
      <c r="AS86" s="45">
        <v>0</v>
      </c>
      <c r="AT86" s="44">
        <v>0</v>
      </c>
      <c r="AU86" s="44">
        <v>0</v>
      </c>
      <c r="AV86" s="44">
        <v>0</v>
      </c>
      <c r="AW86" s="44">
        <v>0</v>
      </c>
      <c r="AX86" s="44">
        <v>0</v>
      </c>
    </row>
    <row r="87" spans="2:54" ht="12.75">
      <c r="C87" s="2"/>
      <c r="D87" s="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</row>
    <row r="88" spans="2:54" ht="12.75" customHeight="1">
      <c r="C88" s="2">
        <v>5.5</v>
      </c>
      <c r="D88" s="2" t="s">
        <v>147</v>
      </c>
      <c r="E88" s="43">
        <v>1.7200709999999999E-3</v>
      </c>
      <c r="F88" s="42">
        <v>5.7403344999999995E-2</v>
      </c>
      <c r="G88" s="42">
        <v>2.3916400000000001E-2</v>
      </c>
      <c r="H88" s="42">
        <v>9.7908646000000002E-2</v>
      </c>
      <c r="I88" s="43">
        <v>9.9429999999999995E-6</v>
      </c>
      <c r="J88" s="42">
        <v>7.1404243000000006E-2</v>
      </c>
      <c r="K88" s="42">
        <v>7.8095412000000017E-2</v>
      </c>
      <c r="L88" s="43">
        <v>1.2643729999999992E-3</v>
      </c>
      <c r="M88" s="42">
        <v>-9.0122159999999792E-3</v>
      </c>
      <c r="N88" s="43">
        <v>0</v>
      </c>
      <c r="O88" s="43">
        <v>1.971773E-3</v>
      </c>
      <c r="P88" s="43">
        <v>1.241432E-3</v>
      </c>
      <c r="Q88" s="43">
        <v>1.6475099999997391E-4</v>
      </c>
      <c r="R88" s="43">
        <v>2.6724280000000006E-3</v>
      </c>
      <c r="S88" s="42">
        <v>2.0208548999999999E-2</v>
      </c>
      <c r="T88" s="43">
        <v>1.5700000000000002E-7</v>
      </c>
      <c r="U88" s="43">
        <v>-4.1000000000000003E-8</v>
      </c>
      <c r="V88" s="43">
        <v>8.0000000000000002E-8</v>
      </c>
      <c r="W88" s="43">
        <v>-8.4999999999999994E-8</v>
      </c>
      <c r="X88" s="42">
        <v>1.36E-7</v>
      </c>
      <c r="Y88" s="42">
        <v>2.2700000000000001E-7</v>
      </c>
      <c r="Z88" s="42">
        <v>6.5E-8</v>
      </c>
      <c r="AA88" s="46">
        <v>4.8063999999999999E-5</v>
      </c>
      <c r="AB88" s="43">
        <v>2.2100000000000001E-7</v>
      </c>
      <c r="AC88" s="43">
        <v>8.3000000000000002E-8</v>
      </c>
      <c r="AD88" s="43">
        <v>2.0000000000000001E-9</v>
      </c>
      <c r="AE88" s="47">
        <v>1.79E-7</v>
      </c>
      <c r="AF88" s="46">
        <v>-2.5699999999999999E-7</v>
      </c>
      <c r="AG88" s="46">
        <v>-4.0000000000000002E-9</v>
      </c>
      <c r="AH88" s="47">
        <v>2.5818299999999999E-4</v>
      </c>
      <c r="AI88" s="43">
        <v>1.15256E-4</v>
      </c>
      <c r="AJ88" s="43">
        <v>5.8307000000000003E-5</v>
      </c>
      <c r="AK88" s="47">
        <v>1.1699999999999999E-7</v>
      </c>
      <c r="AL88" s="47">
        <v>1.3799999999999999E-7</v>
      </c>
      <c r="AM88" s="47">
        <v>1.1488899999999999E-4</v>
      </c>
      <c r="AN88" s="47">
        <v>1.3E-7</v>
      </c>
      <c r="AO88" s="43">
        <v>2.8120599999999999E-4</v>
      </c>
      <c r="AP88" s="47">
        <v>6.0447000000000006E-5</v>
      </c>
      <c r="AQ88" s="42">
        <v>8.5432514000000001E-2</v>
      </c>
      <c r="AR88" s="42">
        <v>8.0053525E-2</v>
      </c>
      <c r="AS88" s="43">
        <v>4.0200000000000001E-5</v>
      </c>
      <c r="AT88" s="43">
        <v>7.7610000000000007E-6</v>
      </c>
      <c r="AU88" s="47">
        <v>4.7260000000000002E-6</v>
      </c>
      <c r="AV88" s="43">
        <v>4.5541000000000006E-4</v>
      </c>
      <c r="AW88" s="43">
        <v>4.5522100000000001E-4</v>
      </c>
      <c r="AX88" s="43">
        <v>9.8900599999999996E-4</v>
      </c>
    </row>
    <row r="89" spans="2:54" ht="12.75" customHeight="1">
      <c r="C89" s="2"/>
      <c r="D89" s="2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</row>
    <row r="90" spans="2:54" ht="12.75" customHeight="1">
      <c r="C90" s="2">
        <v>5.6</v>
      </c>
      <c r="D90" s="49" t="s">
        <v>148</v>
      </c>
      <c r="E90" s="50">
        <v>17.805972393000005</v>
      </c>
      <c r="F90" s="50">
        <v>8.8000266040000099</v>
      </c>
      <c r="G90" s="50">
        <v>14.427046667999997</v>
      </c>
      <c r="H90" s="50">
        <v>19.556013742000001</v>
      </c>
      <c r="I90" s="50">
        <v>7.8262127919999998</v>
      </c>
      <c r="J90" s="50">
        <v>5.3255280699999989</v>
      </c>
      <c r="K90" s="50">
        <v>20.978239986999942</v>
      </c>
      <c r="L90" s="50">
        <v>4.9144200590000251</v>
      </c>
      <c r="M90" s="50">
        <v>2.4701315069999996</v>
      </c>
      <c r="N90" s="50">
        <v>497.6268916219999</v>
      </c>
      <c r="O90" s="50">
        <v>1.1346431440000002</v>
      </c>
      <c r="P90" s="50">
        <v>1.0951354640000002</v>
      </c>
      <c r="Q90" s="50">
        <v>132.12643146700015</v>
      </c>
      <c r="R90" s="50">
        <v>16.080838352000079</v>
      </c>
      <c r="S90" s="50">
        <v>3.3299659309999998</v>
      </c>
      <c r="T90" s="50">
        <v>0.15025619800000001</v>
      </c>
      <c r="U90" s="50">
        <v>0.50999799300000004</v>
      </c>
      <c r="V90" s="50">
        <v>0.25502615800000006</v>
      </c>
      <c r="W90" s="50">
        <v>0.25055297399999998</v>
      </c>
      <c r="X90" s="50">
        <v>-1.36E-7</v>
      </c>
      <c r="Y90" s="50">
        <v>-2.2700000000000001E-7</v>
      </c>
      <c r="Z90" s="50">
        <v>6.5E-8</v>
      </c>
      <c r="AA90" s="50">
        <v>0.54797786799999992</v>
      </c>
      <c r="AB90" s="50">
        <v>2.2100000000000001E-7</v>
      </c>
      <c r="AC90" s="50">
        <v>1.3832299630000036</v>
      </c>
      <c r="AD90" s="50">
        <v>0.15156586500000196</v>
      </c>
      <c r="AE90" s="50">
        <v>6.7645304999998809E-2</v>
      </c>
      <c r="AF90" s="50">
        <v>1.0759019600000019</v>
      </c>
      <c r="AG90" s="50">
        <v>1.4535631629999999</v>
      </c>
      <c r="AH90" s="50">
        <v>2.6629339289999963</v>
      </c>
      <c r="AI90" s="50">
        <v>4.2188230330000005</v>
      </c>
      <c r="AJ90" s="50">
        <v>1.2615667489999922</v>
      </c>
      <c r="AK90" s="50">
        <v>3.0247359369999463</v>
      </c>
      <c r="AL90" s="50">
        <v>2.7076669070000725</v>
      </c>
      <c r="AM90" s="50">
        <v>1.5008487699999997</v>
      </c>
      <c r="AN90" s="50">
        <v>1.0579345330000067</v>
      </c>
      <c r="AO90" s="50">
        <v>4.1924967789999945</v>
      </c>
      <c r="AP90" s="50">
        <v>0.949174454</v>
      </c>
      <c r="AQ90" s="50">
        <v>13.891539565</v>
      </c>
      <c r="AR90" s="50">
        <v>3.1171212809999997</v>
      </c>
      <c r="AS90" s="50">
        <v>2.5940428589999387</v>
      </c>
      <c r="AT90" s="50">
        <v>1.5966780209999998</v>
      </c>
      <c r="AU90" s="50">
        <v>1.2599064559999993</v>
      </c>
      <c r="AV90" s="50">
        <v>6.6496648720000007</v>
      </c>
      <c r="AW90" s="50">
        <v>5.6349279839999999</v>
      </c>
      <c r="AX90" s="50">
        <v>3.2965349810000006</v>
      </c>
      <c r="AZ90" s="17">
        <v>818.95981228199992</v>
      </c>
    </row>
    <row r="91" spans="2:54" ht="12.75" customHeight="1">
      <c r="C91" s="2"/>
      <c r="D91" s="2"/>
      <c r="E91" s="26">
        <f>+SUM(E82:E89)-E90</f>
        <v>0</v>
      </c>
      <c r="F91" s="26">
        <f t="shared" ref="F91:AX91" si="0">+SUM(F82:F89)-F90</f>
        <v>0</v>
      </c>
      <c r="G91" s="26">
        <f t="shared" si="0"/>
        <v>0</v>
      </c>
      <c r="H91" s="26">
        <f t="shared" si="0"/>
        <v>0</v>
      </c>
      <c r="I91" s="26">
        <f t="shared" si="0"/>
        <v>0</v>
      </c>
      <c r="J91" s="26">
        <f t="shared" si="0"/>
        <v>0</v>
      </c>
      <c r="K91" s="26">
        <f t="shared" si="0"/>
        <v>0</v>
      </c>
      <c r="L91" s="26">
        <f t="shared" si="0"/>
        <v>0</v>
      </c>
      <c r="M91" s="26">
        <f t="shared" si="0"/>
        <v>0</v>
      </c>
      <c r="N91" s="26">
        <f t="shared" si="0"/>
        <v>0</v>
      </c>
      <c r="O91" s="26">
        <f t="shared" si="0"/>
        <v>0</v>
      </c>
      <c r="P91" s="26">
        <f t="shared" si="0"/>
        <v>0</v>
      </c>
      <c r="Q91" s="26">
        <f t="shared" si="0"/>
        <v>0</v>
      </c>
      <c r="R91" s="26">
        <f t="shared" si="0"/>
        <v>0</v>
      </c>
      <c r="S91" s="26">
        <f t="shared" si="0"/>
        <v>0</v>
      </c>
      <c r="T91" s="26">
        <f t="shared" si="0"/>
        <v>0</v>
      </c>
      <c r="U91" s="26">
        <f t="shared" si="0"/>
        <v>0</v>
      </c>
      <c r="V91" s="26">
        <f t="shared" si="0"/>
        <v>0</v>
      </c>
      <c r="W91" s="26">
        <f t="shared" si="0"/>
        <v>0</v>
      </c>
      <c r="X91" s="26">
        <f t="shared" si="0"/>
        <v>2.72E-7</v>
      </c>
      <c r="Y91" s="26">
        <f t="shared" si="0"/>
        <v>4.5400000000000002E-7</v>
      </c>
      <c r="Z91" s="26">
        <f t="shared" si="0"/>
        <v>0</v>
      </c>
      <c r="AA91" s="26">
        <f t="shared" si="0"/>
        <v>0</v>
      </c>
      <c r="AB91" s="26">
        <f t="shared" si="0"/>
        <v>0</v>
      </c>
      <c r="AC91" s="26">
        <f t="shared" si="0"/>
        <v>0</v>
      </c>
      <c r="AD91" s="26">
        <f t="shared" si="0"/>
        <v>0</v>
      </c>
      <c r="AE91" s="26">
        <f t="shared" si="0"/>
        <v>0</v>
      </c>
      <c r="AF91" s="26">
        <f t="shared" si="0"/>
        <v>0</v>
      </c>
      <c r="AG91" s="26">
        <f t="shared" si="0"/>
        <v>0</v>
      </c>
      <c r="AH91" s="26">
        <f t="shared" si="0"/>
        <v>0</v>
      </c>
      <c r="AI91" s="26">
        <f t="shared" si="0"/>
        <v>0</v>
      </c>
      <c r="AJ91" s="26">
        <f t="shared" si="0"/>
        <v>0</v>
      </c>
      <c r="AK91" s="26">
        <f t="shared" si="0"/>
        <v>0</v>
      </c>
      <c r="AL91" s="26">
        <f t="shared" si="0"/>
        <v>0</v>
      </c>
      <c r="AM91" s="26">
        <f t="shared" si="0"/>
        <v>0</v>
      </c>
      <c r="AN91" s="26">
        <f t="shared" si="0"/>
        <v>0</v>
      </c>
      <c r="AO91" s="26">
        <f t="shared" si="0"/>
        <v>0</v>
      </c>
      <c r="AP91" s="26">
        <f t="shared" si="0"/>
        <v>0</v>
      </c>
      <c r="AQ91" s="26">
        <f t="shared" si="0"/>
        <v>0</v>
      </c>
      <c r="AR91" s="26">
        <f t="shared" si="0"/>
        <v>0</v>
      </c>
      <c r="AS91" s="26">
        <f t="shared" si="0"/>
        <v>0</v>
      </c>
      <c r="AT91" s="26">
        <f t="shared" si="0"/>
        <v>0</v>
      </c>
      <c r="AU91" s="26">
        <f t="shared" si="0"/>
        <v>0</v>
      </c>
      <c r="AV91" s="26">
        <f t="shared" si="0"/>
        <v>0</v>
      </c>
      <c r="AW91" s="26">
        <f t="shared" si="0"/>
        <v>0</v>
      </c>
      <c r="AX91" s="26">
        <f t="shared" si="0"/>
        <v>0</v>
      </c>
    </row>
    <row r="92" spans="2:54" ht="12.75" customHeight="1">
      <c r="C92" s="2"/>
      <c r="D92" s="41" t="s">
        <v>149</v>
      </c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AB92" s="27"/>
      <c r="AC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</row>
    <row r="93" spans="2:54" ht="12" customHeight="1">
      <c r="B93" s="73"/>
      <c r="C93" s="2">
        <v>6.1</v>
      </c>
      <c r="D93" s="2" t="s">
        <v>150</v>
      </c>
      <c r="E93" s="17">
        <v>1.6990667299999997</v>
      </c>
      <c r="F93" s="17">
        <v>1.4125215600000003</v>
      </c>
      <c r="G93" s="17">
        <v>3.1695761749999991</v>
      </c>
      <c r="H93" s="17">
        <v>1.969411137</v>
      </c>
      <c r="I93" s="17">
        <v>0.94090901699999996</v>
      </c>
      <c r="J93" s="17">
        <v>1.1411397110000003</v>
      </c>
      <c r="K93" s="17">
        <v>2.1006820230000005</v>
      </c>
      <c r="L93" s="17">
        <v>0.89792308799999987</v>
      </c>
      <c r="M93" s="17">
        <v>0.12394840099999997</v>
      </c>
      <c r="N93" s="17">
        <v>4.0139185440000009</v>
      </c>
      <c r="O93" s="17">
        <v>7.1297822999999996E-2</v>
      </c>
      <c r="P93" s="17">
        <v>3.9749533000000004E-2</v>
      </c>
      <c r="Q93" s="17">
        <v>5.2351294670000001</v>
      </c>
      <c r="R93" s="17">
        <v>1.0266037949999998</v>
      </c>
      <c r="S93" s="17">
        <v>0.52905269799999999</v>
      </c>
      <c r="T93" s="18">
        <v>0</v>
      </c>
      <c r="U93" s="51">
        <v>0</v>
      </c>
      <c r="V93" s="52">
        <v>2.9855309999999996E-3</v>
      </c>
      <c r="W93" s="52">
        <v>3.0000000000000001E-3</v>
      </c>
      <c r="X93" s="17" t="s">
        <v>142</v>
      </c>
      <c r="Y93" s="17" t="s">
        <v>142</v>
      </c>
      <c r="Z93" s="17" t="s">
        <v>142</v>
      </c>
      <c r="AA93" s="17">
        <v>0.19705066499999999</v>
      </c>
      <c r="AB93" s="17" t="s">
        <v>142</v>
      </c>
      <c r="AC93" s="17">
        <v>0.14233426700000001</v>
      </c>
      <c r="AD93" s="17">
        <v>5.5388970000000001E-3</v>
      </c>
      <c r="AE93" s="52">
        <v>2.1749630000000002E-3</v>
      </c>
      <c r="AF93" s="17">
        <v>2.8586909999999997E-2</v>
      </c>
      <c r="AG93" s="17">
        <v>5.1685465999999999E-2</v>
      </c>
      <c r="AH93" s="17">
        <v>0.48437023700000009</v>
      </c>
      <c r="AI93" s="17">
        <v>0.71233621800000002</v>
      </c>
      <c r="AJ93" s="17">
        <v>0.46956900400000001</v>
      </c>
      <c r="AK93" s="17">
        <v>8.3075169000000004E-2</v>
      </c>
      <c r="AL93" s="17">
        <v>8.8512805999999999E-2</v>
      </c>
      <c r="AM93" s="17">
        <v>0.414409535</v>
      </c>
      <c r="AN93" s="17">
        <v>3.6099894000000007E-2</v>
      </c>
      <c r="AO93" s="17">
        <v>2.2919170000000003E-2</v>
      </c>
      <c r="AP93" s="17">
        <v>0.46662517299999995</v>
      </c>
      <c r="AQ93" s="17">
        <v>1.0576558269999998</v>
      </c>
      <c r="AR93" s="17">
        <v>0.57147248100000003</v>
      </c>
      <c r="AS93" s="17">
        <v>0.30718359200000006</v>
      </c>
      <c r="AT93" s="17">
        <v>0.209334455</v>
      </c>
      <c r="AU93" s="17">
        <v>0.15729484399999999</v>
      </c>
      <c r="AV93" s="17">
        <v>7.4251601E-2</v>
      </c>
      <c r="AW93" s="17">
        <v>4.8000000000000001E-2</v>
      </c>
      <c r="AX93" s="17">
        <v>0.15495098599999999</v>
      </c>
      <c r="AZ93" s="22"/>
    </row>
    <row r="94" spans="2:54" ht="12.75" customHeight="1">
      <c r="B94" s="73"/>
      <c r="C94" s="2">
        <v>6.2</v>
      </c>
      <c r="D94" s="2" t="s">
        <v>151</v>
      </c>
      <c r="E94" s="52">
        <v>5.7757499999999999E-4</v>
      </c>
      <c r="F94" s="52">
        <v>3.1806400000000001E-4</v>
      </c>
      <c r="G94" s="52">
        <v>8.9834400000000003E-4</v>
      </c>
      <c r="H94" s="52">
        <v>6.2160000000000004E-4</v>
      </c>
      <c r="I94" s="52">
        <v>2.6312699999999999E-4</v>
      </c>
      <c r="J94" s="52">
        <v>2.9304800000000002E-4</v>
      </c>
      <c r="K94" s="52">
        <v>1.313792E-3</v>
      </c>
      <c r="L94" s="52">
        <v>2.7387600000000005E-4</v>
      </c>
      <c r="M94" s="52">
        <v>4.9793000000000003E-5</v>
      </c>
      <c r="N94" s="48">
        <v>3.6288011000000002E-2</v>
      </c>
      <c r="O94" s="52">
        <v>3.9107999999999999E-5</v>
      </c>
      <c r="P94" s="52">
        <v>5.2510999999999999E-5</v>
      </c>
      <c r="Q94" s="48">
        <v>9.6378609999999993E-3</v>
      </c>
      <c r="R94" s="52">
        <v>1.4408440000000002E-3</v>
      </c>
      <c r="S94" s="52">
        <v>1.6754200000000002E-4</v>
      </c>
      <c r="T94" s="52">
        <v>1.3016E-5</v>
      </c>
      <c r="U94" s="52">
        <v>4.5448000000000003E-5</v>
      </c>
      <c r="V94" s="52">
        <v>2.3253999999999998E-5</v>
      </c>
      <c r="W94" s="52">
        <v>2.1913999999999997E-5</v>
      </c>
      <c r="X94" s="52" t="s">
        <v>142</v>
      </c>
      <c r="Y94" s="52" t="s">
        <v>142</v>
      </c>
      <c r="Z94" s="52" t="s">
        <v>142</v>
      </c>
      <c r="AA94" s="52">
        <v>4.8111000000000001E-5</v>
      </c>
      <c r="AB94" s="52" t="s">
        <v>142</v>
      </c>
      <c r="AC94" s="52">
        <v>7.9635000000000006E-5</v>
      </c>
      <c r="AD94" s="52">
        <v>5.4762999999999997E-5</v>
      </c>
      <c r="AE94" s="52">
        <v>2.4190999999999999E-5</v>
      </c>
      <c r="AF94" s="52">
        <v>1.6958399999999999E-4</v>
      </c>
      <c r="AG94" s="52">
        <v>2.5691000000000001E-4</v>
      </c>
      <c r="AH94" s="52">
        <v>1.15522E-4</v>
      </c>
      <c r="AI94" s="52">
        <v>1.5537999999999999E-4</v>
      </c>
      <c r="AJ94" s="52">
        <v>9.8417999999999992E-5</v>
      </c>
      <c r="AK94" s="52">
        <v>2.01707E-4</v>
      </c>
      <c r="AL94" s="52">
        <v>2.0501199999999999E-4</v>
      </c>
      <c r="AM94" s="52">
        <v>9.3335E-5</v>
      </c>
      <c r="AN94" s="52">
        <v>6.7447999999999995E-5</v>
      </c>
      <c r="AO94" s="52">
        <v>1.99672E-4</v>
      </c>
      <c r="AP94" s="52">
        <v>8.9538999999999998E-5</v>
      </c>
      <c r="AQ94" s="52">
        <v>3.8311399999999999E-4</v>
      </c>
      <c r="AR94" s="52">
        <v>1.9025300000000001E-4</v>
      </c>
      <c r="AS94" s="52">
        <v>1.28069E-4</v>
      </c>
      <c r="AT94" s="52">
        <v>8.0421999999999997E-5</v>
      </c>
      <c r="AU94" s="52">
        <v>6.0505999999999993E-5</v>
      </c>
      <c r="AV94" s="52">
        <v>1.030881E-3</v>
      </c>
      <c r="AW94" s="52">
        <v>7.6032399999999994E-4</v>
      </c>
      <c r="AX94" s="52">
        <v>6.6847599999999999E-4</v>
      </c>
    </row>
    <row r="95" spans="2:54" ht="12.75" customHeight="1">
      <c r="B95" s="73"/>
      <c r="C95" s="2">
        <v>6.3</v>
      </c>
      <c r="D95" s="4" t="s">
        <v>152</v>
      </c>
      <c r="E95" s="17">
        <v>3.2584374479999996</v>
      </c>
      <c r="F95" s="17">
        <v>2.4341704440000003</v>
      </c>
      <c r="G95" s="17">
        <v>4.8006256779999994</v>
      </c>
      <c r="H95" s="17">
        <v>3.040079827</v>
      </c>
      <c r="I95" s="17">
        <v>1.6159893060000001</v>
      </c>
      <c r="J95" s="17">
        <v>1.5915505670000005</v>
      </c>
      <c r="K95" s="17">
        <v>3.1008678100000004</v>
      </c>
      <c r="L95" s="17">
        <v>1.216780931</v>
      </c>
      <c r="M95" s="17">
        <v>0.20384912599999996</v>
      </c>
      <c r="N95" s="17">
        <v>8.9060772660000005</v>
      </c>
      <c r="O95" s="17">
        <v>0.13087344200000001</v>
      </c>
      <c r="P95" s="17">
        <v>0.10237556000000002</v>
      </c>
      <c r="Q95" s="17">
        <v>10.087034580999999</v>
      </c>
      <c r="R95" s="17">
        <v>1.5746419309999997</v>
      </c>
      <c r="S95" s="17">
        <v>0.86782931200000002</v>
      </c>
      <c r="T95" s="17">
        <v>1.2422073000000002E-2</v>
      </c>
      <c r="U95" s="17">
        <v>3.6015014999999991E-2</v>
      </c>
      <c r="V95" s="17">
        <v>1.4058006999999997E-2</v>
      </c>
      <c r="W95" s="17">
        <v>1.6553882999999998E-2</v>
      </c>
      <c r="X95" s="17" t="e">
        <v>#VALUE!</v>
      </c>
      <c r="Y95" s="17" t="e">
        <v>#VALUE!</v>
      </c>
      <c r="Z95" s="17" t="e">
        <v>#VALUE!</v>
      </c>
      <c r="AA95" s="17">
        <v>0.23787701799999997</v>
      </c>
      <c r="AB95" s="17" t="e">
        <v>#VALUE!</v>
      </c>
      <c r="AC95" s="17">
        <v>0.19220203800000002</v>
      </c>
      <c r="AD95" s="17">
        <v>2.2748758000000004E-2</v>
      </c>
      <c r="AE95" s="17">
        <v>6.2933060000000011E-3</v>
      </c>
      <c r="AF95" s="17">
        <v>6.3944913999999992E-2</v>
      </c>
      <c r="AG95" s="17">
        <v>7.4302466000000011E-2</v>
      </c>
      <c r="AH95" s="17">
        <v>0.53296637300000005</v>
      </c>
      <c r="AI95" s="17">
        <v>0.77366385100000001</v>
      </c>
      <c r="AJ95" s="17">
        <v>0.50158410200000003</v>
      </c>
      <c r="AK95" s="17">
        <v>0.114921467</v>
      </c>
      <c r="AL95" s="17">
        <v>0.120144494</v>
      </c>
      <c r="AM95" s="17">
        <v>0.48915077800000001</v>
      </c>
      <c r="AN95" s="17">
        <v>5.2313454000000009E-2</v>
      </c>
      <c r="AO95" s="17">
        <v>0.10216929400000002</v>
      </c>
      <c r="AP95" s="17">
        <v>0.50768808599999993</v>
      </c>
      <c r="AQ95" s="17">
        <v>2.1962153099999995</v>
      </c>
      <c r="AR95" s="17">
        <v>1.068831871</v>
      </c>
      <c r="AS95" s="17">
        <v>0.51582314299999998</v>
      </c>
      <c r="AT95" s="17">
        <v>0.33690998999999999</v>
      </c>
      <c r="AU95" s="17">
        <v>0.24839640799999999</v>
      </c>
      <c r="AV95" s="17">
        <v>0.211805149</v>
      </c>
      <c r="AW95" s="17">
        <v>0.15342282600000004</v>
      </c>
      <c r="AX95" s="17">
        <v>0.34211397099999996</v>
      </c>
      <c r="AZ95" s="22">
        <v>51.875721274000014</v>
      </c>
      <c r="BA95" s="17">
        <v>51.861663267000075</v>
      </c>
      <c r="BB95" s="17">
        <v>1.4058006999938755E-2</v>
      </c>
    </row>
    <row r="96" spans="2:54" ht="12.75" customHeight="1">
      <c r="C96" s="2">
        <v>6.4</v>
      </c>
      <c r="D96" s="2" t="s">
        <v>153</v>
      </c>
      <c r="E96" s="48">
        <v>1.4596212562882012</v>
      </c>
      <c r="F96" s="48">
        <v>1.7342445933127435</v>
      </c>
      <c r="G96" s="48">
        <v>1.8240382146710314</v>
      </c>
      <c r="H96" s="48">
        <v>1.6799470731809942</v>
      </c>
      <c r="I96" s="48">
        <v>1.6970706753679261</v>
      </c>
      <c r="J96" s="48">
        <v>1.9886328081078339</v>
      </c>
      <c r="K96" s="48">
        <v>0.80205568042011688</v>
      </c>
      <c r="L96" s="48">
        <v>1.7059751471453728</v>
      </c>
      <c r="M96" s="48">
        <v>1.0201287503116301</v>
      </c>
      <c r="N96" s="48">
        <v>5.3647204447294518E-2</v>
      </c>
      <c r="O96" s="48">
        <v>0.93568642740430097</v>
      </c>
      <c r="P96" s="48">
        <v>0.38480806139293899</v>
      </c>
      <c r="Q96" s="48">
        <v>0.29683164694246877</v>
      </c>
      <c r="R96" s="48">
        <v>0.48218440186268668</v>
      </c>
      <c r="S96" s="48">
        <v>1.6185658363989119</v>
      </c>
      <c r="T96" s="52">
        <v>0</v>
      </c>
      <c r="U96" s="52">
        <v>0</v>
      </c>
      <c r="V96" s="48">
        <v>6.984454692658372E-2</v>
      </c>
      <c r="W96" s="48">
        <v>7.1168344014808205E-2</v>
      </c>
      <c r="X96" s="48" t="e">
        <v>#VALUE!</v>
      </c>
      <c r="Y96" s="48" t="e">
        <v>#VALUE!</v>
      </c>
      <c r="Z96" s="48" t="e">
        <v>#VALUE!</v>
      </c>
      <c r="AA96" s="48">
        <v>2.0748789319377008</v>
      </c>
      <c r="AB96" s="48" t="e">
        <v>#VALUE!</v>
      </c>
      <c r="AC96" s="48">
        <v>1.8290103596140936</v>
      </c>
      <c r="AD96" s="48">
        <v>0.10350073474336635</v>
      </c>
      <c r="AE96" s="48">
        <v>9.2000740780684584E-2</v>
      </c>
      <c r="AF96" s="48">
        <v>0.17250117276150548</v>
      </c>
      <c r="AG96" s="48">
        <v>0.1732143086064597</v>
      </c>
      <c r="AH96" s="48">
        <v>2.3391251176952461</v>
      </c>
      <c r="AI96" s="48">
        <v>2.5833575914591465</v>
      </c>
      <c r="AJ96" s="48">
        <v>2.4119556701137963</v>
      </c>
      <c r="AK96" s="48">
        <v>0.18713018417743968</v>
      </c>
      <c r="AL96" s="48">
        <v>0.21787320293356902</v>
      </c>
      <c r="AM96" s="48">
        <v>2.2525325085403578</v>
      </c>
      <c r="AN96" s="48">
        <v>0.27005959448483496</v>
      </c>
      <c r="AO96" s="48">
        <v>5.7968915886141899E-2</v>
      </c>
      <c r="AP96" s="48">
        <v>2.6333937675858703</v>
      </c>
      <c r="AQ96" s="48">
        <v>1.272973495989554</v>
      </c>
      <c r="AR96" s="48">
        <v>1.5449884878780928</v>
      </c>
      <c r="AS96" s="48">
        <v>1.2090159597680572</v>
      </c>
      <c r="AT96" s="48">
        <v>1.3131323121854739</v>
      </c>
      <c r="AU96" s="48">
        <v>1.3118090409312506</v>
      </c>
      <c r="AV96" s="48">
        <v>3.5630642078877242E-2</v>
      </c>
      <c r="AW96" s="48">
        <v>3.128610415947005E-2</v>
      </c>
      <c r="AX96" s="48">
        <v>0.11458902298485046</v>
      </c>
    </row>
    <row r="97" spans="1:50" ht="12.75">
      <c r="C97" s="2">
        <v>6.5</v>
      </c>
      <c r="D97" s="2" t="s">
        <v>154</v>
      </c>
      <c r="E97" s="48">
        <v>2.7992335306255338</v>
      </c>
      <c r="F97" s="48">
        <v>2.9885893789179963</v>
      </c>
      <c r="G97" s="48">
        <v>2.7626799949059535</v>
      </c>
      <c r="H97" s="48">
        <v>2.5932488710229293</v>
      </c>
      <c r="I97" s="48">
        <v>2.9146793296389109</v>
      </c>
      <c r="J97" s="48">
        <v>2.7735514265166303</v>
      </c>
      <c r="K97" s="48">
        <v>1.1839338909991652</v>
      </c>
      <c r="L97" s="48">
        <v>2.3117770948845551</v>
      </c>
      <c r="M97" s="48">
        <v>1.6777332541667724</v>
      </c>
      <c r="N97" s="48">
        <v>0.11903234773577999</v>
      </c>
      <c r="O97" s="48">
        <v>1.7175349573728786</v>
      </c>
      <c r="P97" s="48">
        <v>0.99107933614255317</v>
      </c>
      <c r="Q97" s="48">
        <v>0.57193448725914098</v>
      </c>
      <c r="R97" s="48">
        <v>0.73959182826432202</v>
      </c>
      <c r="S97" s="48">
        <v>2.6550074908204548</v>
      </c>
      <c r="T97" s="48">
        <v>0.49377349493377526</v>
      </c>
      <c r="U97" s="48">
        <v>0.41667895284431494</v>
      </c>
      <c r="V97" s="48">
        <v>0.32887788792202866</v>
      </c>
      <c r="W97" s="48">
        <v>0.39270414670829507</v>
      </c>
      <c r="X97" s="48" t="e">
        <v>#VALUE!</v>
      </c>
      <c r="Y97" s="48" t="e">
        <v>#VALUE!</v>
      </c>
      <c r="Z97" s="48" t="e">
        <v>#VALUE!</v>
      </c>
      <c r="AA97" s="48">
        <v>2.5047670508514406</v>
      </c>
      <c r="AB97" s="48" t="e">
        <v>#VALUE!</v>
      </c>
      <c r="AC97" s="48">
        <v>2.4698164823579818</v>
      </c>
      <c r="AD97" s="48">
        <v>0.42508701055445403</v>
      </c>
      <c r="AE97" s="48">
        <v>0.2662062821112483</v>
      </c>
      <c r="AF97" s="48">
        <v>0.38586096423620497</v>
      </c>
      <c r="AG97" s="48">
        <v>0.24901101357865246</v>
      </c>
      <c r="AH97" s="48">
        <v>2.5738060160191747</v>
      </c>
      <c r="AI97" s="48">
        <v>2.8057683046496007</v>
      </c>
      <c r="AJ97" s="48">
        <v>2.5764022083064004</v>
      </c>
      <c r="AK97" s="48">
        <v>0.25886526075741784</v>
      </c>
      <c r="AL97" s="48">
        <v>0.29573422090598928</v>
      </c>
      <c r="AM97" s="48">
        <v>2.6587902448306546</v>
      </c>
      <c r="AN97" s="48">
        <v>0.39135156943510874</v>
      </c>
      <c r="AO97" s="48">
        <v>0.25841438455373839</v>
      </c>
      <c r="AP97" s="48">
        <v>2.8651318422334651</v>
      </c>
      <c r="AQ97" s="48">
        <v>2.6433210215902134</v>
      </c>
      <c r="AR97" s="48">
        <v>2.8896105955663729</v>
      </c>
      <c r="AS97" s="48">
        <v>2.0301813916699061</v>
      </c>
      <c r="AT97" s="48">
        <v>2.1133997944441818</v>
      </c>
      <c r="AU97" s="48">
        <v>2.0715787336884839</v>
      </c>
      <c r="AV97" s="48">
        <v>0.10163758562569264</v>
      </c>
      <c r="AW97" s="48">
        <v>0.10000005238908856</v>
      </c>
      <c r="AX97" s="48">
        <v>0.25299939483029471</v>
      </c>
    </row>
    <row r="98" spans="1:50" ht="12.75">
      <c r="C98" s="2"/>
      <c r="D98" s="2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7"/>
      <c r="S98" s="27"/>
      <c r="T98" s="27"/>
      <c r="U98" s="27"/>
      <c r="V98" s="27"/>
      <c r="W98" s="27"/>
      <c r="AB98" s="27"/>
      <c r="AC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</row>
    <row r="99" spans="1:50" s="57" customFormat="1" ht="12.75">
      <c r="A99" s="53"/>
      <c r="B99" s="53"/>
      <c r="C99" s="54">
        <v>7.1</v>
      </c>
      <c r="D99" s="55" t="s">
        <v>155</v>
      </c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</row>
    <row r="100" spans="1:50" s="57" customFormat="1" ht="12.75">
      <c r="A100" s="1" t="s">
        <v>156</v>
      </c>
      <c r="B100" s="1" t="s">
        <v>105</v>
      </c>
      <c r="C100" s="54"/>
      <c r="D100" s="55" t="s">
        <v>106</v>
      </c>
      <c r="E100" s="58">
        <v>6.529802518861394</v>
      </c>
      <c r="F100" s="58">
        <v>-0.25019001773498584</v>
      </c>
      <c r="G100" s="58">
        <v>-1.7808646202821632</v>
      </c>
      <c r="H100" s="58">
        <v>8.5141752344469968</v>
      </c>
      <c r="I100" s="58">
        <v>7.8558392146184541</v>
      </c>
      <c r="J100" s="58">
        <v>2.0588389829480969</v>
      </c>
      <c r="K100" s="58">
        <v>3.420056488295975</v>
      </c>
      <c r="L100" s="58">
        <v>2.8467055731278279</v>
      </c>
      <c r="M100" s="58">
        <v>0.59786122264993136</v>
      </c>
      <c r="N100" s="58">
        <v>6.5013146430568627</v>
      </c>
      <c r="O100" s="58">
        <v>5.6019619473633542</v>
      </c>
      <c r="P100" s="58">
        <v>6.954780017563067</v>
      </c>
      <c r="Q100" s="58">
        <v>3.2808467426337362</v>
      </c>
      <c r="R100" s="58">
        <v>3.2540761200500867</v>
      </c>
      <c r="S100" s="58">
        <v>6.4190297632997328</v>
      </c>
      <c r="T100" s="58">
        <v>2.739671099126384</v>
      </c>
      <c r="U100" s="58">
        <v>2.7612462360467438</v>
      </c>
      <c r="V100" s="58">
        <v>2.7929176132601263</v>
      </c>
      <c r="W100" s="58">
        <v>2.7459126990188487</v>
      </c>
      <c r="X100" s="58">
        <v>0</v>
      </c>
      <c r="Y100" s="58">
        <v>0</v>
      </c>
      <c r="Z100" s="58">
        <v>0</v>
      </c>
      <c r="AA100" s="58">
        <v>1.5669337989959287</v>
      </c>
      <c r="AB100" s="58">
        <v>0</v>
      </c>
      <c r="AC100" s="58" t="s">
        <v>157</v>
      </c>
      <c r="AD100" s="58" t="s">
        <v>157</v>
      </c>
      <c r="AE100" s="58" t="s">
        <v>157</v>
      </c>
      <c r="AF100" s="58" t="s">
        <v>157</v>
      </c>
      <c r="AG100" s="58" t="s">
        <v>157</v>
      </c>
      <c r="AH100" s="58" t="s">
        <v>157</v>
      </c>
      <c r="AI100" s="58" t="s">
        <v>157</v>
      </c>
      <c r="AJ100" s="58">
        <v>2.2802805710526508</v>
      </c>
      <c r="AK100" s="58">
        <v>3.064915596689044</v>
      </c>
      <c r="AL100" s="58">
        <v>3.1269079088493967</v>
      </c>
      <c r="AM100" s="58">
        <v>-1.1426039037360947</v>
      </c>
      <c r="AN100" s="58">
        <v>3.157057390497342</v>
      </c>
      <c r="AO100" s="58">
        <v>2.9039790154802736</v>
      </c>
      <c r="AP100" s="58">
        <v>-0.50362007133812892</v>
      </c>
      <c r="AQ100" s="58">
        <v>8.3256982181220796</v>
      </c>
      <c r="AR100" s="58">
        <v>-0.4027513802153937</v>
      </c>
      <c r="AS100" s="58">
        <v>3.2673443909398747</v>
      </c>
      <c r="AT100" s="58">
        <v>2.9950142450142492</v>
      </c>
      <c r="AU100" s="58">
        <v>2.851385034206011</v>
      </c>
      <c r="AV100" s="58">
        <v>7.5153294869473086</v>
      </c>
      <c r="AW100" s="58">
        <v>6.5564228318627515</v>
      </c>
      <c r="AX100" s="58">
        <v>7.9572889206228847</v>
      </c>
    </row>
    <row r="101" spans="1:50" s="57" customFormat="1" ht="12.75">
      <c r="A101" s="1" t="s">
        <v>156</v>
      </c>
      <c r="B101" s="1" t="s">
        <v>109</v>
      </c>
      <c r="C101" s="54"/>
      <c r="D101" s="55" t="s">
        <v>110</v>
      </c>
      <c r="E101" s="58">
        <v>7.246741640916543</v>
      </c>
      <c r="F101" s="58">
        <v>0.33054311690075</v>
      </c>
      <c r="G101" s="58">
        <v>-1.2104276613845832</v>
      </c>
      <c r="H101" s="58">
        <v>9.1933311173702403</v>
      </c>
      <c r="I101" s="58">
        <v>8.5475917584028505</v>
      </c>
      <c r="J101" s="58">
        <v>2.4908488209510971</v>
      </c>
      <c r="K101" s="58">
        <v>3.6690960370072467</v>
      </c>
      <c r="L101" s="58">
        <v>3.2405825028460233</v>
      </c>
      <c r="M101" s="58">
        <v>1.0272020430033946</v>
      </c>
      <c r="N101" s="58">
        <v>6.6459160235053423</v>
      </c>
      <c r="O101" s="58">
        <v>5.9001979860771048</v>
      </c>
      <c r="P101" s="58">
        <v>7.2525757163031557</v>
      </c>
      <c r="Q101" s="58">
        <v>3.6429794686787531</v>
      </c>
      <c r="R101" s="58">
        <v>3.6101919258769044</v>
      </c>
      <c r="S101" s="58">
        <v>7.1044749160859233</v>
      </c>
      <c r="T101" s="58">
        <v>2.8002995506739792</v>
      </c>
      <c r="U101" s="58">
        <v>2.8330127768270374</v>
      </c>
      <c r="V101" s="58">
        <v>2.8440116490717093</v>
      </c>
      <c r="W101" s="58">
        <v>2.8800712428023401</v>
      </c>
      <c r="X101" s="58">
        <v>0</v>
      </c>
      <c r="Y101" s="58">
        <v>0</v>
      </c>
      <c r="Z101" s="58">
        <v>0</v>
      </c>
      <c r="AA101" s="58">
        <v>1.8198138756972071</v>
      </c>
      <c r="AB101" s="58">
        <v>0</v>
      </c>
      <c r="AC101" s="58" t="s">
        <v>157</v>
      </c>
      <c r="AD101" s="58" t="s">
        <v>157</v>
      </c>
      <c r="AE101" s="58" t="s">
        <v>157</v>
      </c>
      <c r="AF101" s="58" t="s">
        <v>157</v>
      </c>
      <c r="AG101" s="58" t="s">
        <v>157</v>
      </c>
      <c r="AH101" s="58" t="s">
        <v>157</v>
      </c>
      <c r="AI101" s="58" t="s">
        <v>157</v>
      </c>
      <c r="AJ101" s="58">
        <v>2.3065609032400625</v>
      </c>
      <c r="AK101" s="58">
        <v>3.2860861086712934</v>
      </c>
      <c r="AL101" s="58">
        <v>3.3280222249458591</v>
      </c>
      <c r="AM101" s="58">
        <v>-0.90564528416883228</v>
      </c>
      <c r="AN101" s="58">
        <v>3.4731243412828849</v>
      </c>
      <c r="AO101" s="58" t="s">
        <v>157</v>
      </c>
      <c r="AP101" s="58">
        <v>-0.48875666486362102</v>
      </c>
      <c r="AQ101" s="58">
        <v>9.2375707748390425</v>
      </c>
      <c r="AR101" s="58">
        <v>0.4720017163698742</v>
      </c>
      <c r="AS101" s="58">
        <v>3.8726762631427158</v>
      </c>
      <c r="AT101" s="58">
        <v>3.5250122609122192</v>
      </c>
      <c r="AU101" s="58">
        <v>3.3758067185172935</v>
      </c>
      <c r="AV101" s="58" t="s">
        <v>157</v>
      </c>
      <c r="AW101" s="58" t="s">
        <v>157</v>
      </c>
      <c r="AX101" s="58" t="s">
        <v>157</v>
      </c>
    </row>
    <row r="102" spans="1:50" ht="12.75">
      <c r="C102" s="2"/>
      <c r="D102" s="2"/>
      <c r="E102" s="59">
        <v>100</v>
      </c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AB102" s="58"/>
      <c r="AC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</row>
    <row r="103" spans="1:50" ht="12.75">
      <c r="C103" s="2">
        <v>7.2</v>
      </c>
      <c r="D103" s="2" t="s">
        <v>158</v>
      </c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AB103" s="58"/>
      <c r="AC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</row>
    <row r="104" spans="1:50" ht="12.75">
      <c r="C104" s="2"/>
      <c r="D104" s="2" t="s">
        <v>159</v>
      </c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60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</row>
    <row r="105" spans="1:50" ht="12.75">
      <c r="A105" s="1" t="s">
        <v>160</v>
      </c>
      <c r="B105" s="1" t="s">
        <v>105</v>
      </c>
      <c r="C105" s="2"/>
      <c r="D105" s="55" t="s">
        <v>106</v>
      </c>
      <c r="E105" s="58">
        <v>10.270791632528177</v>
      </c>
      <c r="F105" s="58">
        <v>4.0211683595204661</v>
      </c>
      <c r="G105" s="58">
        <v>5.0955172588062814</v>
      </c>
      <c r="H105" s="58">
        <v>11.280452496653059</v>
      </c>
      <c r="I105" s="58">
        <v>13.028431066328871</v>
      </c>
      <c r="J105" s="58">
        <v>4.4985505567062489</v>
      </c>
      <c r="K105" s="58">
        <v>5.6543489080996157</v>
      </c>
      <c r="L105" s="58">
        <v>5.7638455415380818</v>
      </c>
      <c r="M105" s="58">
        <v>5.1454041621979973</v>
      </c>
      <c r="N105" s="58">
        <v>6.6676108630212338</v>
      </c>
      <c r="O105" s="58">
        <v>11.816168604304988</v>
      </c>
      <c r="P105" s="58">
        <v>13.434072833821675</v>
      </c>
      <c r="Q105" s="58">
        <v>6.8743094955267869</v>
      </c>
      <c r="R105" s="58">
        <v>6.8044966919786232</v>
      </c>
      <c r="S105" s="58">
        <v>15.057559607766958</v>
      </c>
      <c r="T105" s="58">
        <v>5.6827028671303514</v>
      </c>
      <c r="U105" s="58">
        <v>5.607739555819502</v>
      </c>
      <c r="V105" s="58">
        <v>5.8012121466320066</v>
      </c>
      <c r="W105" s="58">
        <v>5.6430123288746969</v>
      </c>
      <c r="X105" s="58">
        <v>0</v>
      </c>
      <c r="Y105" s="58">
        <v>0</v>
      </c>
      <c r="Z105" s="58">
        <v>0</v>
      </c>
      <c r="AA105" s="58">
        <v>3.6409485398817942</v>
      </c>
      <c r="AB105" s="58">
        <v>0</v>
      </c>
      <c r="AC105" s="58" t="s">
        <v>157</v>
      </c>
      <c r="AD105" s="58" t="s">
        <v>157</v>
      </c>
      <c r="AE105" s="58" t="s">
        <v>157</v>
      </c>
      <c r="AF105" s="58" t="s">
        <v>157</v>
      </c>
      <c r="AG105" s="58" t="s">
        <v>157</v>
      </c>
      <c r="AH105" s="58" t="s">
        <v>157</v>
      </c>
      <c r="AI105" s="58" t="s">
        <v>157</v>
      </c>
      <c r="AJ105" s="58">
        <v>5.1006970660018025</v>
      </c>
      <c r="AK105" s="58">
        <v>6.7894616884597081</v>
      </c>
      <c r="AL105" s="58">
        <v>6.8762077397951371</v>
      </c>
      <c r="AM105" s="58">
        <v>4.4609589738369149</v>
      </c>
      <c r="AN105" s="58">
        <v>6.9564843850680846</v>
      </c>
      <c r="AO105" s="58">
        <v>6.1503120665741928</v>
      </c>
      <c r="AP105" s="58">
        <v>5.101394816917515</v>
      </c>
      <c r="AQ105" s="58">
        <v>17.724463519313293</v>
      </c>
      <c r="AR105" s="58">
        <v>7.8027037617554917</v>
      </c>
      <c r="AS105" s="58">
        <v>7.7106237327231764</v>
      </c>
      <c r="AT105" s="58">
        <v>7.2150807699793429</v>
      </c>
      <c r="AU105" s="58">
        <v>7.1412787271655898</v>
      </c>
      <c r="AV105" s="58">
        <v>14.924788377286479</v>
      </c>
      <c r="AW105" s="58">
        <v>13.647180717017182</v>
      </c>
      <c r="AX105" s="58">
        <v>16.029769024506322</v>
      </c>
    </row>
    <row r="106" spans="1:50" ht="12.75">
      <c r="A106" s="1" t="s">
        <v>160</v>
      </c>
      <c r="B106" s="1" t="s">
        <v>109</v>
      </c>
      <c r="C106" s="2"/>
      <c r="D106" s="55" t="s">
        <v>110</v>
      </c>
      <c r="E106" s="58">
        <v>11.509242597742508</v>
      </c>
      <c r="F106" s="58">
        <v>5.1162325762203587</v>
      </c>
      <c r="G106" s="58">
        <v>5.9702083142693985</v>
      </c>
      <c r="H106" s="58">
        <v>12.501802451333809</v>
      </c>
      <c r="I106" s="58">
        <v>14.287398127567874</v>
      </c>
      <c r="J106" s="58">
        <v>5.3616742942854456</v>
      </c>
      <c r="K106" s="58">
        <v>6.065018944756817</v>
      </c>
      <c r="L106" s="58">
        <v>6.7086146322737683</v>
      </c>
      <c r="M106" s="58">
        <v>5.9861260614758827</v>
      </c>
      <c r="N106" s="58">
        <v>6.8167952253807673</v>
      </c>
      <c r="O106" s="58">
        <v>12.284364789598712</v>
      </c>
      <c r="P106" s="58">
        <v>13.885167915614471</v>
      </c>
      <c r="Q106" s="58">
        <v>7.6586097844326684</v>
      </c>
      <c r="R106" s="58">
        <v>7.473423034677551</v>
      </c>
      <c r="S106" s="58">
        <v>16.252511885507047</v>
      </c>
      <c r="T106" s="58">
        <v>5.8081456892387751</v>
      </c>
      <c r="U106" s="58">
        <v>5.7586974918619305</v>
      </c>
      <c r="V106" s="58">
        <v>5.9168115972215052</v>
      </c>
      <c r="W106" s="58">
        <v>5.918266350636836</v>
      </c>
      <c r="X106" s="58">
        <v>0</v>
      </c>
      <c r="Y106" s="58">
        <v>0</v>
      </c>
      <c r="Z106" s="58">
        <v>0</v>
      </c>
      <c r="AA106" s="58">
        <v>4.1596358356551288</v>
      </c>
      <c r="AB106" s="58">
        <v>0</v>
      </c>
      <c r="AC106" s="58" t="s">
        <v>157</v>
      </c>
      <c r="AD106" s="58" t="s">
        <v>157</v>
      </c>
      <c r="AE106" s="58" t="s">
        <v>157</v>
      </c>
      <c r="AF106" s="58" t="s">
        <v>157</v>
      </c>
      <c r="AG106" s="58" t="s">
        <v>157</v>
      </c>
      <c r="AH106" s="58" t="s">
        <v>157</v>
      </c>
      <c r="AI106" s="58" t="s">
        <v>157</v>
      </c>
      <c r="AJ106" s="58">
        <v>5.1530536452371267</v>
      </c>
      <c r="AK106" s="58">
        <v>7.25031795970279</v>
      </c>
      <c r="AL106" s="58">
        <v>7.2950958764635976</v>
      </c>
      <c r="AM106" s="58">
        <v>4.9638879922530466</v>
      </c>
      <c r="AN106" s="58">
        <v>7.6151793756266795</v>
      </c>
      <c r="AO106" s="58" t="s">
        <v>157</v>
      </c>
      <c r="AP106" s="58">
        <v>5.1341449724974675</v>
      </c>
      <c r="AQ106" s="58">
        <v>19.411590147950331</v>
      </c>
      <c r="AR106" s="58">
        <v>9.3190417367791323</v>
      </c>
      <c r="AS106" s="58">
        <v>8.9758754435672383</v>
      </c>
      <c r="AT106" s="58">
        <v>8.3214207169562293</v>
      </c>
      <c r="AU106" s="58">
        <v>8.2362918448673597</v>
      </c>
      <c r="AV106" s="58" t="s">
        <v>157</v>
      </c>
      <c r="AW106" s="58" t="s">
        <v>157</v>
      </c>
      <c r="AX106" s="58" t="s">
        <v>157</v>
      </c>
    </row>
    <row r="107" spans="1:50" ht="12.75">
      <c r="C107" s="2"/>
      <c r="D107" s="2" t="s">
        <v>161</v>
      </c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</row>
    <row r="108" spans="1:50" ht="12.75">
      <c r="A108" s="1" t="s">
        <v>162</v>
      </c>
      <c r="B108" s="1" t="s">
        <v>105</v>
      </c>
      <c r="C108" s="2"/>
      <c r="D108" s="55" t="s">
        <v>106</v>
      </c>
      <c r="E108" s="58">
        <v>7.2071830889100852</v>
      </c>
      <c r="F108" s="58">
        <v>4.7449671319066189</v>
      </c>
      <c r="G108" s="58">
        <v>3.3564185710762029</v>
      </c>
      <c r="H108" s="58">
        <v>9.0168337794023223</v>
      </c>
      <c r="I108" s="58">
        <v>10.512393396810605</v>
      </c>
      <c r="J108" s="58">
        <v>6.8748379134254689</v>
      </c>
      <c r="K108" s="58">
        <v>8.8219007619365399</v>
      </c>
      <c r="L108" s="58">
        <v>9.9731465360055829</v>
      </c>
      <c r="M108" s="58">
        <v>8.0281140195306087</v>
      </c>
      <c r="N108" s="58">
        <v>7.71111712357615</v>
      </c>
      <c r="O108" s="58">
        <v>5.0902164468527245</v>
      </c>
      <c r="P108" s="58">
        <v>6.902683964565326</v>
      </c>
      <c r="Q108" s="58">
        <v>7.8386122196520747</v>
      </c>
      <c r="R108" s="58">
        <v>7.0902992544890298</v>
      </c>
      <c r="S108" s="58">
        <v>7.0760623013278012</v>
      </c>
      <c r="T108" s="58">
        <v>6.6728758006234568</v>
      </c>
      <c r="U108" s="58">
        <v>6.5838542766262664</v>
      </c>
      <c r="V108" s="58">
        <v>7.2319660786417606</v>
      </c>
      <c r="W108" s="58">
        <v>6.6771751070439311</v>
      </c>
      <c r="X108" s="58">
        <v>0</v>
      </c>
      <c r="Y108" s="58">
        <v>0</v>
      </c>
      <c r="Z108" s="58">
        <v>0</v>
      </c>
      <c r="AA108" s="58">
        <v>5.6065000087656802</v>
      </c>
      <c r="AB108" s="58">
        <v>0</v>
      </c>
      <c r="AC108" s="58" t="s">
        <v>157</v>
      </c>
      <c r="AD108" s="58" t="s">
        <v>157</v>
      </c>
      <c r="AE108" s="58" t="s">
        <v>157</v>
      </c>
      <c r="AF108" s="58" t="s">
        <v>157</v>
      </c>
      <c r="AG108" s="58" t="s">
        <v>157</v>
      </c>
      <c r="AH108" s="58" t="s">
        <v>157</v>
      </c>
      <c r="AI108" s="58" t="s">
        <v>157</v>
      </c>
      <c r="AJ108" s="58" t="s">
        <v>157</v>
      </c>
      <c r="AK108" s="58" t="s">
        <v>157</v>
      </c>
      <c r="AL108" s="58" t="s">
        <v>157</v>
      </c>
      <c r="AM108" s="58" t="s">
        <v>157</v>
      </c>
      <c r="AN108" s="58" t="s">
        <v>157</v>
      </c>
      <c r="AO108" s="58" t="s">
        <v>157</v>
      </c>
      <c r="AP108" s="58" t="s">
        <v>157</v>
      </c>
      <c r="AQ108" s="58" t="s">
        <v>157</v>
      </c>
      <c r="AR108" s="58" t="s">
        <v>157</v>
      </c>
      <c r="AS108" s="58" t="s">
        <v>157</v>
      </c>
      <c r="AT108" s="58" t="s">
        <v>157</v>
      </c>
      <c r="AU108" s="58" t="s">
        <v>157</v>
      </c>
      <c r="AV108" s="58" t="s">
        <v>157</v>
      </c>
      <c r="AW108" s="58" t="s">
        <v>157</v>
      </c>
      <c r="AX108" s="58" t="s">
        <v>157</v>
      </c>
    </row>
    <row r="109" spans="1:50" ht="12.75">
      <c r="A109" s="1" t="s">
        <v>162</v>
      </c>
      <c r="B109" s="1" t="s">
        <v>109</v>
      </c>
      <c r="C109" s="2"/>
      <c r="D109" s="55" t="s">
        <v>110</v>
      </c>
      <c r="E109" s="58">
        <v>8.1492032309708371</v>
      </c>
      <c r="F109" s="58">
        <v>5.6629928889435854</v>
      </c>
      <c r="G109" s="58">
        <v>4.0941862499928705</v>
      </c>
      <c r="H109" s="58">
        <v>10.074040029003584</v>
      </c>
      <c r="I109" s="58">
        <v>11.382969020942003</v>
      </c>
      <c r="J109" s="58">
        <v>7.7366510210847617</v>
      </c>
      <c r="K109" s="58">
        <v>9.3721312062950091</v>
      </c>
      <c r="L109" s="58">
        <v>11.013369196514478</v>
      </c>
      <c r="M109" s="58">
        <v>9.0624823732003978</v>
      </c>
      <c r="N109" s="58">
        <v>7.8336766077135245</v>
      </c>
      <c r="O109" s="58">
        <v>5.6583467025050682</v>
      </c>
      <c r="P109" s="58">
        <v>7.4556247505658479</v>
      </c>
      <c r="Q109" s="58">
        <v>8.7157156197073427</v>
      </c>
      <c r="R109" s="58">
        <v>7.7452130380536</v>
      </c>
      <c r="S109" s="58">
        <v>8.3416628895302214</v>
      </c>
      <c r="T109" s="58">
        <v>6.802977398470933</v>
      </c>
      <c r="U109" s="58">
        <v>6.7351228128554652</v>
      </c>
      <c r="V109" s="58">
        <v>7.418760641237121</v>
      </c>
      <c r="W109" s="58">
        <v>6.91473401423921</v>
      </c>
      <c r="X109" s="58">
        <v>0</v>
      </c>
      <c r="Y109" s="58">
        <v>0</v>
      </c>
      <c r="Z109" s="58">
        <v>0</v>
      </c>
      <c r="AA109" s="58">
        <v>6.1357675631806385</v>
      </c>
      <c r="AB109" s="58">
        <v>0</v>
      </c>
      <c r="AC109" s="58" t="s">
        <v>157</v>
      </c>
      <c r="AD109" s="58" t="s">
        <v>157</v>
      </c>
      <c r="AE109" s="58" t="s">
        <v>157</v>
      </c>
      <c r="AF109" s="58" t="s">
        <v>157</v>
      </c>
      <c r="AG109" s="58" t="s">
        <v>157</v>
      </c>
      <c r="AH109" s="58" t="s">
        <v>157</v>
      </c>
      <c r="AI109" s="58" t="s">
        <v>157</v>
      </c>
      <c r="AJ109" s="58" t="s">
        <v>157</v>
      </c>
      <c r="AK109" s="58" t="s">
        <v>157</v>
      </c>
      <c r="AL109" s="58" t="s">
        <v>157</v>
      </c>
      <c r="AM109" s="58" t="s">
        <v>157</v>
      </c>
      <c r="AN109" s="58" t="s">
        <v>157</v>
      </c>
      <c r="AO109" s="58" t="s">
        <v>157</v>
      </c>
      <c r="AP109" s="58" t="s">
        <v>157</v>
      </c>
      <c r="AQ109" s="58" t="s">
        <v>157</v>
      </c>
      <c r="AR109" s="58" t="s">
        <v>157</v>
      </c>
      <c r="AS109" s="58" t="s">
        <v>157</v>
      </c>
      <c r="AT109" s="58" t="s">
        <v>157</v>
      </c>
      <c r="AU109" s="58" t="s">
        <v>157</v>
      </c>
      <c r="AV109" s="58" t="s">
        <v>157</v>
      </c>
      <c r="AW109" s="58" t="s">
        <v>157</v>
      </c>
      <c r="AX109" s="58" t="s">
        <v>157</v>
      </c>
    </row>
    <row r="110" spans="1:50" ht="12.75">
      <c r="C110" s="2"/>
      <c r="D110" s="2" t="s">
        <v>163</v>
      </c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</row>
    <row r="111" spans="1:50" ht="12.75">
      <c r="A111" s="1" t="s">
        <v>164</v>
      </c>
      <c r="B111" s="1" t="s">
        <v>105</v>
      </c>
      <c r="C111" s="2"/>
      <c r="D111" s="55" t="s">
        <v>106</v>
      </c>
      <c r="E111" s="58">
        <v>10.271060492582485</v>
      </c>
      <c r="F111" s="58">
        <v>9.6484606660131043</v>
      </c>
      <c r="G111" s="58">
        <v>9.6599263250906944</v>
      </c>
      <c r="H111" s="58">
        <v>13.242653828946116</v>
      </c>
      <c r="I111" s="58">
        <v>15.267413784258355</v>
      </c>
      <c r="J111" s="58">
        <v>7.8616827357597563</v>
      </c>
      <c r="K111" s="58">
        <v>7.8315690798455906</v>
      </c>
      <c r="L111" s="58">
        <v>7.6411847795180732</v>
      </c>
      <c r="M111" s="58">
        <v>11.039974868167434</v>
      </c>
      <c r="N111" s="58">
        <v>8.2327023965729218</v>
      </c>
      <c r="O111" s="58">
        <v>10.447761256895838</v>
      </c>
      <c r="P111" s="58">
        <v>11.211651881798822</v>
      </c>
      <c r="Q111" s="58">
        <v>7.9598373319871962</v>
      </c>
      <c r="R111" s="58">
        <v>7.3463769857873285</v>
      </c>
      <c r="S111" s="58">
        <v>11.113666654519761</v>
      </c>
      <c r="T111" s="58">
        <v>7.6002448342229023</v>
      </c>
      <c r="U111" s="58">
        <v>7.504800649864718</v>
      </c>
      <c r="V111" s="58">
        <v>7.6563597306702258</v>
      </c>
      <c r="W111" s="58">
        <v>7.6925017709172705</v>
      </c>
      <c r="X111" s="58">
        <v>0</v>
      </c>
      <c r="Y111" s="58">
        <v>0</v>
      </c>
      <c r="Z111" s="58">
        <v>0</v>
      </c>
      <c r="AA111" s="58" t="s">
        <v>157</v>
      </c>
      <c r="AB111" s="58">
        <v>0</v>
      </c>
      <c r="AC111" s="58" t="s">
        <v>157</v>
      </c>
      <c r="AD111" s="58" t="s">
        <v>157</v>
      </c>
      <c r="AE111" s="58" t="s">
        <v>157</v>
      </c>
      <c r="AF111" s="58" t="s">
        <v>157</v>
      </c>
      <c r="AG111" s="58" t="s">
        <v>157</v>
      </c>
      <c r="AH111" s="58" t="s">
        <v>157</v>
      </c>
      <c r="AI111" s="58" t="s">
        <v>157</v>
      </c>
      <c r="AJ111" s="58" t="s">
        <v>157</v>
      </c>
      <c r="AK111" s="58" t="s">
        <v>157</v>
      </c>
      <c r="AL111" s="58" t="s">
        <v>157</v>
      </c>
      <c r="AM111" s="58" t="s">
        <v>157</v>
      </c>
      <c r="AN111" s="58" t="s">
        <v>157</v>
      </c>
      <c r="AO111" s="58" t="s">
        <v>157</v>
      </c>
      <c r="AP111" s="58" t="s">
        <v>157</v>
      </c>
      <c r="AQ111" s="58" t="s">
        <v>157</v>
      </c>
      <c r="AR111" s="58" t="s">
        <v>157</v>
      </c>
      <c r="AS111" s="58" t="s">
        <v>157</v>
      </c>
      <c r="AT111" s="58" t="s">
        <v>157</v>
      </c>
      <c r="AU111" s="58" t="s">
        <v>157</v>
      </c>
      <c r="AV111" s="58" t="s">
        <v>157</v>
      </c>
      <c r="AW111" s="58" t="s">
        <v>157</v>
      </c>
      <c r="AX111" s="58" t="s">
        <v>157</v>
      </c>
    </row>
    <row r="112" spans="1:50" ht="12.75">
      <c r="A112" s="1" t="s">
        <v>164</v>
      </c>
      <c r="B112" s="1" t="s">
        <v>109</v>
      </c>
      <c r="C112" s="2"/>
      <c r="D112" s="55" t="s">
        <v>110</v>
      </c>
      <c r="E112" s="58" t="s">
        <v>157</v>
      </c>
      <c r="F112" s="58" t="s">
        <v>157</v>
      </c>
      <c r="G112" s="58" t="s">
        <v>157</v>
      </c>
      <c r="H112" s="58" t="s">
        <v>157</v>
      </c>
      <c r="I112" s="58" t="s">
        <v>157</v>
      </c>
      <c r="J112" s="58" t="s">
        <v>157</v>
      </c>
      <c r="K112" s="58" t="s">
        <v>157</v>
      </c>
      <c r="L112" s="58" t="s">
        <v>157</v>
      </c>
      <c r="M112" s="58" t="s">
        <v>157</v>
      </c>
      <c r="N112" s="58" t="s">
        <v>157</v>
      </c>
      <c r="O112" s="58" t="s">
        <v>157</v>
      </c>
      <c r="P112" s="58" t="s">
        <v>157</v>
      </c>
      <c r="Q112" s="58" t="s">
        <v>157</v>
      </c>
      <c r="R112" s="58" t="s">
        <v>157</v>
      </c>
      <c r="S112" s="58" t="s">
        <v>157</v>
      </c>
      <c r="T112" s="58" t="s">
        <v>157</v>
      </c>
      <c r="U112" s="58" t="s">
        <v>157</v>
      </c>
      <c r="V112" s="58" t="s">
        <v>157</v>
      </c>
      <c r="W112" s="58" t="s">
        <v>157</v>
      </c>
      <c r="X112" s="58">
        <v>0</v>
      </c>
      <c r="Y112" s="58">
        <v>0</v>
      </c>
      <c r="Z112" s="58">
        <v>0</v>
      </c>
      <c r="AA112" s="58" t="s">
        <v>157</v>
      </c>
      <c r="AB112" s="58">
        <v>0</v>
      </c>
      <c r="AC112" s="58" t="s">
        <v>157</v>
      </c>
      <c r="AD112" s="58" t="s">
        <v>157</v>
      </c>
      <c r="AE112" s="58" t="s">
        <v>157</v>
      </c>
      <c r="AF112" s="58" t="s">
        <v>157</v>
      </c>
      <c r="AG112" s="58" t="s">
        <v>157</v>
      </c>
      <c r="AH112" s="58" t="s">
        <v>157</v>
      </c>
      <c r="AI112" s="58" t="s">
        <v>157</v>
      </c>
      <c r="AJ112" s="58" t="s">
        <v>157</v>
      </c>
      <c r="AK112" s="58" t="s">
        <v>157</v>
      </c>
      <c r="AL112" s="58" t="s">
        <v>157</v>
      </c>
      <c r="AM112" s="58" t="s">
        <v>157</v>
      </c>
      <c r="AN112" s="58" t="s">
        <v>157</v>
      </c>
      <c r="AO112" s="58" t="s">
        <v>157</v>
      </c>
      <c r="AP112" s="58" t="s">
        <v>157</v>
      </c>
      <c r="AQ112" s="58" t="s">
        <v>157</v>
      </c>
      <c r="AR112" s="58" t="s">
        <v>157</v>
      </c>
      <c r="AS112" s="58" t="s">
        <v>157</v>
      </c>
      <c r="AT112" s="58" t="s">
        <v>157</v>
      </c>
      <c r="AU112" s="58" t="s">
        <v>157</v>
      </c>
      <c r="AV112" s="58" t="s">
        <v>157</v>
      </c>
      <c r="AW112" s="58" t="s">
        <v>157</v>
      </c>
      <c r="AX112" s="58" t="s">
        <v>157</v>
      </c>
    </row>
    <row r="113" spans="1:50" ht="12.75">
      <c r="C113" s="2"/>
      <c r="D113" s="2" t="s">
        <v>165</v>
      </c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</row>
    <row r="114" spans="1:50" ht="12.75">
      <c r="A114" s="1" t="s">
        <v>166</v>
      </c>
      <c r="B114" s="1" t="s">
        <v>105</v>
      </c>
      <c r="C114" s="2"/>
      <c r="D114" s="55" t="s">
        <v>106</v>
      </c>
      <c r="E114" s="58">
        <v>6.081196646849385</v>
      </c>
      <c r="F114" s="58">
        <v>8.6159217311366998</v>
      </c>
      <c r="G114" s="58">
        <v>5.9959092673012027</v>
      </c>
      <c r="H114" s="58">
        <v>3.8674617927116905</v>
      </c>
      <c r="I114" s="58">
        <v>9.0032006083694327</v>
      </c>
      <c r="J114" s="58">
        <v>8.7316927437573799</v>
      </c>
      <c r="K114" s="58">
        <v>8.7123503717452699</v>
      </c>
      <c r="L114" s="58">
        <v>7.6083447630060252</v>
      </c>
      <c r="M114" s="58">
        <v>3.3801045646758565</v>
      </c>
      <c r="N114" s="58">
        <v>7.398657324330582</v>
      </c>
      <c r="O114" s="58">
        <v>12.780585523355192</v>
      </c>
      <c r="P114" s="58">
        <v>12.250229224175001</v>
      </c>
      <c r="Q114" s="58">
        <v>6.8225407107576075</v>
      </c>
      <c r="R114" s="58">
        <v>7.5338706113593279</v>
      </c>
      <c r="S114" s="58">
        <v>3.2985803513365664</v>
      </c>
      <c r="T114" s="58">
        <v>7.9273718527916426</v>
      </c>
      <c r="U114" s="58">
        <v>7.8070044548655737</v>
      </c>
      <c r="V114" s="58">
        <v>7.764697177111457</v>
      </c>
      <c r="W114" s="58">
        <v>8.0268317978037231</v>
      </c>
      <c r="X114" s="58">
        <v>0</v>
      </c>
      <c r="Y114" s="58">
        <v>0</v>
      </c>
      <c r="Z114" s="58">
        <v>0</v>
      </c>
      <c r="AA114" s="58">
        <v>7.4206993679542199</v>
      </c>
      <c r="AB114" s="58">
        <v>0</v>
      </c>
      <c r="AC114" s="58" t="s">
        <v>157</v>
      </c>
      <c r="AD114" s="58" t="s">
        <v>157</v>
      </c>
      <c r="AE114" s="58" t="s">
        <v>157</v>
      </c>
      <c r="AF114" s="58" t="s">
        <v>157</v>
      </c>
      <c r="AG114" s="58" t="s">
        <v>157</v>
      </c>
      <c r="AH114" s="58" t="s">
        <v>157</v>
      </c>
      <c r="AI114" s="58" t="s">
        <v>157</v>
      </c>
      <c r="AJ114" s="58">
        <v>6.1819587432816236</v>
      </c>
      <c r="AK114" s="58">
        <v>8.2704091607651122</v>
      </c>
      <c r="AL114" s="58">
        <v>8.0485391200388001</v>
      </c>
      <c r="AM114" s="58">
        <v>0.91434975629669513</v>
      </c>
      <c r="AN114" s="58">
        <v>8.1134275633580231</v>
      </c>
      <c r="AO114" s="58">
        <v>9.2739203841195827</v>
      </c>
      <c r="AP114" s="58">
        <v>1.0948781070030167</v>
      </c>
      <c r="AQ114" s="58">
        <v>12.933311460313334</v>
      </c>
      <c r="AR114" s="58">
        <v>3.8791774429473014</v>
      </c>
      <c r="AS114" s="58">
        <v>6.8353403332568119</v>
      </c>
      <c r="AT114" s="58">
        <v>7.599673868233503</v>
      </c>
      <c r="AU114" s="58">
        <v>8.4619093739353382</v>
      </c>
      <c r="AV114" s="58">
        <v>13.661780001103384</v>
      </c>
      <c r="AW114" s="58">
        <v>11.774234912938631</v>
      </c>
      <c r="AX114" s="58">
        <v>21.898774842673951</v>
      </c>
    </row>
    <row r="115" spans="1:50" ht="12.75">
      <c r="A115" s="1" t="s">
        <v>166</v>
      </c>
      <c r="B115" s="1" t="s">
        <v>109</v>
      </c>
      <c r="C115" s="2"/>
      <c r="D115" s="55" t="s">
        <v>110</v>
      </c>
      <c r="E115" s="58">
        <v>11.94585135109698</v>
      </c>
      <c r="F115" s="58">
        <v>10.00532809768757</v>
      </c>
      <c r="G115" s="58">
        <v>9.81828867054646</v>
      </c>
      <c r="H115" s="58">
        <v>13.978816986099464</v>
      </c>
      <c r="I115" s="58">
        <v>16.167092539318407</v>
      </c>
      <c r="J115" s="58">
        <v>8.5663907265226982</v>
      </c>
      <c r="K115" s="58">
        <v>8.3556752238372454</v>
      </c>
      <c r="L115" s="58">
        <v>8.4112409424620829</v>
      </c>
      <c r="M115" s="58">
        <v>11.877289446905003</v>
      </c>
      <c r="N115" s="58">
        <v>8.3181834199959948</v>
      </c>
      <c r="O115" s="58">
        <v>10.699392173685274</v>
      </c>
      <c r="P115" s="58">
        <v>11.471184126014533</v>
      </c>
      <c r="Q115" s="58">
        <v>8.8014183743076799</v>
      </c>
      <c r="R115" s="58">
        <v>8.0699069398290746</v>
      </c>
      <c r="S115" s="58">
        <v>11.678258305716959</v>
      </c>
      <c r="T115" s="58">
        <v>7.6148907481761618</v>
      </c>
      <c r="U115" s="58">
        <v>7.5697798767653701</v>
      </c>
      <c r="V115" s="58">
        <v>7.7278169876894509</v>
      </c>
      <c r="W115" s="58">
        <v>7.8039055501723853</v>
      </c>
      <c r="X115" s="58">
        <v>0</v>
      </c>
      <c r="Y115" s="58">
        <v>0</v>
      </c>
      <c r="Z115" s="58">
        <v>0</v>
      </c>
      <c r="AA115" s="58">
        <v>7.9589283708863201</v>
      </c>
      <c r="AB115" s="58">
        <v>0</v>
      </c>
      <c r="AC115" s="58" t="s">
        <v>157</v>
      </c>
      <c r="AD115" s="58" t="s">
        <v>157</v>
      </c>
      <c r="AE115" s="58" t="s">
        <v>157</v>
      </c>
      <c r="AF115" s="58" t="s">
        <v>157</v>
      </c>
      <c r="AG115" s="58" t="s">
        <v>157</v>
      </c>
      <c r="AH115" s="58" t="s">
        <v>157</v>
      </c>
      <c r="AI115" s="58" t="s">
        <v>157</v>
      </c>
      <c r="AJ115" s="58">
        <v>6.3643566893929471</v>
      </c>
      <c r="AK115" s="58">
        <v>8.7516417002389879</v>
      </c>
      <c r="AL115" s="58">
        <v>8.485352703533211</v>
      </c>
      <c r="AM115" s="58">
        <v>1.4137251964318365</v>
      </c>
      <c r="AN115" s="58">
        <v>8.7764840589474868</v>
      </c>
      <c r="AO115" s="58" t="s">
        <v>157</v>
      </c>
      <c r="AP115" s="58">
        <v>1.1289402252195435</v>
      </c>
      <c r="AQ115" s="58">
        <v>14.093960001336669</v>
      </c>
      <c r="AR115" s="58">
        <v>4.7544718788241624</v>
      </c>
      <c r="AS115" s="58">
        <v>8.0917719404949739</v>
      </c>
      <c r="AT115" s="58">
        <v>8.7740780396143414</v>
      </c>
      <c r="AU115" s="58">
        <v>9.6200784877586099</v>
      </c>
      <c r="AV115" s="58" t="s">
        <v>157</v>
      </c>
      <c r="AW115" s="58" t="s">
        <v>157</v>
      </c>
      <c r="AX115" s="58" t="s">
        <v>157</v>
      </c>
    </row>
    <row r="116" spans="1:50" ht="12.75">
      <c r="C116" s="2"/>
      <c r="D116" s="55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</row>
    <row r="117" spans="1:50" ht="12.75">
      <c r="C117" s="2"/>
      <c r="D117" s="2" t="s">
        <v>167</v>
      </c>
      <c r="E117" s="61">
        <v>32678</v>
      </c>
      <c r="F117" s="61">
        <v>33239</v>
      </c>
      <c r="G117" s="61">
        <v>34074</v>
      </c>
      <c r="H117" s="61">
        <v>34578</v>
      </c>
      <c r="I117" s="61">
        <v>35520</v>
      </c>
      <c r="J117" s="61">
        <v>35947</v>
      </c>
      <c r="K117" s="61">
        <v>36334</v>
      </c>
      <c r="L117" s="61">
        <v>36504</v>
      </c>
      <c r="M117" s="61">
        <v>37207</v>
      </c>
      <c r="N117" s="61">
        <v>37333</v>
      </c>
      <c r="O117" s="61">
        <v>37595</v>
      </c>
      <c r="P117" s="61">
        <v>37595</v>
      </c>
      <c r="Q117" s="61">
        <v>37781</v>
      </c>
      <c r="R117" s="61">
        <v>39233</v>
      </c>
      <c r="S117" s="61">
        <v>39531</v>
      </c>
      <c r="T117" s="61">
        <v>39574</v>
      </c>
      <c r="U117" s="61">
        <v>39577</v>
      </c>
      <c r="V117" s="61">
        <v>39581</v>
      </c>
      <c r="W117" s="61">
        <v>39689</v>
      </c>
      <c r="X117" s="61">
        <v>41409</v>
      </c>
      <c r="Y117" s="61">
        <v>41610</v>
      </c>
      <c r="Z117" s="61">
        <v>41620</v>
      </c>
      <c r="AA117" s="61">
        <v>41659</v>
      </c>
      <c r="AB117" s="61">
        <v>41719</v>
      </c>
      <c r="AC117" s="61">
        <v>41768</v>
      </c>
      <c r="AD117" s="61">
        <v>41772</v>
      </c>
      <c r="AE117" s="61">
        <v>41788</v>
      </c>
      <c r="AF117" s="61">
        <v>41815</v>
      </c>
      <c r="AG117" s="61">
        <v>41823</v>
      </c>
      <c r="AH117" s="61">
        <v>41834</v>
      </c>
      <c r="AI117" s="61">
        <v>41891</v>
      </c>
      <c r="AJ117" s="61">
        <v>41913</v>
      </c>
      <c r="AK117" s="61">
        <v>41928</v>
      </c>
      <c r="AL117" s="61">
        <v>41956</v>
      </c>
      <c r="AM117" s="61">
        <v>41974</v>
      </c>
      <c r="AN117" s="61">
        <v>41983</v>
      </c>
      <c r="AO117" s="61">
        <v>41997</v>
      </c>
      <c r="AP117" s="61">
        <v>42044</v>
      </c>
      <c r="AQ117" s="61">
        <v>42060</v>
      </c>
      <c r="AR117" s="61">
        <v>42090</v>
      </c>
      <c r="AS117" s="61">
        <v>42198</v>
      </c>
      <c r="AT117" s="61">
        <v>42282</v>
      </c>
      <c r="AU117" s="61">
        <v>42327</v>
      </c>
      <c r="AV117" s="61">
        <v>42328</v>
      </c>
      <c r="AW117" s="61">
        <v>42338</v>
      </c>
      <c r="AX117" s="61">
        <v>42446</v>
      </c>
    </row>
    <row r="118" spans="1:50" ht="12.75">
      <c r="C118" s="2"/>
      <c r="D118" s="2"/>
      <c r="E118" s="62"/>
      <c r="F118" s="62"/>
      <c r="G118" s="27"/>
      <c r="H118" s="27"/>
      <c r="I118" s="27"/>
      <c r="J118" s="62"/>
      <c r="K118" s="62"/>
      <c r="L118" s="62"/>
      <c r="M118" s="62"/>
      <c r="N118" s="62"/>
      <c r="O118" s="27"/>
      <c r="P118" s="62"/>
      <c r="Q118" s="62"/>
      <c r="R118" s="62"/>
      <c r="S118" s="62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</row>
    <row r="119" spans="1:50" s="67" customFormat="1" ht="25.5">
      <c r="A119" s="63"/>
      <c r="B119" s="63"/>
      <c r="C119" s="64">
        <v>7.3</v>
      </c>
      <c r="D119" s="64" t="s">
        <v>168</v>
      </c>
      <c r="E119" s="65" t="s">
        <v>169</v>
      </c>
      <c r="F119" s="65" t="s">
        <v>169</v>
      </c>
      <c r="G119" s="66" t="s">
        <v>170</v>
      </c>
      <c r="H119" s="66" t="s">
        <v>170</v>
      </c>
      <c r="I119" s="66" t="s">
        <v>170</v>
      </c>
      <c r="J119" s="65" t="s">
        <v>171</v>
      </c>
      <c r="K119" s="65" t="s">
        <v>172</v>
      </c>
      <c r="L119" s="65" t="s">
        <v>173</v>
      </c>
      <c r="M119" s="65" t="s">
        <v>169</v>
      </c>
      <c r="N119" s="65" t="s">
        <v>174</v>
      </c>
      <c r="O119" s="66" t="s">
        <v>170</v>
      </c>
      <c r="P119" s="65" t="s">
        <v>175</v>
      </c>
      <c r="Q119" s="65" t="s">
        <v>174</v>
      </c>
      <c r="R119" s="65" t="s">
        <v>174</v>
      </c>
      <c r="S119" s="65" t="s">
        <v>176</v>
      </c>
      <c r="T119" s="66" t="s">
        <v>177</v>
      </c>
      <c r="U119" s="66" t="s">
        <v>177</v>
      </c>
      <c r="V119" s="66" t="s">
        <v>177</v>
      </c>
      <c r="W119" s="66" t="s">
        <v>177</v>
      </c>
      <c r="X119" s="66" t="s">
        <v>178</v>
      </c>
      <c r="Y119" s="66" t="s">
        <v>171</v>
      </c>
      <c r="Z119" s="66" t="s">
        <v>178</v>
      </c>
      <c r="AA119" s="66" t="s">
        <v>171</v>
      </c>
      <c r="AB119" s="66" t="s">
        <v>176</v>
      </c>
      <c r="AC119" s="66" t="s">
        <v>171</v>
      </c>
      <c r="AD119" s="66" t="s">
        <v>179</v>
      </c>
      <c r="AE119" s="66" t="s">
        <v>179</v>
      </c>
      <c r="AF119" s="66" t="s">
        <v>179</v>
      </c>
      <c r="AG119" s="66" t="s">
        <v>179</v>
      </c>
      <c r="AH119" s="66" t="s">
        <v>171</v>
      </c>
      <c r="AI119" s="66" t="s">
        <v>180</v>
      </c>
      <c r="AJ119" s="66" t="s">
        <v>171</v>
      </c>
      <c r="AK119" s="66" t="s">
        <v>179</v>
      </c>
      <c r="AL119" s="66" t="s">
        <v>179</v>
      </c>
      <c r="AM119" s="66" t="s">
        <v>180</v>
      </c>
      <c r="AN119" s="66" t="s">
        <v>179</v>
      </c>
      <c r="AO119" s="66" t="s">
        <v>181</v>
      </c>
      <c r="AP119" s="66" t="s">
        <v>176</v>
      </c>
      <c r="AQ119" s="66" t="s">
        <v>182</v>
      </c>
      <c r="AR119" s="66" t="s">
        <v>183</v>
      </c>
      <c r="AS119" s="66" t="s">
        <v>171</v>
      </c>
      <c r="AT119" s="66" t="s">
        <v>171</v>
      </c>
      <c r="AU119" s="66" t="s">
        <v>171</v>
      </c>
      <c r="AV119" s="66" t="s">
        <v>175</v>
      </c>
      <c r="AW119" s="66" t="s">
        <v>170</v>
      </c>
      <c r="AX119" s="66" t="s">
        <v>184</v>
      </c>
    </row>
    <row r="120" spans="1:50" s="73" customFormat="1" ht="25.5" hidden="1">
      <c r="A120" s="1"/>
      <c r="B120" s="1"/>
      <c r="C120" s="68">
        <v>7.3</v>
      </c>
      <c r="D120" s="68" t="s">
        <v>168</v>
      </c>
      <c r="E120" s="69" t="s">
        <v>169</v>
      </c>
      <c r="F120" s="69" t="s">
        <v>169</v>
      </c>
      <c r="G120" s="70" t="s">
        <v>185</v>
      </c>
      <c r="H120" s="70" t="s">
        <v>185</v>
      </c>
      <c r="I120" s="70" t="s">
        <v>185</v>
      </c>
      <c r="J120" s="69" t="s">
        <v>171</v>
      </c>
      <c r="K120" s="69" t="s">
        <v>172</v>
      </c>
      <c r="L120" s="69" t="s">
        <v>173</v>
      </c>
      <c r="M120" s="69" t="s">
        <v>169</v>
      </c>
      <c r="N120" s="69" t="s">
        <v>174</v>
      </c>
      <c r="O120" s="70" t="s">
        <v>185</v>
      </c>
      <c r="P120" s="71" t="s">
        <v>175</v>
      </c>
      <c r="Q120" s="69" t="s">
        <v>174</v>
      </c>
      <c r="R120" s="69" t="s">
        <v>174</v>
      </c>
      <c r="S120" s="71" t="s">
        <v>176</v>
      </c>
      <c r="T120" s="72" t="s">
        <v>177</v>
      </c>
      <c r="U120" s="72" t="s">
        <v>177</v>
      </c>
      <c r="V120" s="72" t="s">
        <v>177</v>
      </c>
      <c r="W120" s="72" t="s">
        <v>177</v>
      </c>
      <c r="X120" s="72" t="s">
        <v>178</v>
      </c>
      <c r="Y120" s="72" t="s">
        <v>171</v>
      </c>
      <c r="Z120" s="72" t="s">
        <v>178</v>
      </c>
      <c r="AA120" s="72" t="s">
        <v>171</v>
      </c>
      <c r="AB120" s="72" t="s">
        <v>176</v>
      </c>
      <c r="AC120" s="72" t="s">
        <v>171</v>
      </c>
      <c r="AD120" s="72" t="s">
        <v>179</v>
      </c>
      <c r="AE120" s="72" t="s">
        <v>179</v>
      </c>
      <c r="AF120" s="72" t="s">
        <v>179</v>
      </c>
      <c r="AG120" s="72" t="s">
        <v>179</v>
      </c>
      <c r="AH120" s="72" t="s">
        <v>171</v>
      </c>
      <c r="AI120" s="72" t="s">
        <v>180</v>
      </c>
      <c r="AJ120" s="72" t="s">
        <v>171</v>
      </c>
      <c r="AK120" s="72" t="s">
        <v>179</v>
      </c>
      <c r="AL120" s="72" t="s">
        <v>179</v>
      </c>
      <c r="AM120" s="72" t="s">
        <v>180</v>
      </c>
      <c r="AN120" s="72" t="s">
        <v>179</v>
      </c>
      <c r="AO120" s="72" t="s">
        <v>186</v>
      </c>
      <c r="AP120" s="72" t="s">
        <v>176</v>
      </c>
      <c r="AQ120" s="72" t="s">
        <v>187</v>
      </c>
      <c r="AR120" s="72" t="s">
        <v>183</v>
      </c>
      <c r="AS120" s="72" t="s">
        <v>171</v>
      </c>
      <c r="AT120" s="72" t="s">
        <v>171</v>
      </c>
      <c r="AU120" s="72" t="s">
        <v>171</v>
      </c>
      <c r="AV120" s="72" t="s">
        <v>175</v>
      </c>
      <c r="AW120" s="72" t="s">
        <v>185</v>
      </c>
      <c r="AX120" s="72" t="s">
        <v>188</v>
      </c>
    </row>
    <row r="121" spans="1:50" ht="12.75">
      <c r="C121" s="2"/>
      <c r="D121" s="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</row>
    <row r="122" spans="1:50" ht="12.75">
      <c r="C122" s="2"/>
      <c r="D122" s="3" t="s">
        <v>189</v>
      </c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</row>
    <row r="123" spans="1:50" ht="12.75">
      <c r="C123" s="2"/>
      <c r="D123" s="2" t="s">
        <v>190</v>
      </c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</row>
    <row r="124" spans="1:50" ht="12.75">
      <c r="A124" s="1" t="s">
        <v>156</v>
      </c>
      <c r="B124" s="1" t="s">
        <v>105</v>
      </c>
      <c r="C124" s="2"/>
      <c r="D124" s="55" t="s">
        <v>106</v>
      </c>
      <c r="E124" s="58">
        <v>5.9429213986241791</v>
      </c>
      <c r="F124" s="58">
        <v>5.9429213986241791</v>
      </c>
      <c r="G124" s="58">
        <v>5.6150976519640183</v>
      </c>
      <c r="H124" s="58">
        <v>5.6150976519640183</v>
      </c>
      <c r="I124" s="58">
        <v>5.6150976519640183</v>
      </c>
      <c r="J124" s="58">
        <v>4.7775267999368598</v>
      </c>
      <c r="K124" s="58">
        <v>4.4099738705297042</v>
      </c>
      <c r="L124" s="58">
        <v>4.1141535925184103</v>
      </c>
      <c r="M124" s="58">
        <v>5.9429213986241791</v>
      </c>
      <c r="N124" s="58">
        <v>6.5947854925530649</v>
      </c>
      <c r="O124" s="58">
        <v>5.6150976519640183</v>
      </c>
      <c r="P124" s="58">
        <v>6.7022755143752555</v>
      </c>
      <c r="Q124" s="58">
        <v>3.2883587935470082</v>
      </c>
      <c r="R124" s="58">
        <v>3.2883587935470082</v>
      </c>
      <c r="S124" s="58">
        <v>7.1440307719530249</v>
      </c>
      <c r="T124" s="58">
        <v>3.2883587935470082</v>
      </c>
      <c r="U124" s="58">
        <v>3.2883587935470082</v>
      </c>
      <c r="V124" s="58">
        <v>3.2883587935470082</v>
      </c>
      <c r="W124" s="58">
        <v>3.2883587935470082</v>
      </c>
      <c r="X124" s="58">
        <v>0</v>
      </c>
      <c r="Y124" s="58">
        <v>0</v>
      </c>
      <c r="Z124" s="58">
        <v>0</v>
      </c>
      <c r="AA124" s="58">
        <v>4.7775267999368598</v>
      </c>
      <c r="AB124" s="58">
        <v>0</v>
      </c>
      <c r="AC124" s="58" t="s">
        <v>157</v>
      </c>
      <c r="AD124" s="58" t="s">
        <v>157</v>
      </c>
      <c r="AE124" s="58" t="s">
        <v>157</v>
      </c>
      <c r="AF124" s="58" t="s">
        <v>157</v>
      </c>
      <c r="AG124" s="58" t="s">
        <v>157</v>
      </c>
      <c r="AH124" s="58" t="s">
        <v>157</v>
      </c>
      <c r="AI124" s="58" t="s">
        <v>157</v>
      </c>
      <c r="AJ124" s="58">
        <v>4.7775267999368598</v>
      </c>
      <c r="AK124" s="58">
        <v>3.7352347816424825</v>
      </c>
      <c r="AL124" s="58">
        <v>3.7352347816424825</v>
      </c>
      <c r="AM124" s="58">
        <v>7.2405025238924337</v>
      </c>
      <c r="AN124" s="58">
        <v>3.7352347816424825</v>
      </c>
      <c r="AO124" s="58">
        <v>3.0808736788169755</v>
      </c>
      <c r="AP124" s="58">
        <v>7.1440307719530249</v>
      </c>
      <c r="AQ124" s="58">
        <v>5.2962264096085621</v>
      </c>
      <c r="AR124" s="58">
        <v>10.665060929692217</v>
      </c>
      <c r="AS124" s="58">
        <v>4.7775267999368598</v>
      </c>
      <c r="AT124" s="58">
        <v>4.7775267999368598</v>
      </c>
      <c r="AU124" s="58">
        <v>4.7775267999368598</v>
      </c>
      <c r="AV124" s="58">
        <v>6.7022755143752555</v>
      </c>
      <c r="AW124" s="58">
        <v>5.6150976519640183</v>
      </c>
      <c r="AX124" s="58">
        <v>7.1489685331305175</v>
      </c>
    </row>
    <row r="125" spans="1:50" ht="12.75">
      <c r="A125" s="1" t="s">
        <v>156</v>
      </c>
      <c r="B125" s="1" t="s">
        <v>109</v>
      </c>
      <c r="C125" s="2"/>
      <c r="D125" s="55" t="s">
        <v>110</v>
      </c>
      <c r="E125" s="58">
        <v>5.9429213986241791</v>
      </c>
      <c r="F125" s="58">
        <v>5.9429213986241791</v>
      </c>
      <c r="G125" s="58">
        <v>5.6150976519640183</v>
      </c>
      <c r="H125" s="58">
        <v>5.6150976519640183</v>
      </c>
      <c r="I125" s="58">
        <v>5.6150976519640183</v>
      </c>
      <c r="J125" s="58">
        <v>4.7775267999368598</v>
      </c>
      <c r="K125" s="58">
        <v>4.4099738705297042</v>
      </c>
      <c r="L125" s="58">
        <v>4.1141535925184103</v>
      </c>
      <c r="M125" s="58">
        <v>5.9429213986241791</v>
      </c>
      <c r="N125" s="58">
        <v>6.5947854925530649</v>
      </c>
      <c r="O125" s="58">
        <v>5.6150976519640183</v>
      </c>
      <c r="P125" s="58">
        <v>6.7022755143752555</v>
      </c>
      <c r="Q125" s="58">
        <v>3.2883587935470082</v>
      </c>
      <c r="R125" s="58">
        <v>3.2883587935470082</v>
      </c>
      <c r="S125" s="58">
        <v>7.1440307719530249</v>
      </c>
      <c r="T125" s="58">
        <v>3.2883587935470082</v>
      </c>
      <c r="U125" s="58">
        <v>3.2883587935470082</v>
      </c>
      <c r="V125" s="58">
        <v>3.2883587935470082</v>
      </c>
      <c r="W125" s="58">
        <v>3.2883587935470082</v>
      </c>
      <c r="X125" s="58">
        <v>0</v>
      </c>
      <c r="Y125" s="58">
        <v>0</v>
      </c>
      <c r="Z125" s="58">
        <v>0</v>
      </c>
      <c r="AA125" s="58">
        <v>4.7775267999368598</v>
      </c>
      <c r="AB125" s="58">
        <v>0</v>
      </c>
      <c r="AC125" s="58" t="s">
        <v>157</v>
      </c>
      <c r="AD125" s="58" t="s">
        <v>157</v>
      </c>
      <c r="AE125" s="58" t="s">
        <v>157</v>
      </c>
      <c r="AF125" s="58" t="s">
        <v>157</v>
      </c>
      <c r="AG125" s="58" t="s">
        <v>157</v>
      </c>
      <c r="AH125" s="58" t="s">
        <v>157</v>
      </c>
      <c r="AI125" s="58" t="s">
        <v>157</v>
      </c>
      <c r="AJ125" s="58">
        <v>4.7775267999368598</v>
      </c>
      <c r="AK125" s="58">
        <v>3.7352347816424825</v>
      </c>
      <c r="AL125" s="58">
        <v>3.7352347816424825</v>
      </c>
      <c r="AM125" s="58">
        <v>7.2405025238924337</v>
      </c>
      <c r="AN125" s="58">
        <v>3.7352347816424825</v>
      </c>
      <c r="AO125" s="58" t="s">
        <v>157</v>
      </c>
      <c r="AP125" s="58">
        <v>7.1440307719530249</v>
      </c>
      <c r="AQ125" s="58">
        <v>5.2962264096085621</v>
      </c>
      <c r="AR125" s="58">
        <v>10.665060929692217</v>
      </c>
      <c r="AS125" s="58">
        <v>4.7775267999368598</v>
      </c>
      <c r="AT125" s="58">
        <v>4.7775267999368598</v>
      </c>
      <c r="AU125" s="58">
        <v>4.7775267999368598</v>
      </c>
      <c r="AV125" s="58" t="s">
        <v>157</v>
      </c>
      <c r="AW125" s="58" t="s">
        <v>157</v>
      </c>
      <c r="AX125" s="58" t="s">
        <v>157</v>
      </c>
    </row>
    <row r="126" spans="1:50" ht="12.75">
      <c r="C126" s="2"/>
      <c r="D126" s="2" t="s">
        <v>191</v>
      </c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</row>
    <row r="127" spans="1:50" ht="12.75">
      <c r="A127" s="1" t="s">
        <v>160</v>
      </c>
      <c r="B127" s="1" t="s">
        <v>105</v>
      </c>
      <c r="C127" s="2"/>
      <c r="D127" s="55" t="s">
        <v>106</v>
      </c>
      <c r="E127" s="58">
        <v>11.787812734886716</v>
      </c>
      <c r="F127" s="58">
        <v>11.787812734886716</v>
      </c>
      <c r="G127" s="58">
        <v>12.265000021531659</v>
      </c>
      <c r="H127" s="58">
        <v>12.265000021531659</v>
      </c>
      <c r="I127" s="58">
        <v>12.265000021531659</v>
      </c>
      <c r="J127" s="58">
        <v>8.8498479336871494</v>
      </c>
      <c r="K127" s="58">
        <v>7.915762164063711</v>
      </c>
      <c r="L127" s="58">
        <v>7.2111643289914928</v>
      </c>
      <c r="M127" s="58">
        <v>11.787812734886716</v>
      </c>
      <c r="N127" s="58">
        <v>6.6832165573253555</v>
      </c>
      <c r="O127" s="58">
        <v>12.265000021531659</v>
      </c>
      <c r="P127" s="58">
        <v>13.673551151704476</v>
      </c>
      <c r="Q127" s="58">
        <v>6.6832165573253555</v>
      </c>
      <c r="R127" s="58">
        <v>6.6832165573253555</v>
      </c>
      <c r="S127" s="58">
        <v>14.767292702491396</v>
      </c>
      <c r="T127" s="58">
        <v>6.6832165573253555</v>
      </c>
      <c r="U127" s="58">
        <v>6.6832165573253555</v>
      </c>
      <c r="V127" s="58">
        <v>6.6832165573253555</v>
      </c>
      <c r="W127" s="58">
        <v>6.6832165573253555</v>
      </c>
      <c r="X127" s="58">
        <v>0</v>
      </c>
      <c r="Y127" s="58">
        <v>0</v>
      </c>
      <c r="Z127" s="58">
        <v>0</v>
      </c>
      <c r="AA127" s="58">
        <v>8.8498479336871494</v>
      </c>
      <c r="AB127" s="58">
        <v>0</v>
      </c>
      <c r="AC127" s="58" t="s">
        <v>157</v>
      </c>
      <c r="AD127" s="58" t="s">
        <v>157</v>
      </c>
      <c r="AE127" s="58" t="s">
        <v>157</v>
      </c>
      <c r="AF127" s="58" t="s">
        <v>157</v>
      </c>
      <c r="AG127" s="58" t="s">
        <v>157</v>
      </c>
      <c r="AH127" s="58" t="s">
        <v>157</v>
      </c>
      <c r="AI127" s="58" t="s">
        <v>157</v>
      </c>
      <c r="AJ127" s="58">
        <v>8.8498479336871494</v>
      </c>
      <c r="AK127" s="58">
        <v>7.577903091060989</v>
      </c>
      <c r="AL127" s="58">
        <v>7.577903091060989</v>
      </c>
      <c r="AM127" s="58">
        <v>15.091032272634397</v>
      </c>
      <c r="AN127" s="58">
        <v>7.577903091060989</v>
      </c>
      <c r="AO127" s="58">
        <v>6.521435705013956</v>
      </c>
      <c r="AP127" s="58">
        <v>14.767292702491396</v>
      </c>
      <c r="AQ127" s="58">
        <v>17.484153090552844</v>
      </c>
      <c r="AR127" s="58">
        <v>22.587888206364791</v>
      </c>
      <c r="AS127" s="58">
        <v>8.8498479336871494</v>
      </c>
      <c r="AT127" s="58">
        <v>8.8498479336871494</v>
      </c>
      <c r="AU127" s="58">
        <v>8.8498479336871494</v>
      </c>
      <c r="AV127" s="58">
        <v>13.673551151704476</v>
      </c>
      <c r="AW127" s="58">
        <v>12.265000021531659</v>
      </c>
      <c r="AX127" s="58">
        <v>14.695506659731784</v>
      </c>
    </row>
    <row r="128" spans="1:50" ht="12.75">
      <c r="A128" s="1" t="s">
        <v>160</v>
      </c>
      <c r="B128" s="1" t="s">
        <v>109</v>
      </c>
      <c r="C128" s="2"/>
      <c r="D128" s="55" t="s">
        <v>110</v>
      </c>
      <c r="E128" s="58">
        <v>11.787812734886716</v>
      </c>
      <c r="F128" s="58">
        <v>11.787812734886716</v>
      </c>
      <c r="G128" s="58">
        <v>12.265000021531659</v>
      </c>
      <c r="H128" s="58">
        <v>12.265000021531659</v>
      </c>
      <c r="I128" s="58">
        <v>12.265000021531659</v>
      </c>
      <c r="J128" s="58">
        <v>8.8498479336871494</v>
      </c>
      <c r="K128" s="58">
        <v>7.915762164063711</v>
      </c>
      <c r="L128" s="58">
        <v>7.2111643289914928</v>
      </c>
      <c r="M128" s="58">
        <v>11.787812734886716</v>
      </c>
      <c r="N128" s="58">
        <v>6.6832165573253555</v>
      </c>
      <c r="O128" s="58">
        <v>12.265000021531659</v>
      </c>
      <c r="P128" s="58">
        <v>13.673551151704476</v>
      </c>
      <c r="Q128" s="58">
        <v>6.6832165573253555</v>
      </c>
      <c r="R128" s="58">
        <v>6.6832165573253555</v>
      </c>
      <c r="S128" s="58">
        <v>14.767292702491396</v>
      </c>
      <c r="T128" s="58">
        <v>6.6832165573253555</v>
      </c>
      <c r="U128" s="58">
        <v>6.6832165573253555</v>
      </c>
      <c r="V128" s="58">
        <v>6.6832165573253555</v>
      </c>
      <c r="W128" s="58">
        <v>6.6832165573253555</v>
      </c>
      <c r="X128" s="58">
        <v>0</v>
      </c>
      <c r="Y128" s="58">
        <v>0</v>
      </c>
      <c r="Z128" s="58">
        <v>0</v>
      </c>
      <c r="AA128" s="58">
        <v>8.8498479336871494</v>
      </c>
      <c r="AB128" s="58">
        <v>0</v>
      </c>
      <c r="AC128" s="58" t="s">
        <v>157</v>
      </c>
      <c r="AD128" s="58" t="s">
        <v>157</v>
      </c>
      <c r="AE128" s="58" t="s">
        <v>157</v>
      </c>
      <c r="AF128" s="58" t="s">
        <v>157</v>
      </c>
      <c r="AG128" s="58" t="s">
        <v>157</v>
      </c>
      <c r="AH128" s="58" t="s">
        <v>157</v>
      </c>
      <c r="AI128" s="58" t="s">
        <v>157</v>
      </c>
      <c r="AJ128" s="58">
        <v>8.8498479336871494</v>
      </c>
      <c r="AK128" s="58">
        <v>7.577903091060989</v>
      </c>
      <c r="AL128" s="58">
        <v>7.577903091060989</v>
      </c>
      <c r="AM128" s="58">
        <v>15.091032272634397</v>
      </c>
      <c r="AN128" s="58">
        <v>7.577903091060989</v>
      </c>
      <c r="AO128" s="58" t="s">
        <v>157</v>
      </c>
      <c r="AP128" s="58">
        <v>14.767292702491396</v>
      </c>
      <c r="AQ128" s="58">
        <v>17.484153090552844</v>
      </c>
      <c r="AR128" s="58">
        <v>22.587888206364791</v>
      </c>
      <c r="AS128" s="58">
        <v>8.8498479336871494</v>
      </c>
      <c r="AT128" s="58">
        <v>8.8498479336871494</v>
      </c>
      <c r="AU128" s="58">
        <v>8.8498479336871494</v>
      </c>
      <c r="AV128" s="58" t="s">
        <v>157</v>
      </c>
      <c r="AW128" s="58" t="s">
        <v>157</v>
      </c>
      <c r="AX128" s="58" t="s">
        <v>157</v>
      </c>
    </row>
    <row r="129" spans="1:50" ht="12.75">
      <c r="C129" s="2"/>
      <c r="D129" s="4" t="s">
        <v>192</v>
      </c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</row>
    <row r="130" spans="1:50" ht="12.75">
      <c r="A130" s="1" t="s">
        <v>162</v>
      </c>
      <c r="B130" s="1" t="s">
        <v>105</v>
      </c>
      <c r="C130" s="4"/>
      <c r="D130" s="55" t="s">
        <v>106</v>
      </c>
      <c r="E130" s="58">
        <v>8.5716029280840988</v>
      </c>
      <c r="F130" s="58">
        <v>8.5716029280840988</v>
      </c>
      <c r="G130" s="58">
        <v>5.5147000815339187</v>
      </c>
      <c r="H130" s="58">
        <v>5.5147000815339187</v>
      </c>
      <c r="I130" s="58">
        <v>5.5147000815339187</v>
      </c>
      <c r="J130" s="58">
        <v>10.239729617261318</v>
      </c>
      <c r="K130" s="58">
        <v>10.642623356049308</v>
      </c>
      <c r="L130" s="58">
        <v>10.773014917018497</v>
      </c>
      <c r="M130" s="58">
        <v>8.5716029280840988</v>
      </c>
      <c r="N130" s="58">
        <v>7.641756850851622</v>
      </c>
      <c r="O130" s="58">
        <v>5.5147000815339187</v>
      </c>
      <c r="P130" s="58">
        <v>7.1145750048616563</v>
      </c>
      <c r="Q130" s="58">
        <v>7.641756850851622</v>
      </c>
      <c r="R130" s="58">
        <v>7.641756850851622</v>
      </c>
      <c r="S130" s="58">
        <v>8.2672800516487843</v>
      </c>
      <c r="T130" s="58">
        <v>7.641756850851622</v>
      </c>
      <c r="U130" s="58">
        <v>7.641756850851622</v>
      </c>
      <c r="V130" s="58">
        <v>7.641756850851622</v>
      </c>
      <c r="W130" s="58">
        <v>7.641756850851622</v>
      </c>
      <c r="X130" s="58">
        <v>0</v>
      </c>
      <c r="Y130" s="58">
        <v>0</v>
      </c>
      <c r="Z130" s="58">
        <v>0</v>
      </c>
      <c r="AA130" s="58">
        <v>10.239729617261318</v>
      </c>
      <c r="AB130" s="58">
        <v>0</v>
      </c>
      <c r="AC130" s="58" t="s">
        <v>157</v>
      </c>
      <c r="AD130" s="58" t="s">
        <v>157</v>
      </c>
      <c r="AE130" s="58" t="s">
        <v>157</v>
      </c>
      <c r="AF130" s="58" t="s">
        <v>157</v>
      </c>
      <c r="AG130" s="58" t="s">
        <v>157</v>
      </c>
      <c r="AH130" s="58" t="s">
        <v>157</v>
      </c>
      <c r="AI130" s="58" t="s">
        <v>157</v>
      </c>
      <c r="AJ130" s="58" t="s">
        <v>157</v>
      </c>
      <c r="AK130" s="58" t="s">
        <v>157</v>
      </c>
      <c r="AL130" s="58" t="s">
        <v>157</v>
      </c>
      <c r="AM130" s="58" t="s">
        <v>157</v>
      </c>
      <c r="AN130" s="58" t="s">
        <v>157</v>
      </c>
      <c r="AO130" s="58" t="s">
        <v>157</v>
      </c>
      <c r="AP130" s="58" t="s">
        <v>157</v>
      </c>
      <c r="AQ130" s="58" t="s">
        <v>157</v>
      </c>
      <c r="AR130" s="58" t="s">
        <v>157</v>
      </c>
      <c r="AS130" s="58" t="s">
        <v>157</v>
      </c>
      <c r="AT130" s="58" t="s">
        <v>157</v>
      </c>
      <c r="AU130" s="58" t="s">
        <v>157</v>
      </c>
      <c r="AV130" s="58" t="s">
        <v>157</v>
      </c>
      <c r="AW130" s="58" t="s">
        <v>157</v>
      </c>
      <c r="AX130" s="58" t="s">
        <v>157</v>
      </c>
    </row>
    <row r="131" spans="1:50" ht="12.75">
      <c r="A131" s="1" t="s">
        <v>162</v>
      </c>
      <c r="B131" s="1" t="s">
        <v>109</v>
      </c>
      <c r="C131" s="4"/>
      <c r="D131" s="55" t="s">
        <v>110</v>
      </c>
      <c r="E131" s="58">
        <v>8.5716029280840988</v>
      </c>
      <c r="F131" s="58">
        <v>8.5716029280840988</v>
      </c>
      <c r="G131" s="58">
        <v>5.5147000815339187</v>
      </c>
      <c r="H131" s="58">
        <v>5.5147000815339187</v>
      </c>
      <c r="I131" s="58">
        <v>5.5147000815339187</v>
      </c>
      <c r="J131" s="58">
        <v>10.239729617261318</v>
      </c>
      <c r="K131" s="58">
        <v>10.642623356049308</v>
      </c>
      <c r="L131" s="58">
        <v>10.773014917018497</v>
      </c>
      <c r="M131" s="58">
        <v>8.5716029280840988</v>
      </c>
      <c r="N131" s="58">
        <v>7.641756850851622</v>
      </c>
      <c r="O131" s="58">
        <v>5.5147000815339187</v>
      </c>
      <c r="P131" s="58">
        <v>7.1145750048616563</v>
      </c>
      <c r="Q131" s="58">
        <v>7.641756850851622</v>
      </c>
      <c r="R131" s="58">
        <v>7.641756850851622</v>
      </c>
      <c r="S131" s="58">
        <v>8.2672800516487843</v>
      </c>
      <c r="T131" s="58">
        <v>7.641756850851622</v>
      </c>
      <c r="U131" s="58">
        <v>7.641756850851622</v>
      </c>
      <c r="V131" s="58">
        <v>7.641756850851622</v>
      </c>
      <c r="W131" s="58">
        <v>7.641756850851622</v>
      </c>
      <c r="X131" s="58">
        <v>0</v>
      </c>
      <c r="Y131" s="58">
        <v>0</v>
      </c>
      <c r="Z131" s="58">
        <v>0</v>
      </c>
      <c r="AA131" s="58">
        <v>10.239729617261318</v>
      </c>
      <c r="AB131" s="58">
        <v>0</v>
      </c>
      <c r="AC131" s="58" t="s">
        <v>157</v>
      </c>
      <c r="AD131" s="58" t="s">
        <v>157</v>
      </c>
      <c r="AE131" s="58" t="s">
        <v>157</v>
      </c>
      <c r="AF131" s="58" t="s">
        <v>157</v>
      </c>
      <c r="AG131" s="58" t="s">
        <v>157</v>
      </c>
      <c r="AH131" s="58" t="s">
        <v>157</v>
      </c>
      <c r="AI131" s="58" t="s">
        <v>157</v>
      </c>
      <c r="AJ131" s="58" t="s">
        <v>157</v>
      </c>
      <c r="AK131" s="58" t="s">
        <v>157</v>
      </c>
      <c r="AL131" s="58" t="s">
        <v>157</v>
      </c>
      <c r="AM131" s="58" t="s">
        <v>157</v>
      </c>
      <c r="AN131" s="58" t="s">
        <v>157</v>
      </c>
      <c r="AO131" s="58" t="s">
        <v>157</v>
      </c>
      <c r="AP131" s="58" t="s">
        <v>157</v>
      </c>
      <c r="AQ131" s="58" t="s">
        <v>157</v>
      </c>
      <c r="AR131" s="58" t="s">
        <v>157</v>
      </c>
      <c r="AS131" s="58" t="s">
        <v>157</v>
      </c>
      <c r="AT131" s="58" t="s">
        <v>157</v>
      </c>
      <c r="AU131" s="58" t="s">
        <v>157</v>
      </c>
      <c r="AV131" s="58" t="s">
        <v>157</v>
      </c>
      <c r="AW131" s="58" t="s">
        <v>157</v>
      </c>
      <c r="AX131" s="58" t="s">
        <v>157</v>
      </c>
    </row>
    <row r="132" spans="1:50" ht="12.75">
      <c r="C132" s="4"/>
      <c r="D132" s="4" t="s">
        <v>193</v>
      </c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</row>
    <row r="133" spans="1:50" ht="12.75">
      <c r="A133" s="1" t="s">
        <v>164</v>
      </c>
      <c r="B133" s="1" t="s">
        <v>105</v>
      </c>
      <c r="C133" s="4"/>
      <c r="D133" s="55" t="s">
        <v>106</v>
      </c>
      <c r="E133" s="58">
        <v>10.926835717921746</v>
      </c>
      <c r="F133" s="58">
        <v>10.926835717921746</v>
      </c>
      <c r="G133" s="58">
        <v>10.753081070006921</v>
      </c>
      <c r="H133" s="58">
        <v>10.753081070006921</v>
      </c>
      <c r="I133" s="58">
        <v>10.753081070006921</v>
      </c>
      <c r="J133" s="58">
        <v>9.7968083643117154</v>
      </c>
      <c r="K133" s="58">
        <v>9.3544266612246787</v>
      </c>
      <c r="L133" s="58">
        <v>9.6439554253791027</v>
      </c>
      <c r="M133" s="58">
        <v>10.926835717921746</v>
      </c>
      <c r="N133" s="58">
        <v>8.1880814673962021</v>
      </c>
      <c r="O133" s="58">
        <v>10.753081070006921</v>
      </c>
      <c r="P133" s="58">
        <v>11.395465179258757</v>
      </c>
      <c r="Q133" s="58">
        <v>8.1880814673962021</v>
      </c>
      <c r="R133" s="58">
        <v>8.1880814673962021</v>
      </c>
      <c r="S133" s="58">
        <v>12.262712775050243</v>
      </c>
      <c r="T133" s="58">
        <v>8.1880814673962021</v>
      </c>
      <c r="U133" s="58">
        <v>8.1880814673962021</v>
      </c>
      <c r="V133" s="58">
        <v>8.1880814673962021</v>
      </c>
      <c r="W133" s="58">
        <v>8.1880814673962021</v>
      </c>
      <c r="X133" s="58">
        <v>0</v>
      </c>
      <c r="Y133" s="58">
        <v>0</v>
      </c>
      <c r="Z133" s="58">
        <v>0</v>
      </c>
      <c r="AA133" s="58" t="s">
        <v>157</v>
      </c>
      <c r="AB133" s="58">
        <v>0</v>
      </c>
      <c r="AC133" s="58" t="s">
        <v>157</v>
      </c>
      <c r="AD133" s="58" t="s">
        <v>157</v>
      </c>
      <c r="AE133" s="58" t="s">
        <v>157</v>
      </c>
      <c r="AF133" s="58" t="s">
        <v>157</v>
      </c>
      <c r="AG133" s="58" t="s">
        <v>157</v>
      </c>
      <c r="AH133" s="58" t="s">
        <v>157</v>
      </c>
      <c r="AI133" s="58" t="s">
        <v>157</v>
      </c>
      <c r="AJ133" s="58" t="s">
        <v>157</v>
      </c>
      <c r="AK133" s="58" t="s">
        <v>157</v>
      </c>
      <c r="AL133" s="58" t="s">
        <v>157</v>
      </c>
      <c r="AM133" s="58" t="s">
        <v>157</v>
      </c>
      <c r="AN133" s="58" t="s">
        <v>157</v>
      </c>
      <c r="AO133" s="58" t="s">
        <v>157</v>
      </c>
      <c r="AP133" s="58" t="s">
        <v>157</v>
      </c>
      <c r="AQ133" s="58" t="s">
        <v>157</v>
      </c>
      <c r="AR133" s="58" t="s">
        <v>157</v>
      </c>
      <c r="AS133" s="58" t="s">
        <v>157</v>
      </c>
      <c r="AT133" s="58" t="s">
        <v>157</v>
      </c>
      <c r="AU133" s="58" t="s">
        <v>157</v>
      </c>
      <c r="AV133" s="58" t="s">
        <v>157</v>
      </c>
      <c r="AW133" s="58" t="s">
        <v>157</v>
      </c>
      <c r="AX133" s="58" t="s">
        <v>157</v>
      </c>
    </row>
    <row r="134" spans="1:50" ht="12.75">
      <c r="A134" s="1" t="s">
        <v>164</v>
      </c>
      <c r="B134" s="1" t="s">
        <v>109</v>
      </c>
      <c r="C134" s="4"/>
      <c r="D134" s="55" t="s">
        <v>110</v>
      </c>
      <c r="E134" s="58" t="s">
        <v>157</v>
      </c>
      <c r="F134" s="58" t="s">
        <v>157</v>
      </c>
      <c r="G134" s="58" t="s">
        <v>157</v>
      </c>
      <c r="H134" s="58" t="s">
        <v>157</v>
      </c>
      <c r="I134" s="58" t="s">
        <v>157</v>
      </c>
      <c r="J134" s="58" t="s">
        <v>157</v>
      </c>
      <c r="K134" s="58" t="s">
        <v>157</v>
      </c>
      <c r="L134" s="58" t="s">
        <v>157</v>
      </c>
      <c r="M134" s="58" t="s">
        <v>157</v>
      </c>
      <c r="N134" s="58" t="s">
        <v>157</v>
      </c>
      <c r="O134" s="58" t="s">
        <v>157</v>
      </c>
      <c r="P134" s="58" t="s">
        <v>157</v>
      </c>
      <c r="Q134" s="58" t="s">
        <v>157</v>
      </c>
      <c r="R134" s="58" t="s">
        <v>157</v>
      </c>
      <c r="S134" s="58" t="s">
        <v>157</v>
      </c>
      <c r="T134" s="58" t="s">
        <v>157</v>
      </c>
      <c r="U134" s="58" t="s">
        <v>157</v>
      </c>
      <c r="V134" s="58" t="s">
        <v>157</v>
      </c>
      <c r="W134" s="58" t="s">
        <v>157</v>
      </c>
      <c r="X134" s="58">
        <v>0</v>
      </c>
      <c r="Y134" s="58">
        <v>0</v>
      </c>
      <c r="Z134" s="58">
        <v>0</v>
      </c>
      <c r="AA134" s="58" t="s">
        <v>157</v>
      </c>
      <c r="AB134" s="58">
        <v>0</v>
      </c>
      <c r="AC134" s="58" t="s">
        <v>157</v>
      </c>
      <c r="AD134" s="58" t="s">
        <v>157</v>
      </c>
      <c r="AE134" s="58" t="s">
        <v>157</v>
      </c>
      <c r="AF134" s="58" t="s">
        <v>157</v>
      </c>
      <c r="AG134" s="58" t="s">
        <v>157</v>
      </c>
      <c r="AH134" s="58" t="s">
        <v>157</v>
      </c>
      <c r="AI134" s="58" t="s">
        <v>157</v>
      </c>
      <c r="AJ134" s="58" t="s">
        <v>157</v>
      </c>
      <c r="AK134" s="58" t="s">
        <v>157</v>
      </c>
      <c r="AL134" s="58" t="s">
        <v>157</v>
      </c>
      <c r="AM134" s="58" t="s">
        <v>157</v>
      </c>
      <c r="AN134" s="58" t="s">
        <v>157</v>
      </c>
      <c r="AO134" s="58" t="s">
        <v>157</v>
      </c>
      <c r="AP134" s="58" t="s">
        <v>157</v>
      </c>
      <c r="AQ134" s="58" t="s">
        <v>157</v>
      </c>
      <c r="AR134" s="58" t="s">
        <v>157</v>
      </c>
      <c r="AS134" s="58" t="s">
        <v>157</v>
      </c>
      <c r="AT134" s="58" t="s">
        <v>157</v>
      </c>
      <c r="AU134" s="58" t="s">
        <v>157</v>
      </c>
      <c r="AV134" s="58" t="s">
        <v>157</v>
      </c>
      <c r="AW134" s="58" t="s">
        <v>157</v>
      </c>
      <c r="AX134" s="58" t="s">
        <v>157</v>
      </c>
    </row>
    <row r="135" spans="1:50" ht="12.75">
      <c r="C135" s="4"/>
      <c r="D135" s="4" t="s">
        <v>194</v>
      </c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</row>
    <row r="136" spans="1:50" ht="12.75">
      <c r="A136" s="1" t="s">
        <v>166</v>
      </c>
      <c r="B136" s="1" t="s">
        <v>105</v>
      </c>
      <c r="C136" s="4"/>
      <c r="D136" s="55" t="s">
        <v>106</v>
      </c>
      <c r="E136" s="58" t="s">
        <v>157</v>
      </c>
      <c r="F136" s="58" t="s">
        <v>157</v>
      </c>
      <c r="G136" s="58">
        <v>11.26694866103286</v>
      </c>
      <c r="H136" s="58">
        <v>8.7134724108041119</v>
      </c>
      <c r="I136" s="58">
        <v>11.487698174621318</v>
      </c>
      <c r="J136" s="58" t="s">
        <v>157</v>
      </c>
      <c r="K136" s="58" t="s">
        <v>157</v>
      </c>
      <c r="L136" s="58" t="s">
        <v>157</v>
      </c>
      <c r="M136" s="58" t="s">
        <v>157</v>
      </c>
      <c r="N136" s="58" t="s">
        <v>157</v>
      </c>
      <c r="O136" s="58">
        <v>16.54576526166387</v>
      </c>
      <c r="P136" s="58">
        <v>16.275688616086793</v>
      </c>
      <c r="Q136" s="58">
        <v>6.8714199256314057</v>
      </c>
      <c r="R136" s="58">
        <v>7.5139617020743898</v>
      </c>
      <c r="S136" s="58">
        <v>8.6716303366449754</v>
      </c>
      <c r="T136" s="58">
        <v>7.577789601352003</v>
      </c>
      <c r="U136" s="58">
        <v>7.5768713671885424</v>
      </c>
      <c r="V136" s="58">
        <v>7.5760354038233224</v>
      </c>
      <c r="W136" s="58">
        <v>7.5903498047079632</v>
      </c>
      <c r="X136" s="58">
        <v>0</v>
      </c>
      <c r="Y136" s="58">
        <v>0</v>
      </c>
      <c r="Z136" s="58">
        <v>0</v>
      </c>
      <c r="AA136" s="58">
        <v>11.044822929174858</v>
      </c>
      <c r="AB136" s="58">
        <v>0</v>
      </c>
      <c r="AC136" s="58" t="s">
        <v>157</v>
      </c>
      <c r="AD136" s="58" t="s">
        <v>157</v>
      </c>
      <c r="AE136" s="58" t="s">
        <v>157</v>
      </c>
      <c r="AF136" s="58" t="s">
        <v>157</v>
      </c>
      <c r="AG136" s="58" t="s">
        <v>157</v>
      </c>
      <c r="AH136" s="58" t="s">
        <v>157</v>
      </c>
      <c r="AI136" s="58" t="s">
        <v>157</v>
      </c>
      <c r="AJ136" s="58">
        <v>10.223686570098156</v>
      </c>
      <c r="AK136" s="58">
        <v>8.8528589483741769</v>
      </c>
      <c r="AL136" s="58">
        <v>8.7443350603035661</v>
      </c>
      <c r="AM136" s="58">
        <v>7.3528724677770718</v>
      </c>
      <c r="AN136" s="58">
        <v>8.6407693048258682</v>
      </c>
      <c r="AO136" s="58">
        <v>9.6095822396474073</v>
      </c>
      <c r="AP136" s="58">
        <v>5.6675201953729548</v>
      </c>
      <c r="AQ136" s="58">
        <v>13.602401450006774</v>
      </c>
      <c r="AR136" s="58">
        <v>11.259606643283693</v>
      </c>
      <c r="AS136" s="58">
        <v>9.8844098116972248</v>
      </c>
      <c r="AT136" s="58">
        <v>9.7787874080608397</v>
      </c>
      <c r="AU136" s="58">
        <v>10.4512226877846</v>
      </c>
      <c r="AV136" s="58">
        <v>12.526540107242168</v>
      </c>
      <c r="AW136" s="58">
        <v>10.267670691263952</v>
      </c>
      <c r="AX136" s="58">
        <v>20.606999524095993</v>
      </c>
    </row>
    <row r="137" spans="1:50" ht="12.75">
      <c r="A137" s="1" t="s">
        <v>166</v>
      </c>
      <c r="B137" s="1" t="s">
        <v>109</v>
      </c>
      <c r="C137" s="4"/>
      <c r="D137" s="55" t="s">
        <v>110</v>
      </c>
      <c r="E137" s="58">
        <v>11.623653843331883</v>
      </c>
      <c r="F137" s="58">
        <v>10.555615259337547</v>
      </c>
      <c r="G137" s="58">
        <v>10.220215937058796</v>
      </c>
      <c r="H137" s="58">
        <v>10.220215937058796</v>
      </c>
      <c r="I137" s="58">
        <v>10.220215937058796</v>
      </c>
      <c r="J137" s="58">
        <v>9.6825142419377119</v>
      </c>
      <c r="K137" s="58">
        <v>9.3336655441216276</v>
      </c>
      <c r="L137" s="58">
        <v>9.4489091224745358</v>
      </c>
      <c r="M137" s="58">
        <v>10.613932660204984</v>
      </c>
      <c r="N137" s="58">
        <v>8.2020156764098129</v>
      </c>
      <c r="O137" s="58">
        <v>10.220215937058796</v>
      </c>
      <c r="P137" s="58">
        <v>10.891862004228848</v>
      </c>
      <c r="Q137" s="58">
        <v>8.2019216722164714</v>
      </c>
      <c r="R137" s="58">
        <v>8.2019481866757005</v>
      </c>
      <c r="S137" s="58">
        <v>11.484079477496657</v>
      </c>
      <c r="T137" s="58">
        <v>8.2088303728639733</v>
      </c>
      <c r="U137" s="58">
        <v>8.2019216722164714</v>
      </c>
      <c r="V137" s="58">
        <v>8.1820754950680197</v>
      </c>
      <c r="W137" s="58">
        <v>8.2093903568679174</v>
      </c>
      <c r="X137" s="58">
        <v>0</v>
      </c>
      <c r="Y137" s="58">
        <v>0</v>
      </c>
      <c r="Z137" s="58">
        <v>0</v>
      </c>
      <c r="AA137" s="58">
        <v>11.044822929174858</v>
      </c>
      <c r="AB137" s="58">
        <v>0</v>
      </c>
      <c r="AC137" s="58" t="s">
        <v>157</v>
      </c>
      <c r="AD137" s="58" t="s">
        <v>157</v>
      </c>
      <c r="AE137" s="58" t="s">
        <v>157</v>
      </c>
      <c r="AF137" s="58" t="s">
        <v>157</v>
      </c>
      <c r="AG137" s="58" t="s">
        <v>157</v>
      </c>
      <c r="AH137" s="58" t="s">
        <v>157</v>
      </c>
      <c r="AI137" s="58" t="s">
        <v>157</v>
      </c>
      <c r="AJ137" s="58">
        <v>10.223686570098156</v>
      </c>
      <c r="AK137" s="58">
        <v>8.8528589483741769</v>
      </c>
      <c r="AL137" s="58">
        <v>8.7443350603035661</v>
      </c>
      <c r="AM137" s="58">
        <v>7.3528724677770718</v>
      </c>
      <c r="AN137" s="58">
        <v>8.6407693048258682</v>
      </c>
      <c r="AO137" s="58" t="s">
        <v>157</v>
      </c>
      <c r="AP137" s="58">
        <v>5.6675201953729548</v>
      </c>
      <c r="AQ137" s="58">
        <v>13.602401450006774</v>
      </c>
      <c r="AR137" s="58">
        <v>11.259606643283693</v>
      </c>
      <c r="AS137" s="58">
        <v>9.8844098116972248</v>
      </c>
      <c r="AT137" s="58">
        <v>9.7787874080608397</v>
      </c>
      <c r="AU137" s="58">
        <v>10.4512226877846</v>
      </c>
      <c r="AV137" s="58" t="s">
        <v>157</v>
      </c>
      <c r="AW137" s="58" t="s">
        <v>157</v>
      </c>
      <c r="AX137" s="58" t="s">
        <v>157</v>
      </c>
    </row>
    <row r="138" spans="1:50" ht="12.75">
      <c r="C138" s="4"/>
      <c r="D138" s="55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48"/>
      <c r="AE138" s="48"/>
      <c r="AF138" s="48"/>
      <c r="AG138" s="4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</row>
    <row r="139" spans="1:50" ht="12.75">
      <c r="C139" s="2">
        <v>8</v>
      </c>
      <c r="D139" s="2" t="s">
        <v>195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0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</row>
    <row r="140" spans="1:50" s="21" customFormat="1" ht="12.75">
      <c r="A140" s="20"/>
      <c r="B140" s="20"/>
      <c r="C140" s="2">
        <v>9</v>
      </c>
      <c r="D140" s="2" t="s">
        <v>196</v>
      </c>
      <c r="E140" s="52">
        <v>7.4051200000000003E-4</v>
      </c>
      <c r="F140" s="74">
        <v>5.2892931374999997E-3</v>
      </c>
      <c r="G140" s="52">
        <v>3.7247667875000014E-3</v>
      </c>
      <c r="H140" s="52">
        <v>4.7116530145999988E-3</v>
      </c>
      <c r="I140" s="52">
        <v>2.350979E-3</v>
      </c>
      <c r="J140" s="52">
        <v>6.5898901870000001E-4</v>
      </c>
      <c r="K140" s="52">
        <v>9.5458000000000007E-5</v>
      </c>
      <c r="L140" s="52">
        <v>4.7999399999999997E-4</v>
      </c>
      <c r="M140" s="52">
        <v>1.1233900000000001E-4</v>
      </c>
      <c r="N140" s="74">
        <v>1.7195507999999998E-2</v>
      </c>
      <c r="O140" s="52">
        <v>8.9745999999999991E-5</v>
      </c>
      <c r="P140" s="52">
        <v>2.2110000000000001E-4</v>
      </c>
      <c r="Q140" s="74">
        <v>1.2725293E-2</v>
      </c>
      <c r="R140" s="52">
        <v>2.2644899999999999E-4</v>
      </c>
      <c r="S140" s="52">
        <v>9.0269034310000006E-4</v>
      </c>
      <c r="T140" s="52">
        <v>8.5243999999999999E-5</v>
      </c>
      <c r="U140" s="75">
        <v>0</v>
      </c>
      <c r="V140" s="75">
        <v>0</v>
      </c>
      <c r="W140" s="52">
        <v>1.6844E-5</v>
      </c>
      <c r="X140" s="75">
        <v>0</v>
      </c>
      <c r="Y140" s="75">
        <v>0</v>
      </c>
      <c r="Z140" s="75">
        <v>0</v>
      </c>
      <c r="AA140" s="75">
        <v>1.9443999999999999E-5</v>
      </c>
      <c r="AB140" s="75">
        <v>0</v>
      </c>
      <c r="AC140" s="75">
        <v>0</v>
      </c>
      <c r="AD140" s="75">
        <v>0</v>
      </c>
      <c r="AE140" s="75">
        <v>0</v>
      </c>
      <c r="AF140" s="75">
        <v>0</v>
      </c>
      <c r="AG140" s="75">
        <v>0</v>
      </c>
      <c r="AH140" s="75">
        <v>0</v>
      </c>
      <c r="AI140" s="75">
        <v>2.2164E-4</v>
      </c>
      <c r="AJ140" s="75">
        <v>5.3658000000000007E-5</v>
      </c>
      <c r="AK140" s="75">
        <v>0</v>
      </c>
      <c r="AL140" s="75">
        <v>0</v>
      </c>
      <c r="AM140" s="75">
        <v>0</v>
      </c>
      <c r="AN140" s="75">
        <v>0</v>
      </c>
      <c r="AO140" s="75">
        <v>0</v>
      </c>
      <c r="AP140" s="52">
        <v>6.7920000000000004E-6</v>
      </c>
      <c r="AQ140" s="52">
        <v>4.5791359550999963E-3</v>
      </c>
      <c r="AR140" s="52">
        <v>1.5932883848E-3</v>
      </c>
      <c r="AS140" s="52">
        <v>2.7469499999999998E-4</v>
      </c>
      <c r="AT140" s="52">
        <v>4.8053800000000003E-4</v>
      </c>
      <c r="AU140" s="52">
        <v>2.3685399999999999E-4</v>
      </c>
      <c r="AV140" s="75">
        <v>0</v>
      </c>
      <c r="AW140" s="75">
        <v>0</v>
      </c>
      <c r="AX140" s="52">
        <v>3.292E-6</v>
      </c>
    </row>
    <row r="141" spans="1:50" ht="12.75">
      <c r="C141" s="2">
        <v>10</v>
      </c>
      <c r="D141" s="2" t="s">
        <v>197</v>
      </c>
      <c r="E141" s="37">
        <v>2.7267058500000001</v>
      </c>
      <c r="F141" s="37">
        <v>3.4390143450000004</v>
      </c>
      <c r="G141" s="37">
        <v>0</v>
      </c>
      <c r="H141" s="37">
        <v>3.0295716000000001</v>
      </c>
      <c r="I141" s="37">
        <v>5.6474026930000001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2.2206271E-2</v>
      </c>
      <c r="P141" s="37">
        <f>1032371.87/10000000</f>
        <v>0.10323718699999999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6.6442300999999995E-2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5.8814044490000006</v>
      </c>
      <c r="AR141" s="37">
        <v>0.93117805199999992</v>
      </c>
      <c r="AS141" s="37">
        <v>0.15532531399999999</v>
      </c>
      <c r="AT141" s="37">
        <v>9.9016959000000002E-2</v>
      </c>
      <c r="AU141" s="37">
        <v>8.3883603000000001E-2</v>
      </c>
      <c r="AV141" s="37">
        <f>4344376/10000000</f>
        <v>0.43443759999999998</v>
      </c>
      <c r="AW141" s="37">
        <f>4276240/10000000</f>
        <v>0.427624</v>
      </c>
      <c r="AX141" s="37">
        <v>0</v>
      </c>
    </row>
    <row r="142" spans="1:50" s="2" customFormat="1" ht="12.75">
      <c r="A142" s="76"/>
      <c r="B142" s="76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26"/>
      <c r="O142" s="52"/>
      <c r="P142" s="52"/>
      <c r="Q142" s="52"/>
      <c r="R142" s="26"/>
      <c r="S142" s="52"/>
      <c r="T142" s="52"/>
      <c r="U142" s="26"/>
      <c r="V142" s="26"/>
      <c r="W142" s="52"/>
      <c r="X142" s="26"/>
      <c r="Y142" s="52"/>
      <c r="Z142" s="26"/>
      <c r="AA142" s="52"/>
      <c r="AB142" s="26"/>
      <c r="AC142" s="26"/>
      <c r="AD142" s="26"/>
      <c r="AE142" s="26"/>
      <c r="AF142" s="26"/>
      <c r="AG142" s="26"/>
      <c r="AH142" s="26"/>
      <c r="AI142" s="26"/>
      <c r="AJ142" s="52"/>
      <c r="AK142" s="26"/>
      <c r="AL142" s="26"/>
      <c r="AM142" s="52"/>
      <c r="AN142" s="26"/>
      <c r="AO142" s="26"/>
      <c r="AP142" s="52"/>
      <c r="AQ142" s="26"/>
      <c r="AR142" s="52"/>
      <c r="AS142" s="52"/>
      <c r="AT142" s="52"/>
      <c r="AU142" s="52"/>
      <c r="AV142" s="52"/>
      <c r="AW142" s="52"/>
      <c r="AX142" s="52"/>
    </row>
    <row r="143" spans="1:50" s="2" customFormat="1" ht="12.75">
      <c r="A143" s="76"/>
      <c r="B143" s="76"/>
      <c r="C143" s="2" t="s">
        <v>198</v>
      </c>
      <c r="D143" s="2" t="s">
        <v>199</v>
      </c>
      <c r="E143" s="52"/>
      <c r="F143" s="4"/>
      <c r="G143" s="4"/>
      <c r="H143" s="4"/>
      <c r="I143" s="4"/>
      <c r="J143" s="4"/>
      <c r="K143" s="4"/>
      <c r="L143" s="4"/>
    </row>
    <row r="144" spans="1:50" s="2" customFormat="1" ht="12.75">
      <c r="A144" s="76"/>
      <c r="B144" s="76"/>
      <c r="C144" s="77" t="s">
        <v>200</v>
      </c>
      <c r="D144" s="2" t="s">
        <v>201</v>
      </c>
      <c r="E144" s="4"/>
      <c r="F144" s="4"/>
      <c r="G144" s="4"/>
      <c r="H144" s="4"/>
      <c r="I144" s="4"/>
      <c r="J144" s="4"/>
      <c r="K144" s="4"/>
      <c r="L144" s="4"/>
    </row>
    <row r="145" spans="1:50" s="2" customFormat="1" ht="12.75">
      <c r="A145" s="76"/>
      <c r="B145" s="76"/>
      <c r="C145" s="7"/>
      <c r="D145" s="25"/>
      <c r="E145" s="4"/>
      <c r="F145" s="4"/>
      <c r="G145" s="4"/>
      <c r="H145" s="4"/>
      <c r="I145" s="4"/>
      <c r="J145" s="4"/>
      <c r="K145" s="4"/>
      <c r="L145" s="4"/>
    </row>
    <row r="146" spans="1:50" ht="12.75">
      <c r="D146" s="25"/>
      <c r="E146" s="4"/>
      <c r="F146" s="4"/>
      <c r="G146" s="4"/>
      <c r="H146" s="4"/>
      <c r="I146" s="4"/>
      <c r="J146" s="4"/>
      <c r="K146" s="4"/>
      <c r="L146" s="4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AB146" s="2"/>
      <c r="AC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</row>
    <row r="147" spans="1:50" ht="12.95" customHeight="1">
      <c r="C147" s="351" t="s">
        <v>202</v>
      </c>
      <c r="D147" s="351"/>
      <c r="E147" s="4"/>
      <c r="F147" s="4"/>
      <c r="G147" s="4"/>
      <c r="H147" s="4"/>
      <c r="I147" s="4"/>
      <c r="J147" s="4"/>
      <c r="K147" s="4"/>
      <c r="L147" s="4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AB147" s="2"/>
      <c r="AC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</row>
    <row r="148" spans="1:50" ht="12.75" hidden="1">
      <c r="C148" s="2"/>
      <c r="D148" s="2"/>
      <c r="E148" s="4"/>
      <c r="F148" s="4"/>
      <c r="G148" s="4"/>
      <c r="H148" s="4"/>
      <c r="I148" s="4"/>
      <c r="J148" s="4"/>
      <c r="K148" s="4"/>
      <c r="L148" s="4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AB148" s="2"/>
      <c r="AC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</row>
    <row r="149" spans="1:50" ht="12.75" hidden="1">
      <c r="C149" s="2"/>
      <c r="D149" s="2"/>
      <c r="E149" s="4"/>
      <c r="F149" s="4"/>
      <c r="G149" s="4"/>
      <c r="H149" s="4"/>
      <c r="I149" s="4"/>
      <c r="J149" s="4"/>
      <c r="K149" s="4"/>
      <c r="L149" s="4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AB149" s="2"/>
      <c r="AC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</row>
    <row r="150" spans="1:50" ht="12.75" hidden="1">
      <c r="C150" s="2"/>
      <c r="D150" s="2" t="s">
        <v>203</v>
      </c>
      <c r="E150" s="2">
        <v>2321731701.1178141</v>
      </c>
      <c r="F150" s="2">
        <v>1624525418.0491257</v>
      </c>
      <c r="G150" s="2">
        <v>3465844197.1031699</v>
      </c>
      <c r="H150" s="2">
        <v>2338204891.8186331</v>
      </c>
      <c r="I150" s="2">
        <v>1105832822.3515301</v>
      </c>
      <c r="J150" s="2">
        <v>1144526871.2226229</v>
      </c>
      <c r="K150" s="2">
        <v>5223932716.3266687</v>
      </c>
      <c r="L150" s="2">
        <v>1049803976.0167756</v>
      </c>
      <c r="M150" s="2">
        <v>242341457.64229503</v>
      </c>
      <c r="N150" s="2">
        <v>149232437912.96927</v>
      </c>
      <c r="O150" s="2">
        <v>151980445.84693992</v>
      </c>
      <c r="P150" s="2">
        <v>206029611.6203278</v>
      </c>
      <c r="Q150" s="2">
        <v>35177016253.852417</v>
      </c>
      <c r="R150" s="2">
        <v>4246503464.829669</v>
      </c>
      <c r="S150" s="2">
        <v>651944069.20016396</v>
      </c>
      <c r="T150" s="2">
        <v>50177391.200382523</v>
      </c>
      <c r="U150" s="2">
        <v>172394660.56300548</v>
      </c>
      <c r="V150" s="2">
        <v>85257158.718633875</v>
      </c>
      <c r="W150" s="2">
        <v>84076799.034863338</v>
      </c>
      <c r="X150" s="2" t="e">
        <v>#N/A</v>
      </c>
      <c r="Y150" s="2" t="e">
        <v>#N/A</v>
      </c>
      <c r="Z150" s="2" t="e">
        <v>#N/A</v>
      </c>
      <c r="AA150" s="2">
        <v>189420473.82147539</v>
      </c>
      <c r="AB150" s="2" t="e">
        <v>#N/A</v>
      </c>
      <c r="AC150" s="2">
        <v>411658490.78855073</v>
      </c>
      <c r="AD150" s="2">
        <v>241150241.91962969</v>
      </c>
      <c r="AE150" s="2">
        <v>118203559.09876709</v>
      </c>
      <c r="AF150" s="2">
        <v>687361739.93397713</v>
      </c>
      <c r="AG150" s="2">
        <v>1008448630.6017596</v>
      </c>
      <c r="AH150" s="2">
        <v>455311661.07548201</v>
      </c>
      <c r="AI150" s="2">
        <v>609971326.93115175</v>
      </c>
      <c r="AJ150" s="2">
        <v>388304009.3826775</v>
      </c>
      <c r="AK150" s="2">
        <v>885460440.58158481</v>
      </c>
      <c r="AL150" s="2">
        <v>810296691.32054591</v>
      </c>
      <c r="AM150" s="2">
        <v>366944554.13540989</v>
      </c>
      <c r="AN150" s="2">
        <v>266617155.213552</v>
      </c>
      <c r="AO150" s="2">
        <v>788579498.77251363</v>
      </c>
      <c r="AP150" s="2">
        <v>353422451.71327877</v>
      </c>
      <c r="AQ150" s="2">
        <v>1657168920.3331685</v>
      </c>
      <c r="AR150" s="2">
        <v>737754469.04644811</v>
      </c>
      <c r="AS150" s="2">
        <v>506766333.55125678</v>
      </c>
      <c r="AT150" s="2">
        <v>317961108.71677601</v>
      </c>
      <c r="AU150" s="2">
        <v>239158401.5236066</v>
      </c>
      <c r="AV150" s="2">
        <v>4156463282.8843699</v>
      </c>
      <c r="AW150" s="2">
        <v>3060071155.8730063</v>
      </c>
      <c r="AX150" s="2">
        <v>2697075489.8696175</v>
      </c>
    </row>
    <row r="151" spans="1:50" ht="12.75" hidden="1">
      <c r="C151" s="2"/>
      <c r="D151" s="2" t="s">
        <v>204</v>
      </c>
      <c r="E151" s="25">
        <v>232.17317011178142</v>
      </c>
      <c r="F151" s="25">
        <v>162.45254180491256</v>
      </c>
      <c r="G151" s="25">
        <v>346.58441971031698</v>
      </c>
      <c r="H151" s="25">
        <v>233.82048918186331</v>
      </c>
      <c r="I151" s="25">
        <v>110.58328223515301</v>
      </c>
      <c r="J151" s="25">
        <v>114.45268712226229</v>
      </c>
      <c r="K151" s="25">
        <v>522.39327163266682</v>
      </c>
      <c r="L151" s="25">
        <v>104.98039760167757</v>
      </c>
      <c r="M151" s="25">
        <v>24.234145764229503</v>
      </c>
      <c r="N151" s="25">
        <v>14923.243791296927</v>
      </c>
      <c r="O151" s="25">
        <v>15.198044584693992</v>
      </c>
      <c r="P151" s="25">
        <v>20.602961162032781</v>
      </c>
      <c r="Q151" s="25">
        <v>3517.7016253852416</v>
      </c>
      <c r="R151" s="25">
        <v>424.65034648296688</v>
      </c>
      <c r="S151" s="25">
        <v>65.194406920016391</v>
      </c>
      <c r="T151" s="25">
        <v>5.017739120038252</v>
      </c>
      <c r="U151" s="25">
        <v>17.239466056300547</v>
      </c>
      <c r="V151" s="25">
        <v>8.5257158718633868</v>
      </c>
      <c r="W151" s="25">
        <v>8.4076799034863345</v>
      </c>
      <c r="X151" s="25" t="e">
        <v>#N/A</v>
      </c>
      <c r="Y151" s="25" t="e">
        <v>#N/A</v>
      </c>
      <c r="Z151" s="25" t="e">
        <v>#N/A</v>
      </c>
      <c r="AA151" s="25">
        <v>18.942047382147539</v>
      </c>
      <c r="AB151" s="25" t="e">
        <v>#N/A</v>
      </c>
      <c r="AC151" s="25">
        <v>41.165849078855075</v>
      </c>
      <c r="AD151" s="25">
        <v>24.11502419196297</v>
      </c>
      <c r="AE151" s="25">
        <v>11.820355909876708</v>
      </c>
      <c r="AF151" s="25">
        <v>68.736173993397713</v>
      </c>
      <c r="AG151" s="25">
        <v>100.84486306017595</v>
      </c>
      <c r="AH151" s="25">
        <v>45.531166107548202</v>
      </c>
      <c r="AI151" s="25">
        <v>60.997132693115176</v>
      </c>
      <c r="AJ151" s="25">
        <v>38.830400938267751</v>
      </c>
      <c r="AK151" s="25">
        <v>88.546044058158486</v>
      </c>
      <c r="AL151" s="25">
        <v>81.029669132054593</v>
      </c>
      <c r="AM151" s="25">
        <v>36.694455413540986</v>
      </c>
      <c r="AN151" s="25">
        <v>26.661715521355198</v>
      </c>
      <c r="AO151" s="25">
        <v>78.857949877251357</v>
      </c>
      <c r="AP151" s="25">
        <v>35.342245171327875</v>
      </c>
      <c r="AQ151" s="25">
        <v>165.71689203331684</v>
      </c>
      <c r="AR151" s="25">
        <v>73.775446904644809</v>
      </c>
      <c r="AS151" s="25">
        <v>50.676633355125681</v>
      </c>
      <c r="AT151" s="25">
        <v>31.796110871677602</v>
      </c>
      <c r="AU151" s="25">
        <v>23.915840152360659</v>
      </c>
      <c r="AV151" s="25">
        <v>415.64632828843696</v>
      </c>
      <c r="AW151" s="25">
        <v>306.00711558730063</v>
      </c>
      <c r="AX151" s="25">
        <v>269.70754898696174</v>
      </c>
    </row>
    <row r="152" spans="1:50" ht="12.75" hidden="1">
      <c r="C152" s="2"/>
      <c r="D152" s="2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AB152" s="4"/>
      <c r="AC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</row>
    <row r="153" spans="1:50" ht="12.75" hidden="1">
      <c r="C153" s="2"/>
      <c r="D153" s="2" t="s">
        <v>205</v>
      </c>
      <c r="E153" s="78">
        <v>42826</v>
      </c>
      <c r="F153" s="78">
        <v>42826</v>
      </c>
      <c r="G153" s="78">
        <v>42826</v>
      </c>
      <c r="H153" s="78">
        <v>42826</v>
      </c>
      <c r="I153" s="78">
        <v>42826</v>
      </c>
      <c r="J153" s="78">
        <v>42826</v>
      </c>
      <c r="K153" s="78">
        <v>42826</v>
      </c>
      <c r="L153" s="78">
        <v>42826</v>
      </c>
      <c r="M153" s="78">
        <v>42826</v>
      </c>
      <c r="N153" s="78">
        <v>42826</v>
      </c>
      <c r="O153" s="78">
        <v>42826</v>
      </c>
      <c r="P153" s="78">
        <v>42826</v>
      </c>
      <c r="Q153" s="78">
        <v>42826</v>
      </c>
      <c r="R153" s="78">
        <v>42826</v>
      </c>
      <c r="S153" s="78">
        <v>42826</v>
      </c>
      <c r="T153" s="78">
        <v>42826</v>
      </c>
      <c r="U153" s="78">
        <v>42826</v>
      </c>
      <c r="V153" s="78">
        <v>42826</v>
      </c>
      <c r="W153" s="78">
        <v>42826</v>
      </c>
      <c r="X153" s="78">
        <v>42826</v>
      </c>
      <c r="Y153" s="78">
        <v>42826</v>
      </c>
      <c r="Z153" s="78">
        <v>42826</v>
      </c>
      <c r="AA153" s="78">
        <v>42826</v>
      </c>
      <c r="AB153" s="78">
        <v>42826</v>
      </c>
      <c r="AC153" s="78">
        <v>42826</v>
      </c>
      <c r="AD153" s="78">
        <v>42826</v>
      </c>
      <c r="AE153" s="78">
        <v>42826</v>
      </c>
      <c r="AF153" s="78">
        <v>42826</v>
      </c>
      <c r="AG153" s="78">
        <v>42826</v>
      </c>
      <c r="AH153" s="78">
        <v>42826</v>
      </c>
      <c r="AI153" s="78">
        <v>42826</v>
      </c>
      <c r="AJ153" s="78">
        <v>42826</v>
      </c>
      <c r="AK153" s="78">
        <v>42826</v>
      </c>
      <c r="AL153" s="78">
        <v>42826</v>
      </c>
      <c r="AM153" s="78">
        <v>42826</v>
      </c>
      <c r="AN153" s="78">
        <v>42826</v>
      </c>
      <c r="AO153" s="78">
        <v>42826</v>
      </c>
      <c r="AP153" s="78">
        <v>42826</v>
      </c>
      <c r="AQ153" s="78">
        <v>42826</v>
      </c>
      <c r="AR153" s="78">
        <v>42826</v>
      </c>
      <c r="AS153" s="78">
        <v>42826</v>
      </c>
      <c r="AT153" s="78">
        <v>42826</v>
      </c>
      <c r="AU153" s="78">
        <v>42826</v>
      </c>
      <c r="AV153" s="78">
        <v>42826</v>
      </c>
      <c r="AW153" s="78">
        <v>42826</v>
      </c>
      <c r="AX153" s="78">
        <v>42826</v>
      </c>
    </row>
    <row r="154" spans="1:50" ht="12.75" hidden="1">
      <c r="C154" s="2"/>
      <c r="D154" s="2" t="s">
        <v>206</v>
      </c>
      <c r="E154" s="78">
        <v>43008</v>
      </c>
      <c r="F154" s="78">
        <v>43008</v>
      </c>
      <c r="G154" s="78">
        <v>43008</v>
      </c>
      <c r="H154" s="78">
        <v>43008</v>
      </c>
      <c r="I154" s="78">
        <v>43008</v>
      </c>
      <c r="J154" s="78">
        <v>43008</v>
      </c>
      <c r="K154" s="78">
        <v>43008</v>
      </c>
      <c r="L154" s="78">
        <v>43008</v>
      </c>
      <c r="M154" s="78">
        <v>43008</v>
      </c>
      <c r="N154" s="78">
        <v>43008</v>
      </c>
      <c r="O154" s="78">
        <v>43008</v>
      </c>
      <c r="P154" s="78">
        <v>43008</v>
      </c>
      <c r="Q154" s="78">
        <v>43008</v>
      </c>
      <c r="R154" s="78">
        <v>43008</v>
      </c>
      <c r="S154" s="78">
        <v>43008</v>
      </c>
      <c r="T154" s="78">
        <v>43008</v>
      </c>
      <c r="U154" s="78">
        <v>43008</v>
      </c>
      <c r="V154" s="78">
        <v>43008</v>
      </c>
      <c r="W154" s="78">
        <v>43008</v>
      </c>
      <c r="X154" s="78">
        <v>43008</v>
      </c>
      <c r="Y154" s="78">
        <v>43008</v>
      </c>
      <c r="Z154" s="78">
        <v>43008</v>
      </c>
      <c r="AA154" s="78">
        <v>43008</v>
      </c>
      <c r="AB154" s="78">
        <v>43008</v>
      </c>
      <c r="AC154" s="78">
        <v>42894</v>
      </c>
      <c r="AD154" s="78">
        <v>42906</v>
      </c>
      <c r="AE154" s="78">
        <v>42898</v>
      </c>
      <c r="AF154" s="78">
        <v>42913</v>
      </c>
      <c r="AG154" s="78">
        <v>42933</v>
      </c>
      <c r="AH154" s="78">
        <v>42991</v>
      </c>
      <c r="AI154" s="78">
        <v>42990</v>
      </c>
      <c r="AJ154" s="78">
        <v>43008</v>
      </c>
      <c r="AK154" s="78">
        <v>43008</v>
      </c>
      <c r="AL154" s="78">
        <v>43008</v>
      </c>
      <c r="AM154" s="78">
        <v>43008</v>
      </c>
      <c r="AN154" s="78">
        <v>43008</v>
      </c>
      <c r="AO154" s="78">
        <v>43008</v>
      </c>
      <c r="AP154" s="78">
        <v>43008</v>
      </c>
      <c r="AQ154" s="78">
        <v>43008</v>
      </c>
      <c r="AR154" s="78">
        <v>43008</v>
      </c>
      <c r="AS154" s="78">
        <v>43008</v>
      </c>
      <c r="AT154" s="78">
        <v>43008</v>
      </c>
      <c r="AU154" s="78">
        <v>43008</v>
      </c>
      <c r="AV154" s="78">
        <v>43008</v>
      </c>
      <c r="AW154" s="78">
        <v>43008</v>
      </c>
      <c r="AX154" s="78">
        <v>43008</v>
      </c>
    </row>
    <row r="155" spans="1:50" ht="12.75" hidden="1">
      <c r="C155" s="2"/>
      <c r="D155" s="2" t="s">
        <v>207</v>
      </c>
      <c r="E155" s="4">
        <v>183</v>
      </c>
      <c r="F155" s="4">
        <v>183</v>
      </c>
      <c r="G155" s="4">
        <v>183</v>
      </c>
      <c r="H155" s="4">
        <v>183</v>
      </c>
      <c r="I155" s="4">
        <v>183</v>
      </c>
      <c r="J155" s="4">
        <v>183</v>
      </c>
      <c r="K155" s="4">
        <v>183</v>
      </c>
      <c r="L155" s="4">
        <v>183</v>
      </c>
      <c r="M155" s="4">
        <v>183</v>
      </c>
      <c r="N155" s="4">
        <v>183</v>
      </c>
      <c r="O155" s="4">
        <v>183</v>
      </c>
      <c r="P155" s="4">
        <v>183</v>
      </c>
      <c r="Q155" s="4">
        <v>183</v>
      </c>
      <c r="R155" s="4">
        <v>183</v>
      </c>
      <c r="S155" s="4">
        <v>183</v>
      </c>
      <c r="T155" s="4">
        <v>183</v>
      </c>
      <c r="U155" s="4">
        <v>183</v>
      </c>
      <c r="V155" s="4">
        <v>183</v>
      </c>
      <c r="W155" s="4">
        <v>183</v>
      </c>
      <c r="X155" s="4">
        <v>183</v>
      </c>
      <c r="Y155" s="4">
        <v>183</v>
      </c>
      <c r="Z155" s="4">
        <v>183</v>
      </c>
      <c r="AA155" s="4">
        <v>183</v>
      </c>
      <c r="AB155" s="4">
        <v>183</v>
      </c>
      <c r="AC155" s="4">
        <v>69</v>
      </c>
      <c r="AD155" s="4">
        <v>81</v>
      </c>
      <c r="AE155" s="4">
        <v>73</v>
      </c>
      <c r="AF155" s="4">
        <v>88</v>
      </c>
      <c r="AG155" s="4">
        <v>108</v>
      </c>
      <c r="AH155" s="4">
        <v>166</v>
      </c>
      <c r="AI155" s="4">
        <v>165</v>
      </c>
      <c r="AJ155" s="4">
        <v>183</v>
      </c>
      <c r="AK155" s="4">
        <v>183</v>
      </c>
      <c r="AL155" s="4">
        <v>183</v>
      </c>
      <c r="AM155" s="4">
        <v>183</v>
      </c>
      <c r="AN155" s="4">
        <v>183</v>
      </c>
      <c r="AO155" s="4">
        <v>183</v>
      </c>
      <c r="AP155" s="4">
        <v>183</v>
      </c>
      <c r="AQ155" s="4">
        <v>183</v>
      </c>
      <c r="AR155" s="4">
        <v>183</v>
      </c>
      <c r="AS155" s="4">
        <v>183</v>
      </c>
      <c r="AT155" s="4">
        <v>183</v>
      </c>
      <c r="AU155" s="4">
        <v>183</v>
      </c>
      <c r="AV155" s="4">
        <v>183</v>
      </c>
      <c r="AW155" s="4">
        <v>183</v>
      </c>
      <c r="AX155" s="4">
        <v>183</v>
      </c>
    </row>
    <row r="156" spans="1:50" ht="12.75" hidden="1">
      <c r="C156" s="2"/>
      <c r="D156" s="2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</row>
    <row r="157" spans="1:50" ht="12.75" hidden="1">
      <c r="C157" s="2"/>
      <c r="D157" s="2" t="s">
        <v>208</v>
      </c>
      <c r="E157" s="4">
        <v>183</v>
      </c>
      <c r="F157" s="4">
        <v>183</v>
      </c>
      <c r="G157" s="4">
        <v>183</v>
      </c>
      <c r="H157" s="4">
        <v>183</v>
      </c>
      <c r="I157" s="4">
        <v>183</v>
      </c>
      <c r="J157" s="4">
        <v>183</v>
      </c>
      <c r="K157" s="4">
        <v>183</v>
      </c>
      <c r="L157" s="4">
        <v>183</v>
      </c>
      <c r="M157" s="4">
        <v>183</v>
      </c>
      <c r="N157" s="4">
        <v>183</v>
      </c>
      <c r="O157" s="4">
        <v>183</v>
      </c>
      <c r="P157" s="4">
        <v>183</v>
      </c>
      <c r="Q157" s="4">
        <v>183</v>
      </c>
      <c r="R157" s="4">
        <v>183</v>
      </c>
      <c r="S157" s="4">
        <v>183</v>
      </c>
      <c r="T157" s="4">
        <v>183</v>
      </c>
      <c r="U157" s="4">
        <v>183</v>
      </c>
      <c r="V157" s="4">
        <v>183</v>
      </c>
      <c r="W157" s="4">
        <v>183</v>
      </c>
      <c r="X157" s="4">
        <v>0</v>
      </c>
      <c r="Y157" s="4">
        <v>0</v>
      </c>
      <c r="Z157" s="4">
        <v>0</v>
      </c>
      <c r="AA157" s="4">
        <v>183</v>
      </c>
      <c r="AB157" s="4">
        <v>0</v>
      </c>
      <c r="AC157" s="4">
        <v>69</v>
      </c>
      <c r="AD157" s="4">
        <v>81</v>
      </c>
      <c r="AE157" s="4">
        <v>73</v>
      </c>
      <c r="AF157" s="4">
        <v>88</v>
      </c>
      <c r="AG157" s="4">
        <v>108</v>
      </c>
      <c r="AH157" s="4">
        <v>166</v>
      </c>
      <c r="AI157" s="4">
        <v>165</v>
      </c>
      <c r="AJ157" s="4">
        <v>183</v>
      </c>
      <c r="AK157" s="4">
        <v>183</v>
      </c>
      <c r="AL157" s="4">
        <v>183</v>
      </c>
      <c r="AM157" s="4">
        <v>183</v>
      </c>
      <c r="AN157" s="4">
        <v>183</v>
      </c>
      <c r="AO157" s="4">
        <v>183</v>
      </c>
      <c r="AP157" s="4">
        <v>183</v>
      </c>
      <c r="AQ157" s="4">
        <v>183</v>
      </c>
      <c r="AR157" s="4">
        <v>183</v>
      </c>
      <c r="AS157" s="4">
        <v>183</v>
      </c>
      <c r="AT157" s="4">
        <v>183</v>
      </c>
      <c r="AU157" s="4">
        <v>183</v>
      </c>
      <c r="AV157" s="4">
        <v>183</v>
      </c>
      <c r="AW157" s="4">
        <v>183</v>
      </c>
      <c r="AX157" s="4">
        <v>183</v>
      </c>
    </row>
    <row r="158" spans="1:50" ht="12.75" hidden="1">
      <c r="C158" s="2"/>
      <c r="D158" s="2"/>
      <c r="E158" s="36">
        <v>0</v>
      </c>
      <c r="F158" s="36">
        <v>0</v>
      </c>
      <c r="G158" s="36">
        <v>0</v>
      </c>
      <c r="H158" s="36">
        <v>0</v>
      </c>
      <c r="I158" s="36">
        <v>0</v>
      </c>
      <c r="J158" s="36">
        <v>0</v>
      </c>
      <c r="K158" s="36">
        <v>0</v>
      </c>
      <c r="L158" s="36">
        <v>0</v>
      </c>
      <c r="M158" s="36">
        <v>0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-183</v>
      </c>
      <c r="Y158" s="36">
        <v>-183</v>
      </c>
      <c r="Z158" s="36">
        <v>-183</v>
      </c>
      <c r="AA158" s="36">
        <v>0</v>
      </c>
      <c r="AB158" s="36">
        <v>-183</v>
      </c>
      <c r="AC158" s="36">
        <v>0</v>
      </c>
      <c r="AD158" s="36">
        <v>0</v>
      </c>
      <c r="AE158" s="36">
        <v>0</v>
      </c>
      <c r="AF158" s="36">
        <v>0</v>
      </c>
      <c r="AG158" s="36">
        <v>0</v>
      </c>
      <c r="AH158" s="36">
        <v>0</v>
      </c>
      <c r="AI158" s="36">
        <v>0</v>
      </c>
      <c r="AJ158" s="36">
        <v>0</v>
      </c>
      <c r="AK158" s="36">
        <v>0</v>
      </c>
      <c r="AL158" s="36">
        <v>0</v>
      </c>
      <c r="AM158" s="36">
        <v>0</v>
      </c>
      <c r="AN158" s="36">
        <v>0</v>
      </c>
      <c r="AO158" s="36">
        <v>0</v>
      </c>
      <c r="AP158" s="36">
        <v>0</v>
      </c>
      <c r="AQ158" s="36">
        <v>0</v>
      </c>
      <c r="AR158" s="36">
        <v>0</v>
      </c>
      <c r="AS158" s="36">
        <v>0</v>
      </c>
      <c r="AT158" s="36">
        <v>0</v>
      </c>
      <c r="AU158" s="36">
        <v>0</v>
      </c>
      <c r="AV158" s="36">
        <v>0</v>
      </c>
      <c r="AW158" s="36">
        <v>0</v>
      </c>
      <c r="AX158" s="36">
        <v>0</v>
      </c>
    </row>
    <row r="159" spans="1:50" ht="12.75" hidden="1">
      <c r="C159" s="2"/>
      <c r="D159" s="2"/>
      <c r="E159" s="4"/>
      <c r="F159" s="4"/>
      <c r="G159" s="4"/>
      <c r="H159" s="4"/>
      <c r="I159" s="4"/>
      <c r="J159" s="4"/>
      <c r="K159" s="4"/>
      <c r="L159" s="4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AB159" s="2"/>
      <c r="AC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</row>
    <row r="160" spans="1:50" ht="12.75" hidden="1">
      <c r="C160" s="2"/>
      <c r="D160" s="2"/>
      <c r="E160" s="4"/>
      <c r="F160" s="4"/>
      <c r="G160" s="4"/>
      <c r="H160" s="4"/>
      <c r="I160" s="4"/>
      <c r="J160" s="4"/>
      <c r="K160" s="4"/>
      <c r="L160" s="4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AB160" s="2"/>
      <c r="AC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</row>
    <row r="161" spans="5:50" ht="12.75" hidden="1"/>
    <row r="162" spans="5:50" ht="12.75" hidden="1"/>
    <row r="163" spans="5:50" ht="12.75" hidden="1"/>
    <row r="164" spans="5:50" ht="12.75" hidden="1"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</row>
  </sheetData>
  <mergeCells count="1">
    <mergeCell ref="C147:D147"/>
  </mergeCells>
  <conditionalFormatting sqref="E105:AX137 AC100:AI101">
    <cfRule type="cellIs" dxfId="1" priority="4" operator="equal">
      <formula>"check"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 filterMode="1"/>
  <dimension ref="A1:AN119"/>
  <sheetViews>
    <sheetView topLeftCell="F1" workbookViewId="0">
      <selection activeCell="H88" sqref="H88:H91"/>
    </sheetView>
  </sheetViews>
  <sheetFormatPr defaultColWidth="8" defaultRowHeight="12.75" customHeight="1"/>
  <cols>
    <col min="1" max="1" width="12.5703125" style="127" bestFit="1" customWidth="1"/>
    <col min="2" max="2" width="19" style="127" customWidth="1"/>
    <col min="3" max="3" width="8.5703125" style="127" customWidth="1"/>
    <col min="4" max="4" width="10.7109375" style="127" customWidth="1"/>
    <col min="5" max="5" width="17" style="127" customWidth="1"/>
    <col min="6" max="6" width="19.85546875" style="127" customWidth="1"/>
    <col min="7" max="7" width="15.5703125" style="127" customWidth="1"/>
    <col min="8" max="8" width="16.42578125" style="127" customWidth="1"/>
    <col min="9" max="9" width="17.28515625" style="127" customWidth="1"/>
    <col min="10" max="10" width="12.28515625" style="127" customWidth="1"/>
    <col min="11" max="11" width="10.5703125" style="127" customWidth="1"/>
    <col min="12" max="12" width="9.28515625" style="127" customWidth="1"/>
    <col min="13" max="13" width="16.5703125" style="127" customWidth="1"/>
    <col min="14" max="14" width="10.7109375" style="127" customWidth="1"/>
    <col min="15" max="15" width="18.42578125" style="127" customWidth="1"/>
    <col min="16" max="16" width="10.5703125" style="127" customWidth="1"/>
    <col min="17" max="18" width="9.85546875" style="127" customWidth="1"/>
    <col min="19" max="19" width="9.140625" style="127" customWidth="1"/>
    <col min="20" max="20" width="39" style="127" customWidth="1"/>
    <col min="21" max="21" width="36.7109375" style="127" customWidth="1"/>
    <col min="22" max="22" width="18" style="127" customWidth="1"/>
    <col min="23" max="23" width="34.28515625" style="127" customWidth="1"/>
    <col min="24" max="24" width="36.7109375" style="127" customWidth="1"/>
    <col min="25" max="25" width="24.28515625" style="127" customWidth="1"/>
    <col min="26" max="26" width="21.42578125" style="127" customWidth="1"/>
    <col min="27" max="27" width="26.28515625" style="127" customWidth="1"/>
    <col min="28" max="28" width="26.42578125" style="127" customWidth="1"/>
    <col min="29" max="29" width="23.85546875" style="127" customWidth="1"/>
    <col min="30" max="30" width="28.7109375" style="127" customWidth="1"/>
    <col min="31" max="31" width="47.42578125" style="127" customWidth="1"/>
    <col min="32" max="34" width="11.28515625" style="127" customWidth="1"/>
    <col min="35" max="35" width="28.42578125" style="127" customWidth="1"/>
    <col min="36" max="36" width="11.28515625" style="127" customWidth="1"/>
    <col min="37" max="37" width="11.85546875" style="127" customWidth="1"/>
    <col min="38" max="38" width="12.7109375" style="138" customWidth="1"/>
    <col min="39" max="257" width="6.85546875" style="127" customWidth="1"/>
    <col min="258" max="16384" width="8" style="127"/>
  </cols>
  <sheetData>
    <row r="1" spans="1:40" ht="12.75" customHeight="1">
      <c r="B1" s="127" t="s">
        <v>836</v>
      </c>
      <c r="C1" s="127" t="s">
        <v>1525</v>
      </c>
    </row>
    <row r="2" spans="1:40" ht="12.75" customHeight="1">
      <c r="A2" s="127" t="s">
        <v>1512</v>
      </c>
      <c r="B2" s="127" t="s">
        <v>837</v>
      </c>
      <c r="C2" s="127" t="s">
        <v>838</v>
      </c>
      <c r="D2" s="127" t="s">
        <v>839</v>
      </c>
      <c r="E2" s="127" t="s">
        <v>840</v>
      </c>
      <c r="F2" s="127" t="s">
        <v>841</v>
      </c>
      <c r="G2" s="127" t="s">
        <v>842</v>
      </c>
      <c r="H2" s="127" t="s">
        <v>843</v>
      </c>
      <c r="I2" s="127" t="s">
        <v>844</v>
      </c>
      <c r="J2" s="127" t="s">
        <v>845</v>
      </c>
      <c r="K2" s="127" t="s">
        <v>846</v>
      </c>
      <c r="L2" s="127" t="s">
        <v>847</v>
      </c>
      <c r="M2" s="127" t="s">
        <v>848</v>
      </c>
      <c r="N2" s="127" t="s">
        <v>849</v>
      </c>
      <c r="O2" s="127" t="s">
        <v>850</v>
      </c>
      <c r="P2" s="127" t="s">
        <v>851</v>
      </c>
      <c r="Q2" s="127" t="s">
        <v>852</v>
      </c>
      <c r="R2" s="127" t="s">
        <v>853</v>
      </c>
      <c r="S2" s="127" t="s">
        <v>854</v>
      </c>
      <c r="T2" s="127" t="s">
        <v>855</v>
      </c>
      <c r="U2" s="127" t="s">
        <v>856</v>
      </c>
      <c r="V2" s="127" t="s">
        <v>857</v>
      </c>
      <c r="W2" s="127" t="s">
        <v>858</v>
      </c>
      <c r="X2" s="127" t="s">
        <v>859</v>
      </c>
      <c r="Y2" s="127" t="s">
        <v>860</v>
      </c>
      <c r="Z2" s="127" t="s">
        <v>861</v>
      </c>
      <c r="AA2" s="127" t="s">
        <v>862</v>
      </c>
      <c r="AB2" s="127" t="s">
        <v>863</v>
      </c>
      <c r="AC2" s="127" t="s">
        <v>864</v>
      </c>
      <c r="AD2" s="127" t="s">
        <v>865</v>
      </c>
      <c r="AE2" s="127" t="s">
        <v>866</v>
      </c>
      <c r="AF2" s="127" t="s">
        <v>867</v>
      </c>
      <c r="AG2" s="127" t="s">
        <v>868</v>
      </c>
      <c r="AH2" s="127" t="s">
        <v>869</v>
      </c>
      <c r="AI2" s="127" t="s">
        <v>870</v>
      </c>
      <c r="AJ2" s="127" t="s">
        <v>871</v>
      </c>
      <c r="AK2" s="127" t="s">
        <v>872</v>
      </c>
      <c r="AL2" s="138" t="s">
        <v>1513</v>
      </c>
    </row>
    <row r="3" spans="1:40" ht="12.75" hidden="1" customHeight="1">
      <c r="A3" s="127" t="str">
        <f>+VLOOKUP(C3,'code mapping'!A:C,3,0)</f>
        <v>LIC33</v>
      </c>
      <c r="B3" s="127" t="s">
        <v>873</v>
      </c>
      <c r="C3" s="127" t="s">
        <v>454</v>
      </c>
      <c r="D3" s="127" t="s">
        <v>874</v>
      </c>
      <c r="E3" s="128">
        <v>23753.231</v>
      </c>
      <c r="F3" s="128">
        <v>271431.48</v>
      </c>
      <c r="G3" s="128">
        <v>11.427139322646299</v>
      </c>
      <c r="H3" s="128">
        <v>3292686495.8899999</v>
      </c>
      <c r="I3" s="128">
        <v>11.427100000000001</v>
      </c>
      <c r="J3" s="129">
        <v>43190</v>
      </c>
      <c r="K3" s="127" t="s">
        <v>875</v>
      </c>
      <c r="L3" s="127" t="s">
        <v>876</v>
      </c>
      <c r="M3" s="127" t="s">
        <v>877</v>
      </c>
      <c r="N3" s="127" t="s">
        <v>878</v>
      </c>
      <c r="O3" s="127" t="s">
        <v>879</v>
      </c>
      <c r="P3" s="127" t="s">
        <v>880</v>
      </c>
      <c r="Q3" s="128">
        <v>11.427100000000001</v>
      </c>
      <c r="R3" s="128">
        <v>11.312800000000003</v>
      </c>
      <c r="S3" s="128">
        <v>84270</v>
      </c>
      <c r="T3" s="127" t="s">
        <v>57</v>
      </c>
      <c r="U3" s="127" t="s">
        <v>881</v>
      </c>
      <c r="V3" s="129">
        <v>43189</v>
      </c>
      <c r="W3" s="128">
        <v>11.425000000000001</v>
      </c>
      <c r="X3" s="128">
        <v>11.425006560160201</v>
      </c>
      <c r="Y3" s="128">
        <v>2.1000000000000003E-3</v>
      </c>
      <c r="Z3" s="128">
        <v>1.83807439824945E-2</v>
      </c>
      <c r="AA3" s="128">
        <v>6.7090000000000005</v>
      </c>
      <c r="AB3" s="128">
        <v>2.1327624860799999E-3</v>
      </c>
      <c r="AC3" s="128">
        <v>1.8667494629868303E-2</v>
      </c>
      <c r="AD3" s="128">
        <v>6.8136000000000001</v>
      </c>
      <c r="AE3" s="127" t="s">
        <v>57</v>
      </c>
      <c r="AF3" s="127" t="s">
        <v>9</v>
      </c>
      <c r="AH3" s="127" t="s">
        <v>882</v>
      </c>
      <c r="AI3" s="127" t="s">
        <v>883</v>
      </c>
      <c r="AL3" s="139">
        <f>+H3/10000000</f>
        <v>329.26864958900001</v>
      </c>
      <c r="AN3" s="127" t="b">
        <f>+AF3=A3</f>
        <v>1</v>
      </c>
    </row>
    <row r="4" spans="1:40" ht="12.75" hidden="1" customHeight="1">
      <c r="A4" s="127" t="str">
        <f>+VLOOKUP(C4,'code mapping'!A:C,3,0)</f>
        <v>LIC33</v>
      </c>
      <c r="B4" s="127" t="s">
        <v>884</v>
      </c>
      <c r="C4" s="127" t="s">
        <v>454</v>
      </c>
      <c r="D4" s="127" t="s">
        <v>885</v>
      </c>
      <c r="E4" s="128">
        <v>20947432.015000001</v>
      </c>
      <c r="F4" s="128">
        <v>990932801.60000002</v>
      </c>
      <c r="G4" s="128">
        <v>47.305693647336604</v>
      </c>
      <c r="H4" s="128">
        <v>3292686495.8899999</v>
      </c>
      <c r="I4" s="128">
        <v>47.305699999999995</v>
      </c>
      <c r="J4" s="129">
        <v>43190</v>
      </c>
      <c r="K4" s="127" t="s">
        <v>886</v>
      </c>
      <c r="L4" s="127" t="s">
        <v>887</v>
      </c>
      <c r="M4" s="127" t="s">
        <v>877</v>
      </c>
      <c r="N4" s="127" t="s">
        <v>888</v>
      </c>
      <c r="O4" s="127" t="s">
        <v>879</v>
      </c>
      <c r="P4" s="127" t="s">
        <v>880</v>
      </c>
      <c r="Q4" s="128">
        <v>47.305699999999995</v>
      </c>
      <c r="R4" s="128">
        <v>46.832599999999999</v>
      </c>
      <c r="S4" s="128">
        <v>84271</v>
      </c>
      <c r="T4" s="127" t="s">
        <v>57</v>
      </c>
      <c r="U4" s="127" t="s">
        <v>889</v>
      </c>
      <c r="V4" s="129">
        <v>43189</v>
      </c>
      <c r="W4" s="128">
        <v>47.296900000000008</v>
      </c>
      <c r="X4" s="128">
        <v>47.296862934823992</v>
      </c>
      <c r="Y4" s="128">
        <v>8.8000000000000005E-3</v>
      </c>
      <c r="Z4" s="128">
        <v>1.8605870575027099E-2</v>
      </c>
      <c r="AA4" s="128">
        <v>6.7911000000000001</v>
      </c>
      <c r="AB4" s="128">
        <v>8.8307125125199996E-3</v>
      </c>
      <c r="AC4" s="128">
        <v>1.8670820778724603E-2</v>
      </c>
      <c r="AD4" s="128">
        <v>6.8148</v>
      </c>
      <c r="AE4" s="127" t="s">
        <v>57</v>
      </c>
      <c r="AF4" s="127" t="s">
        <v>9</v>
      </c>
      <c r="AH4" s="127" t="s">
        <v>882</v>
      </c>
      <c r="AI4" s="127" t="s">
        <v>890</v>
      </c>
      <c r="AL4" s="139">
        <f t="shared" ref="AL4:AL67" si="0">+H4/10000000</f>
        <v>329.26864958900001</v>
      </c>
      <c r="AN4" s="127" t="b">
        <f t="shared" ref="AN4:AN67" si="1">+AF4=A4</f>
        <v>1</v>
      </c>
    </row>
    <row r="5" spans="1:40" ht="12.75" hidden="1" customHeight="1">
      <c r="A5" s="127" t="str">
        <f>+VLOOKUP(C5,'code mapping'!A:C,3,0)</f>
        <v>LIC33</v>
      </c>
      <c r="B5" s="127" t="s">
        <v>891</v>
      </c>
      <c r="C5" s="127" t="s">
        <v>454</v>
      </c>
      <c r="D5" s="127" t="s">
        <v>103</v>
      </c>
      <c r="E5" s="128">
        <v>7607009.5880000005</v>
      </c>
      <c r="F5" s="128">
        <v>76790454.719999999</v>
      </c>
      <c r="G5" s="128">
        <v>10.094696717766299</v>
      </c>
      <c r="H5" s="128">
        <v>3292686495.8899999</v>
      </c>
      <c r="I5" s="128">
        <v>10.094700000000001</v>
      </c>
      <c r="J5" s="129">
        <v>43190</v>
      </c>
      <c r="K5" s="127" t="s">
        <v>892</v>
      </c>
      <c r="L5" s="127" t="s">
        <v>893</v>
      </c>
      <c r="M5" s="127" t="s">
        <v>877</v>
      </c>
      <c r="N5" s="127" t="s">
        <v>894</v>
      </c>
      <c r="O5" s="127" t="s">
        <v>879</v>
      </c>
      <c r="P5" s="127" t="s">
        <v>880</v>
      </c>
      <c r="Q5" s="128">
        <v>10.094700000000001</v>
      </c>
      <c r="R5" s="128">
        <v>9.9938000000000002</v>
      </c>
      <c r="S5" s="128">
        <v>84268</v>
      </c>
      <c r="T5" s="127" t="s">
        <v>57</v>
      </c>
      <c r="U5" s="127" t="s">
        <v>895</v>
      </c>
      <c r="V5" s="129">
        <v>43189</v>
      </c>
      <c r="W5" s="128">
        <v>10.093</v>
      </c>
      <c r="X5" s="128">
        <v>10.092951619400498</v>
      </c>
      <c r="Y5" s="128">
        <v>1.7000000000000001E-3</v>
      </c>
      <c r="Z5" s="128">
        <v>1.6843356781928099E-2</v>
      </c>
      <c r="AA5" s="128">
        <v>6.1478000000000002</v>
      </c>
      <c r="AB5" s="128">
        <v>1.7450983657100001E-3</v>
      </c>
      <c r="AC5" s="128">
        <v>1.7290267817747101E-2</v>
      </c>
      <c r="AD5" s="128">
        <v>6.3109000000000002</v>
      </c>
      <c r="AE5" s="127" t="s">
        <v>57</v>
      </c>
      <c r="AF5" s="127" t="s">
        <v>9</v>
      </c>
      <c r="AH5" s="127" t="s">
        <v>896</v>
      </c>
      <c r="AI5" s="127" t="s">
        <v>897</v>
      </c>
      <c r="AL5" s="139">
        <f t="shared" si="0"/>
        <v>329.26864958900001</v>
      </c>
      <c r="AN5" s="127" t="b">
        <f t="shared" si="1"/>
        <v>1</v>
      </c>
    </row>
    <row r="6" spans="1:40" ht="12.75" hidden="1" customHeight="1">
      <c r="A6" s="127" t="str">
        <f>+VLOOKUP(C6,'code mapping'!A:C,3,0)</f>
        <v>LIC33</v>
      </c>
      <c r="B6" s="127" t="s">
        <v>898</v>
      </c>
      <c r="C6" s="127" t="s">
        <v>454</v>
      </c>
      <c r="D6" s="127" t="s">
        <v>105</v>
      </c>
      <c r="E6" s="128">
        <v>48306371.994000003</v>
      </c>
      <c r="F6" s="128">
        <v>2224691808.0900002</v>
      </c>
      <c r="G6" s="128">
        <v>46.053796140317097</v>
      </c>
      <c r="H6" s="128">
        <v>3292686495.8899999</v>
      </c>
      <c r="I6" s="128">
        <v>46.053800000000003</v>
      </c>
      <c r="J6" s="129">
        <v>43190</v>
      </c>
      <c r="K6" s="127" t="s">
        <v>899</v>
      </c>
      <c r="L6" s="127" t="s">
        <v>900</v>
      </c>
      <c r="M6" s="127" t="s">
        <v>877</v>
      </c>
      <c r="N6" s="127" t="s">
        <v>901</v>
      </c>
      <c r="O6" s="127" t="s">
        <v>879</v>
      </c>
      <c r="P6" s="127" t="s">
        <v>880</v>
      </c>
      <c r="Q6" s="128">
        <v>46.053800000000003</v>
      </c>
      <c r="R6" s="128">
        <v>45.593299999999999</v>
      </c>
      <c r="S6" s="128">
        <v>84269</v>
      </c>
      <c r="T6" s="127" t="s">
        <v>57</v>
      </c>
      <c r="U6" s="127" t="s">
        <v>902</v>
      </c>
      <c r="V6" s="129">
        <v>43189</v>
      </c>
      <c r="W6" s="128">
        <v>46.0458</v>
      </c>
      <c r="X6" s="128">
        <v>46.045834689392002</v>
      </c>
      <c r="Y6" s="128">
        <v>8.0000000000000002E-3</v>
      </c>
      <c r="Z6" s="128">
        <v>1.7374005881101003E-2</v>
      </c>
      <c r="AA6" s="128">
        <v>6.3414999999999999</v>
      </c>
      <c r="AB6" s="128">
        <v>7.9614509251099991E-3</v>
      </c>
      <c r="AC6" s="128">
        <v>1.72902738734458E-2</v>
      </c>
      <c r="AD6" s="128">
        <v>6.3109000000000002</v>
      </c>
      <c r="AE6" s="127" t="s">
        <v>57</v>
      </c>
      <c r="AF6" s="127" t="s">
        <v>9</v>
      </c>
      <c r="AH6" s="127" t="s">
        <v>896</v>
      </c>
      <c r="AI6" s="127" t="s">
        <v>903</v>
      </c>
      <c r="AL6" s="139">
        <f t="shared" si="0"/>
        <v>329.26864958900001</v>
      </c>
      <c r="AN6" s="127" t="b">
        <f t="shared" si="1"/>
        <v>1</v>
      </c>
    </row>
    <row r="7" spans="1:40" ht="12.75" hidden="1" customHeight="1">
      <c r="A7" s="127" t="str">
        <f>+VLOOKUP(C7,'code mapping'!A:C,3,0)</f>
        <v>LIC142</v>
      </c>
      <c r="B7" s="127" t="s">
        <v>904</v>
      </c>
      <c r="C7" s="127" t="s">
        <v>589</v>
      </c>
      <c r="D7" s="127" t="s">
        <v>874</v>
      </c>
      <c r="E7" s="128">
        <v>0</v>
      </c>
      <c r="F7" s="128">
        <v>0</v>
      </c>
      <c r="G7" s="128">
        <v>10</v>
      </c>
      <c r="H7" s="128">
        <v>193352191.63</v>
      </c>
      <c r="I7" s="128">
        <v>10</v>
      </c>
      <c r="J7" s="129">
        <v>43190</v>
      </c>
      <c r="K7" s="127" t="s">
        <v>905</v>
      </c>
      <c r="L7" s="127" t="s">
        <v>906</v>
      </c>
      <c r="M7" s="127" t="s">
        <v>907</v>
      </c>
      <c r="N7" s="127" t="s">
        <v>908</v>
      </c>
      <c r="O7" s="127" t="s">
        <v>879</v>
      </c>
      <c r="P7" s="127" t="s">
        <v>880</v>
      </c>
      <c r="Q7" s="128">
        <v>10</v>
      </c>
      <c r="R7" s="128">
        <v>10</v>
      </c>
      <c r="S7" s="128">
        <v>84221</v>
      </c>
      <c r="T7" s="127" t="s">
        <v>590</v>
      </c>
      <c r="U7" s="127" t="s">
        <v>881</v>
      </c>
      <c r="V7" s="129">
        <v>43189</v>
      </c>
      <c r="W7" s="128">
        <v>10</v>
      </c>
      <c r="X7" s="128">
        <v>10</v>
      </c>
      <c r="Y7" s="128">
        <v>0</v>
      </c>
      <c r="Z7" s="128">
        <v>0</v>
      </c>
      <c r="AA7" s="128">
        <v>0</v>
      </c>
      <c r="AB7" s="128">
        <v>0</v>
      </c>
      <c r="AC7" s="128">
        <v>0</v>
      </c>
      <c r="AD7" s="128">
        <v>0</v>
      </c>
      <c r="AE7" s="127" t="s">
        <v>909</v>
      </c>
      <c r="AF7" s="127" t="s">
        <v>25</v>
      </c>
      <c r="AH7" s="127" t="s">
        <v>882</v>
      </c>
      <c r="AI7" s="127" t="s">
        <v>910</v>
      </c>
      <c r="AL7" s="139">
        <f t="shared" si="0"/>
        <v>19.335219162999998</v>
      </c>
      <c r="AN7" s="127" t="b">
        <f t="shared" si="1"/>
        <v>1</v>
      </c>
    </row>
    <row r="8" spans="1:40" ht="12.75" hidden="1" customHeight="1">
      <c r="A8" s="127" t="str">
        <f>+VLOOKUP(C8,'code mapping'!A:C,3,0)</f>
        <v>LIC142</v>
      </c>
      <c r="B8" s="127" t="s">
        <v>911</v>
      </c>
      <c r="C8" s="127" t="s">
        <v>589</v>
      </c>
      <c r="D8" s="127" t="s">
        <v>885</v>
      </c>
      <c r="E8" s="128">
        <v>274999.01799999998</v>
      </c>
      <c r="F8" s="128">
        <v>3707809.92</v>
      </c>
      <c r="G8" s="128">
        <v>13.482993310179801</v>
      </c>
      <c r="H8" s="128">
        <v>193352191.63</v>
      </c>
      <c r="I8" s="128">
        <v>13.482999999999999</v>
      </c>
      <c r="J8" s="129">
        <v>43190</v>
      </c>
      <c r="K8" s="127" t="s">
        <v>912</v>
      </c>
      <c r="L8" s="127" t="s">
        <v>913</v>
      </c>
      <c r="M8" s="127" t="s">
        <v>907</v>
      </c>
      <c r="N8" s="127" t="s">
        <v>914</v>
      </c>
      <c r="O8" s="127" t="s">
        <v>879</v>
      </c>
      <c r="P8" s="127" t="s">
        <v>880</v>
      </c>
      <c r="Q8" s="128">
        <v>13.482999999999999</v>
      </c>
      <c r="R8" s="128">
        <v>13.482999999999999</v>
      </c>
      <c r="S8" s="128">
        <v>84222</v>
      </c>
      <c r="T8" s="127" t="s">
        <v>590</v>
      </c>
      <c r="U8" s="127" t="s">
        <v>889</v>
      </c>
      <c r="V8" s="129">
        <v>43189</v>
      </c>
      <c r="W8" s="128">
        <v>13.4823</v>
      </c>
      <c r="X8" s="128">
        <v>13.4823321805462</v>
      </c>
      <c r="Y8" s="128">
        <v>6.9999999999999988E-4</v>
      </c>
      <c r="Z8" s="128">
        <v>5.1919924641937905E-3</v>
      </c>
      <c r="AA8" s="128">
        <v>1.8951</v>
      </c>
      <c r="AB8" s="128">
        <v>6.6112963356000003E-4</v>
      </c>
      <c r="AC8" s="128">
        <v>4.9036741174049402E-3</v>
      </c>
      <c r="AD8" s="128">
        <v>1.7898000000000003</v>
      </c>
      <c r="AE8" s="127" t="s">
        <v>909</v>
      </c>
      <c r="AF8" s="127" t="s">
        <v>25</v>
      </c>
      <c r="AH8" s="127" t="s">
        <v>882</v>
      </c>
      <c r="AI8" s="127" t="s">
        <v>915</v>
      </c>
      <c r="AK8" s="127" t="s">
        <v>916</v>
      </c>
      <c r="AL8" s="139">
        <f t="shared" si="0"/>
        <v>19.335219162999998</v>
      </c>
      <c r="AN8" s="127" t="b">
        <f t="shared" si="1"/>
        <v>1</v>
      </c>
    </row>
    <row r="9" spans="1:40" ht="12.75" hidden="1" customHeight="1">
      <c r="A9" s="127" t="str">
        <f>+VLOOKUP(C9,'code mapping'!A:C,3,0)</f>
        <v>LIC142</v>
      </c>
      <c r="B9" s="127" t="s">
        <v>917</v>
      </c>
      <c r="C9" s="127" t="s">
        <v>589</v>
      </c>
      <c r="D9" s="127" t="s">
        <v>103</v>
      </c>
      <c r="E9" s="128">
        <v>2982057.9870000007</v>
      </c>
      <c r="F9" s="128">
        <v>31403469.82</v>
      </c>
      <c r="G9" s="128">
        <v>10.5308045507165</v>
      </c>
      <c r="H9" s="128">
        <v>193352191.63</v>
      </c>
      <c r="I9" s="128">
        <v>10.530800000000001</v>
      </c>
      <c r="J9" s="129">
        <v>43190</v>
      </c>
      <c r="K9" s="127" t="s">
        <v>918</v>
      </c>
      <c r="L9" s="127" t="s">
        <v>919</v>
      </c>
      <c r="M9" s="127" t="s">
        <v>907</v>
      </c>
      <c r="N9" s="127" t="s">
        <v>920</v>
      </c>
      <c r="O9" s="127" t="s">
        <v>879</v>
      </c>
      <c r="P9" s="127" t="s">
        <v>880</v>
      </c>
      <c r="Q9" s="128">
        <v>10.530800000000001</v>
      </c>
      <c r="R9" s="128">
        <v>10.530800000000001</v>
      </c>
      <c r="S9" s="128">
        <v>84219</v>
      </c>
      <c r="T9" s="127" t="s">
        <v>590</v>
      </c>
      <c r="U9" s="127" t="s">
        <v>895</v>
      </c>
      <c r="V9" s="129">
        <v>43189</v>
      </c>
      <c r="W9" s="128">
        <v>10.5304</v>
      </c>
      <c r="X9" s="128">
        <v>10.530432398328799</v>
      </c>
      <c r="Y9" s="128">
        <v>4.0000000000000002E-4</v>
      </c>
      <c r="Z9" s="128">
        <v>3.7985261718453201E-3</v>
      </c>
      <c r="AA9" s="128">
        <v>1.3865000000000001</v>
      </c>
      <c r="AB9" s="128">
        <v>3.7215238765999996E-4</v>
      </c>
      <c r="AC9" s="128">
        <v>3.5340655880290398E-3</v>
      </c>
      <c r="AD9" s="128">
        <v>1.2899</v>
      </c>
      <c r="AE9" s="127" t="s">
        <v>909</v>
      </c>
      <c r="AF9" s="127" t="s">
        <v>25</v>
      </c>
      <c r="AH9" s="127" t="s">
        <v>896</v>
      </c>
      <c r="AI9" s="127" t="s">
        <v>921</v>
      </c>
      <c r="AK9" s="127" t="s">
        <v>922</v>
      </c>
      <c r="AL9" s="139">
        <f t="shared" si="0"/>
        <v>19.335219162999998</v>
      </c>
      <c r="AN9" s="127" t="b">
        <f t="shared" si="1"/>
        <v>1</v>
      </c>
    </row>
    <row r="10" spans="1:40" ht="12.75" hidden="1" customHeight="1">
      <c r="A10" s="127" t="str">
        <f>+VLOOKUP(C10,'code mapping'!A:C,3,0)</f>
        <v>LIC142</v>
      </c>
      <c r="B10" s="127" t="s">
        <v>923</v>
      </c>
      <c r="C10" s="127" t="s">
        <v>589</v>
      </c>
      <c r="D10" s="127" t="s">
        <v>105</v>
      </c>
      <c r="E10" s="128">
        <v>11985157.607000001</v>
      </c>
      <c r="F10" s="128">
        <v>158240911.88999999</v>
      </c>
      <c r="G10" s="128">
        <v>13.2030730908018</v>
      </c>
      <c r="H10" s="128">
        <v>193352191.63</v>
      </c>
      <c r="I10" s="128">
        <v>13.203100000000001</v>
      </c>
      <c r="J10" s="129">
        <v>43190</v>
      </c>
      <c r="K10" s="127" t="s">
        <v>924</v>
      </c>
      <c r="L10" s="127" t="s">
        <v>925</v>
      </c>
      <c r="M10" s="127" t="s">
        <v>907</v>
      </c>
      <c r="N10" s="127" t="s">
        <v>926</v>
      </c>
      <c r="O10" s="127" t="s">
        <v>879</v>
      </c>
      <c r="P10" s="127" t="s">
        <v>880</v>
      </c>
      <c r="Q10" s="128">
        <v>13.203100000000001</v>
      </c>
      <c r="R10" s="128">
        <v>13.203100000000001</v>
      </c>
      <c r="S10" s="128">
        <v>84220</v>
      </c>
      <c r="T10" s="127" t="s">
        <v>590</v>
      </c>
      <c r="U10" s="127" t="s">
        <v>902</v>
      </c>
      <c r="V10" s="129">
        <v>43189</v>
      </c>
      <c r="W10" s="128">
        <v>13.2026</v>
      </c>
      <c r="X10" s="128">
        <v>13.2026065011929</v>
      </c>
      <c r="Y10" s="128">
        <v>5.0000000000000001E-4</v>
      </c>
      <c r="Z10" s="128">
        <v>3.7871328374714103E-3</v>
      </c>
      <c r="AA10" s="128">
        <v>1.3823000000000001</v>
      </c>
      <c r="AB10" s="128">
        <v>4.6658960886000002E-4</v>
      </c>
      <c r="AC10" s="128">
        <v>3.5340719184340005E-3</v>
      </c>
      <c r="AD10" s="128">
        <v>1.2899</v>
      </c>
      <c r="AE10" s="127" t="s">
        <v>909</v>
      </c>
      <c r="AF10" s="127" t="s">
        <v>25</v>
      </c>
      <c r="AH10" s="127" t="s">
        <v>896</v>
      </c>
      <c r="AI10" s="127" t="s">
        <v>927</v>
      </c>
      <c r="AK10" s="127" t="s">
        <v>928</v>
      </c>
      <c r="AL10" s="139">
        <f t="shared" si="0"/>
        <v>19.335219162999998</v>
      </c>
      <c r="AN10" s="127" t="b">
        <f t="shared" si="1"/>
        <v>1</v>
      </c>
    </row>
    <row r="11" spans="1:40" ht="12.75" hidden="1" customHeight="1">
      <c r="A11" s="127" t="str">
        <f>+VLOOKUP(C11,'code mapping'!A:C,3,0)</f>
        <v>LIC172</v>
      </c>
      <c r="B11" s="127" t="s">
        <v>929</v>
      </c>
      <c r="C11" s="127" t="s">
        <v>607</v>
      </c>
      <c r="D11" s="127" t="s">
        <v>874</v>
      </c>
      <c r="E11" s="128">
        <v>47500</v>
      </c>
      <c r="F11" s="128">
        <v>578454.31000000006</v>
      </c>
      <c r="G11" s="128">
        <v>12.177985473684197</v>
      </c>
      <c r="H11" s="128">
        <v>522211977.23000002</v>
      </c>
      <c r="I11" s="128">
        <v>12.178000000000003</v>
      </c>
      <c r="J11" s="129">
        <v>43190</v>
      </c>
      <c r="K11" s="127" t="s">
        <v>930</v>
      </c>
      <c r="L11" s="127" t="s">
        <v>931</v>
      </c>
      <c r="M11" s="127" t="s">
        <v>932</v>
      </c>
      <c r="N11" s="127" t="s">
        <v>933</v>
      </c>
      <c r="O11" s="127" t="s">
        <v>879</v>
      </c>
      <c r="P11" s="127" t="s">
        <v>880</v>
      </c>
      <c r="Q11" s="128">
        <v>12.178000000000003</v>
      </c>
      <c r="R11" s="128">
        <v>12.178000000000003</v>
      </c>
      <c r="S11" s="128">
        <v>84250</v>
      </c>
      <c r="T11" s="127" t="s">
        <v>608</v>
      </c>
      <c r="U11" s="127" t="s">
        <v>881</v>
      </c>
      <c r="V11" s="129">
        <v>43189</v>
      </c>
      <c r="W11" s="128">
        <v>12.1767</v>
      </c>
      <c r="X11" s="128">
        <v>12.176709052631599</v>
      </c>
      <c r="Y11" s="128">
        <v>1.2999999999999999E-3</v>
      </c>
      <c r="Z11" s="128">
        <v>1.0676127357987002E-2</v>
      </c>
      <c r="AA11" s="128">
        <v>3.8968000000000003</v>
      </c>
      <c r="AB11" s="128">
        <v>1.27642105263E-3</v>
      </c>
      <c r="AC11" s="128">
        <v>1.0482479684066601E-2</v>
      </c>
      <c r="AD11" s="128">
        <v>3.8261000000000003</v>
      </c>
      <c r="AE11" s="127" t="s">
        <v>934</v>
      </c>
      <c r="AF11" s="127" t="s">
        <v>43</v>
      </c>
      <c r="AH11" s="127" t="s">
        <v>882</v>
      </c>
      <c r="AI11" s="127" t="s">
        <v>935</v>
      </c>
      <c r="AK11" s="127" t="s">
        <v>936</v>
      </c>
      <c r="AL11" s="139">
        <f t="shared" si="0"/>
        <v>52.221197723000003</v>
      </c>
      <c r="AN11" s="127" t="b">
        <f t="shared" si="1"/>
        <v>1</v>
      </c>
    </row>
    <row r="12" spans="1:40" ht="12.75" hidden="1" customHeight="1">
      <c r="A12" s="127" t="str">
        <f>+VLOOKUP(C12,'code mapping'!A:C,3,0)</f>
        <v>LIC172</v>
      </c>
      <c r="B12" s="127" t="s">
        <v>937</v>
      </c>
      <c r="C12" s="127" t="s">
        <v>607</v>
      </c>
      <c r="D12" s="127" t="s">
        <v>885</v>
      </c>
      <c r="E12" s="128">
        <v>13967642.108999999</v>
      </c>
      <c r="F12" s="128">
        <v>170097782.03999999</v>
      </c>
      <c r="G12" s="128">
        <v>12.177988289834399</v>
      </c>
      <c r="H12" s="128">
        <v>522211977.23000002</v>
      </c>
      <c r="I12" s="128">
        <v>12.178000000000003</v>
      </c>
      <c r="J12" s="129">
        <v>43190</v>
      </c>
      <c r="K12" s="127" t="s">
        <v>938</v>
      </c>
      <c r="L12" s="127" t="s">
        <v>939</v>
      </c>
      <c r="M12" s="127" t="s">
        <v>932</v>
      </c>
      <c r="N12" s="127" t="s">
        <v>940</v>
      </c>
      <c r="O12" s="127" t="s">
        <v>879</v>
      </c>
      <c r="P12" s="127" t="s">
        <v>880</v>
      </c>
      <c r="Q12" s="128">
        <v>12.178000000000003</v>
      </c>
      <c r="R12" s="128">
        <v>12.178000000000003</v>
      </c>
      <c r="S12" s="128">
        <v>84251</v>
      </c>
      <c r="T12" s="127" t="s">
        <v>608</v>
      </c>
      <c r="U12" s="127" t="s">
        <v>889</v>
      </c>
      <c r="V12" s="129">
        <v>43189</v>
      </c>
      <c r="W12" s="128">
        <v>12.1767</v>
      </c>
      <c r="X12" s="128">
        <v>12.176711845330701</v>
      </c>
      <c r="Y12" s="128">
        <v>1.2999999999999999E-3</v>
      </c>
      <c r="Z12" s="128">
        <v>1.0676127357987002E-2</v>
      </c>
      <c r="AA12" s="128">
        <v>3.8968000000000003</v>
      </c>
      <c r="AB12" s="128">
        <v>1.27644450372E-3</v>
      </c>
      <c r="AC12" s="128">
        <v>1.0482669869612399E-2</v>
      </c>
      <c r="AD12" s="128">
        <v>3.8262</v>
      </c>
      <c r="AE12" s="127" t="s">
        <v>934</v>
      </c>
      <c r="AF12" s="127" t="s">
        <v>43</v>
      </c>
      <c r="AH12" s="127" t="s">
        <v>882</v>
      </c>
      <c r="AI12" s="127" t="s">
        <v>941</v>
      </c>
      <c r="AK12" s="127" t="s">
        <v>942</v>
      </c>
      <c r="AL12" s="139">
        <f t="shared" si="0"/>
        <v>52.221197723000003</v>
      </c>
      <c r="AN12" s="127" t="b">
        <f t="shared" si="1"/>
        <v>1</v>
      </c>
    </row>
    <row r="13" spans="1:40" ht="12.75" hidden="1" customHeight="1">
      <c r="A13" s="127" t="str">
        <f>+VLOOKUP(C13,'code mapping'!A:C,3,0)</f>
        <v>LIC172</v>
      </c>
      <c r="B13" s="127" t="s">
        <v>943</v>
      </c>
      <c r="C13" s="127" t="s">
        <v>607</v>
      </c>
      <c r="D13" s="127" t="s">
        <v>103</v>
      </c>
      <c r="E13" s="128">
        <v>965590.71400000004</v>
      </c>
      <c r="F13" s="128">
        <v>11390841.560000001</v>
      </c>
      <c r="G13" s="128">
        <v>11.7967596361951</v>
      </c>
      <c r="H13" s="128">
        <v>522211977.23000002</v>
      </c>
      <c r="I13" s="128">
        <v>11.796800000000001</v>
      </c>
      <c r="J13" s="129">
        <v>43190</v>
      </c>
      <c r="K13" s="127" t="s">
        <v>944</v>
      </c>
      <c r="L13" s="127" t="s">
        <v>945</v>
      </c>
      <c r="M13" s="127" t="s">
        <v>932</v>
      </c>
      <c r="N13" s="127" t="s">
        <v>946</v>
      </c>
      <c r="O13" s="127" t="s">
        <v>879</v>
      </c>
      <c r="P13" s="127" t="s">
        <v>880</v>
      </c>
      <c r="Q13" s="128">
        <v>11.796800000000001</v>
      </c>
      <c r="R13" s="128">
        <v>11.796800000000001</v>
      </c>
      <c r="S13" s="128">
        <v>84248</v>
      </c>
      <c r="T13" s="127" t="s">
        <v>608</v>
      </c>
      <c r="U13" s="127" t="s">
        <v>895</v>
      </c>
      <c r="V13" s="129">
        <v>43189</v>
      </c>
      <c r="W13" s="128">
        <v>11.795900000000001</v>
      </c>
      <c r="X13" s="128">
        <v>11.7959012704424</v>
      </c>
      <c r="Y13" s="128">
        <v>9.0000000000000008E-4</v>
      </c>
      <c r="Z13" s="128">
        <v>7.6297696657313093E-3</v>
      </c>
      <c r="AA13" s="128">
        <v>2.7848999999999999</v>
      </c>
      <c r="AB13" s="128">
        <v>8.5836575266999993E-4</v>
      </c>
      <c r="AC13" s="128">
        <v>7.2768136405214796E-3</v>
      </c>
      <c r="AD13" s="128">
        <v>2.6560000000000001</v>
      </c>
      <c r="AE13" s="127" t="s">
        <v>934</v>
      </c>
      <c r="AF13" s="127" t="s">
        <v>43</v>
      </c>
      <c r="AH13" s="127" t="s">
        <v>896</v>
      </c>
      <c r="AI13" s="127" t="s">
        <v>947</v>
      </c>
      <c r="AK13" s="127" t="s">
        <v>948</v>
      </c>
      <c r="AL13" s="139">
        <f t="shared" si="0"/>
        <v>52.221197723000003</v>
      </c>
      <c r="AN13" s="127" t="b">
        <f t="shared" si="1"/>
        <v>1</v>
      </c>
    </row>
    <row r="14" spans="1:40" ht="12.75" hidden="1" customHeight="1">
      <c r="A14" s="127" t="str">
        <f>+VLOOKUP(C14,'code mapping'!A:C,3,0)</f>
        <v>LIC172</v>
      </c>
      <c r="B14" s="127" t="s">
        <v>949</v>
      </c>
      <c r="C14" s="127" t="s">
        <v>607</v>
      </c>
      <c r="D14" s="127" t="s">
        <v>105</v>
      </c>
      <c r="E14" s="128">
        <v>28833757.625999998</v>
      </c>
      <c r="F14" s="128">
        <v>340144899.31999999</v>
      </c>
      <c r="G14" s="128">
        <v>11.796759330920002</v>
      </c>
      <c r="H14" s="128">
        <v>522211977.23000002</v>
      </c>
      <c r="I14" s="128">
        <v>11.796800000000001</v>
      </c>
      <c r="J14" s="129">
        <v>43190</v>
      </c>
      <c r="K14" s="127" t="s">
        <v>950</v>
      </c>
      <c r="L14" s="127" t="s">
        <v>951</v>
      </c>
      <c r="M14" s="127" t="s">
        <v>932</v>
      </c>
      <c r="N14" s="127" t="s">
        <v>952</v>
      </c>
      <c r="O14" s="127" t="s">
        <v>879</v>
      </c>
      <c r="P14" s="127" t="s">
        <v>880</v>
      </c>
      <c r="Q14" s="128">
        <v>11.796800000000001</v>
      </c>
      <c r="R14" s="128">
        <v>11.796800000000001</v>
      </c>
      <c r="S14" s="128">
        <v>84249</v>
      </c>
      <c r="T14" s="127" t="s">
        <v>608</v>
      </c>
      <c r="U14" s="127" t="s">
        <v>902</v>
      </c>
      <c r="V14" s="129">
        <v>43189</v>
      </c>
      <c r="W14" s="128">
        <v>11.795900000000001</v>
      </c>
      <c r="X14" s="128">
        <v>11.7959009634355</v>
      </c>
      <c r="Y14" s="128">
        <v>9.0000000000000008E-4</v>
      </c>
      <c r="Z14" s="128">
        <v>7.6297696657313093E-3</v>
      </c>
      <c r="AA14" s="128">
        <v>2.7848999999999999</v>
      </c>
      <c r="AB14" s="128">
        <v>8.5836748442999998E-4</v>
      </c>
      <c r="AC14" s="128">
        <v>7.2768285109440509E-3</v>
      </c>
      <c r="AD14" s="128">
        <v>2.6560000000000001</v>
      </c>
      <c r="AE14" s="127" t="s">
        <v>934</v>
      </c>
      <c r="AF14" s="127" t="s">
        <v>43</v>
      </c>
      <c r="AH14" s="127" t="s">
        <v>896</v>
      </c>
      <c r="AI14" s="127" t="s">
        <v>953</v>
      </c>
      <c r="AK14" s="127" t="s">
        <v>954</v>
      </c>
      <c r="AL14" s="139">
        <f t="shared" si="0"/>
        <v>52.221197723000003</v>
      </c>
      <c r="AN14" s="127" t="b">
        <f t="shared" si="1"/>
        <v>1</v>
      </c>
    </row>
    <row r="15" spans="1:40" ht="12.75" hidden="1" customHeight="1">
      <c r="A15" s="127" t="str">
        <f>+VLOOKUP(C15,'code mapping'!A:C,3,0)</f>
        <v>LIC173</v>
      </c>
      <c r="B15" s="127" t="s">
        <v>955</v>
      </c>
      <c r="C15" s="127" t="s">
        <v>614</v>
      </c>
      <c r="D15" s="127" t="s">
        <v>874</v>
      </c>
      <c r="E15" s="128">
        <v>16000</v>
      </c>
      <c r="F15" s="128">
        <v>193157.06</v>
      </c>
      <c r="G15" s="128">
        <v>12.072316249999998</v>
      </c>
      <c r="H15" s="128">
        <v>326169769.75</v>
      </c>
      <c r="I15" s="128">
        <v>12.0723</v>
      </c>
      <c r="J15" s="129">
        <v>43190</v>
      </c>
      <c r="K15" s="127" t="s">
        <v>956</v>
      </c>
      <c r="L15" s="127" t="s">
        <v>957</v>
      </c>
      <c r="M15" s="127" t="s">
        <v>958</v>
      </c>
      <c r="N15" s="127" t="s">
        <v>959</v>
      </c>
      <c r="O15" s="127" t="s">
        <v>879</v>
      </c>
      <c r="P15" s="127" t="s">
        <v>880</v>
      </c>
      <c r="Q15" s="128">
        <v>12.0723</v>
      </c>
      <c r="R15" s="128">
        <v>12.0723</v>
      </c>
      <c r="S15" s="128">
        <v>84254</v>
      </c>
      <c r="T15" s="127" t="s">
        <v>615</v>
      </c>
      <c r="U15" s="127" t="s">
        <v>881</v>
      </c>
      <c r="V15" s="129">
        <v>43189</v>
      </c>
      <c r="W15" s="128">
        <v>12.071100000000001</v>
      </c>
      <c r="X15" s="128">
        <v>12.0710975</v>
      </c>
      <c r="Y15" s="128">
        <v>1.2000000000000001E-3</v>
      </c>
      <c r="Z15" s="128">
        <v>9.9410989884931803E-3</v>
      </c>
      <c r="AA15" s="128">
        <v>3.6285000000000003</v>
      </c>
      <c r="AB15" s="128">
        <v>1.21875E-3</v>
      </c>
      <c r="AC15" s="128">
        <v>1.00964307512221E-2</v>
      </c>
      <c r="AD15" s="128">
        <v>3.6852</v>
      </c>
      <c r="AE15" s="127" t="s">
        <v>960</v>
      </c>
      <c r="AF15" s="127" t="s">
        <v>44</v>
      </c>
      <c r="AH15" s="127" t="s">
        <v>882</v>
      </c>
      <c r="AI15" s="127" t="s">
        <v>961</v>
      </c>
      <c r="AK15" s="127" t="s">
        <v>962</v>
      </c>
      <c r="AL15" s="139">
        <f t="shared" si="0"/>
        <v>32.616976975</v>
      </c>
      <c r="AN15" s="127" t="b">
        <f t="shared" si="1"/>
        <v>1</v>
      </c>
    </row>
    <row r="16" spans="1:40" ht="12.75" hidden="1" customHeight="1">
      <c r="A16" s="127" t="str">
        <f>+VLOOKUP(C16,'code mapping'!A:C,3,0)</f>
        <v>LIC173</v>
      </c>
      <c r="B16" s="127" t="s">
        <v>963</v>
      </c>
      <c r="C16" s="127" t="s">
        <v>614</v>
      </c>
      <c r="D16" s="127" t="s">
        <v>885</v>
      </c>
      <c r="E16" s="128">
        <v>8380470.6050000004</v>
      </c>
      <c r="F16" s="128">
        <v>101171290.81999999</v>
      </c>
      <c r="G16" s="128">
        <v>12.072268442733797</v>
      </c>
      <c r="H16" s="128">
        <v>326169769.75</v>
      </c>
      <c r="I16" s="128">
        <v>12.0723</v>
      </c>
      <c r="J16" s="129">
        <v>43190</v>
      </c>
      <c r="K16" s="127" t="s">
        <v>964</v>
      </c>
      <c r="L16" s="127" t="s">
        <v>965</v>
      </c>
      <c r="M16" s="127" t="s">
        <v>958</v>
      </c>
      <c r="N16" s="127" t="s">
        <v>966</v>
      </c>
      <c r="O16" s="127" t="s">
        <v>879</v>
      </c>
      <c r="P16" s="127" t="s">
        <v>880</v>
      </c>
      <c r="Q16" s="128">
        <v>12.0723</v>
      </c>
      <c r="R16" s="128">
        <v>12.0723</v>
      </c>
      <c r="S16" s="128">
        <v>84255</v>
      </c>
      <c r="T16" s="127" t="s">
        <v>615</v>
      </c>
      <c r="U16" s="127" t="s">
        <v>889</v>
      </c>
      <c r="V16" s="129">
        <v>43189</v>
      </c>
      <c r="W16" s="128">
        <v>12.071100000000001</v>
      </c>
      <c r="X16" s="128">
        <v>12.0710500934929</v>
      </c>
      <c r="Y16" s="128">
        <v>1.2000000000000001E-3</v>
      </c>
      <c r="Z16" s="128">
        <v>9.9410989884931803E-3</v>
      </c>
      <c r="AA16" s="128">
        <v>3.6285000000000003</v>
      </c>
      <c r="AB16" s="128">
        <v>1.2183492408999999E-3</v>
      </c>
      <c r="AC16" s="128">
        <v>1.0093150400864998E-2</v>
      </c>
      <c r="AD16" s="128">
        <v>3.6840000000000002</v>
      </c>
      <c r="AE16" s="127" t="s">
        <v>960</v>
      </c>
      <c r="AF16" s="127" t="s">
        <v>44</v>
      </c>
      <c r="AH16" s="127" t="s">
        <v>882</v>
      </c>
      <c r="AI16" s="127" t="s">
        <v>967</v>
      </c>
      <c r="AK16" s="127" t="s">
        <v>968</v>
      </c>
      <c r="AL16" s="139">
        <f t="shared" si="0"/>
        <v>32.616976975</v>
      </c>
      <c r="AN16" s="127" t="b">
        <f t="shared" si="1"/>
        <v>1</v>
      </c>
    </row>
    <row r="17" spans="1:40" ht="12.75" hidden="1" customHeight="1">
      <c r="A17" s="127" t="str">
        <f>+VLOOKUP(C17,'code mapping'!A:C,3,0)</f>
        <v>LIC173</v>
      </c>
      <c r="B17" s="127" t="s">
        <v>969</v>
      </c>
      <c r="C17" s="127" t="s">
        <v>614</v>
      </c>
      <c r="D17" s="127" t="s">
        <v>103</v>
      </c>
      <c r="E17" s="128">
        <v>1018201.725</v>
      </c>
      <c r="F17" s="128">
        <v>11967510.67</v>
      </c>
      <c r="G17" s="128">
        <v>11.753575324182499</v>
      </c>
      <c r="H17" s="128">
        <v>326169769.75</v>
      </c>
      <c r="I17" s="128">
        <v>11.7536</v>
      </c>
      <c r="J17" s="129">
        <v>43190</v>
      </c>
      <c r="K17" s="127" t="s">
        <v>970</v>
      </c>
      <c r="L17" s="127" t="s">
        <v>971</v>
      </c>
      <c r="M17" s="127" t="s">
        <v>958</v>
      </c>
      <c r="N17" s="127" t="s">
        <v>972</v>
      </c>
      <c r="O17" s="127" t="s">
        <v>879</v>
      </c>
      <c r="P17" s="127" t="s">
        <v>880</v>
      </c>
      <c r="Q17" s="128">
        <v>11.7536</v>
      </c>
      <c r="R17" s="128">
        <v>11.7536</v>
      </c>
      <c r="S17" s="128">
        <v>84252</v>
      </c>
      <c r="T17" s="127" t="s">
        <v>615</v>
      </c>
      <c r="U17" s="127" t="s">
        <v>895</v>
      </c>
      <c r="V17" s="129">
        <v>43189</v>
      </c>
      <c r="W17" s="128">
        <v>11.752699999999999</v>
      </c>
      <c r="X17" s="128">
        <v>11.752720788211199</v>
      </c>
      <c r="Y17" s="128">
        <v>9.0000000000000008E-4</v>
      </c>
      <c r="Z17" s="128">
        <v>7.6578148000033992E-3</v>
      </c>
      <c r="AA17" s="128">
        <v>2.7950999999999997</v>
      </c>
      <c r="AB17" s="128">
        <v>8.5453597124999993E-4</v>
      </c>
      <c r="AC17" s="128">
        <v>7.2709629255138901E-3</v>
      </c>
      <c r="AD17" s="128">
        <v>2.6538999999999997</v>
      </c>
      <c r="AE17" s="127" t="s">
        <v>960</v>
      </c>
      <c r="AF17" s="127" t="s">
        <v>44</v>
      </c>
      <c r="AH17" s="127" t="s">
        <v>896</v>
      </c>
      <c r="AI17" s="127" t="s">
        <v>973</v>
      </c>
      <c r="AK17" s="127" t="s">
        <v>974</v>
      </c>
      <c r="AL17" s="139">
        <f t="shared" si="0"/>
        <v>32.616976975</v>
      </c>
      <c r="AN17" s="127" t="b">
        <f t="shared" si="1"/>
        <v>1</v>
      </c>
    </row>
    <row r="18" spans="1:40" ht="12.75" hidden="1" customHeight="1">
      <c r="A18" s="127" t="str">
        <f>+VLOOKUP(C18,'code mapping'!A:C,3,0)</f>
        <v>LIC173</v>
      </c>
      <c r="B18" s="127" t="s">
        <v>975</v>
      </c>
      <c r="C18" s="127" t="s">
        <v>614</v>
      </c>
      <c r="D18" s="127" t="s">
        <v>105</v>
      </c>
      <c r="E18" s="128">
        <v>18108420.978</v>
      </c>
      <c r="F18" s="128">
        <v>212837811.19999999</v>
      </c>
      <c r="G18" s="128">
        <v>11.753526796101001</v>
      </c>
      <c r="H18" s="128">
        <v>326169769.75</v>
      </c>
      <c r="I18" s="128">
        <v>11.753500000000001</v>
      </c>
      <c r="J18" s="129">
        <v>43190</v>
      </c>
      <c r="K18" s="127" t="s">
        <v>976</v>
      </c>
      <c r="L18" s="127" t="s">
        <v>977</v>
      </c>
      <c r="M18" s="127" t="s">
        <v>958</v>
      </c>
      <c r="N18" s="127" t="s">
        <v>978</v>
      </c>
      <c r="O18" s="127" t="s">
        <v>879</v>
      </c>
      <c r="P18" s="127" t="s">
        <v>880</v>
      </c>
      <c r="Q18" s="128">
        <v>11.753500000000001</v>
      </c>
      <c r="R18" s="128">
        <v>11.753500000000001</v>
      </c>
      <c r="S18" s="128">
        <v>84253</v>
      </c>
      <c r="T18" s="127" t="s">
        <v>615</v>
      </c>
      <c r="U18" s="127" t="s">
        <v>902</v>
      </c>
      <c r="V18" s="129">
        <v>43189</v>
      </c>
      <c r="W18" s="128">
        <v>11.752699999999999</v>
      </c>
      <c r="X18" s="128">
        <v>11.752672272119097</v>
      </c>
      <c r="Y18" s="128">
        <v>8.0000000000000004E-4</v>
      </c>
      <c r="Z18" s="128">
        <v>6.8069464888919099E-3</v>
      </c>
      <c r="AA18" s="128">
        <v>2.4845000000000002</v>
      </c>
      <c r="AB18" s="128">
        <v>8.5452398188999991E-4</v>
      </c>
      <c r="AC18" s="128">
        <v>7.2708909267996105E-3</v>
      </c>
      <c r="AD18" s="128">
        <v>2.6538999999999997</v>
      </c>
      <c r="AE18" s="127" t="s">
        <v>960</v>
      </c>
      <c r="AF18" s="127" t="s">
        <v>44</v>
      </c>
      <c r="AH18" s="127" t="s">
        <v>896</v>
      </c>
      <c r="AI18" s="127" t="s">
        <v>979</v>
      </c>
      <c r="AK18" s="127" t="s">
        <v>980</v>
      </c>
      <c r="AL18" s="139">
        <f t="shared" si="0"/>
        <v>32.616976975</v>
      </c>
      <c r="AN18" s="127" t="b">
        <f t="shared" si="1"/>
        <v>1</v>
      </c>
    </row>
    <row r="19" spans="1:40" ht="12.75" hidden="1" customHeight="1">
      <c r="A19" s="127" t="str">
        <f>+VLOOKUP(C19,'code mapping'!A:C,3,0)</f>
        <v>LIC174</v>
      </c>
      <c r="B19" s="127" t="s">
        <v>981</v>
      </c>
      <c r="C19" s="127" t="s">
        <v>616</v>
      </c>
      <c r="D19" s="127" t="s">
        <v>874</v>
      </c>
      <c r="E19" s="128">
        <v>11300</v>
      </c>
      <c r="F19" s="128">
        <v>136819.92000000001</v>
      </c>
      <c r="G19" s="128">
        <v>12.1079575221239</v>
      </c>
      <c r="H19" s="128">
        <v>244740174.63999999</v>
      </c>
      <c r="I19" s="128">
        <v>12.107999999999999</v>
      </c>
      <c r="J19" s="129">
        <v>43190</v>
      </c>
      <c r="K19" s="127" t="s">
        <v>982</v>
      </c>
      <c r="L19" s="127" t="s">
        <v>983</v>
      </c>
      <c r="M19" s="127" t="s">
        <v>984</v>
      </c>
      <c r="N19" s="127" t="s">
        <v>985</v>
      </c>
      <c r="O19" s="127" t="s">
        <v>879</v>
      </c>
      <c r="P19" s="127" t="s">
        <v>880</v>
      </c>
      <c r="Q19" s="128">
        <v>12.107999999999999</v>
      </c>
      <c r="R19" s="128">
        <v>12.107999999999999</v>
      </c>
      <c r="S19" s="128">
        <v>84258</v>
      </c>
      <c r="T19" s="127" t="s">
        <v>617</v>
      </c>
      <c r="U19" s="127" t="s">
        <v>881</v>
      </c>
      <c r="V19" s="129">
        <v>43189</v>
      </c>
      <c r="W19" s="128">
        <v>12.107000000000001</v>
      </c>
      <c r="X19" s="128">
        <v>12.106980530973498</v>
      </c>
      <c r="Y19" s="128">
        <v>1E-3</v>
      </c>
      <c r="Z19" s="128">
        <v>8.2596844800528584E-3</v>
      </c>
      <c r="AA19" s="128">
        <v>3.0148000000000001</v>
      </c>
      <c r="AB19" s="128">
        <v>9.7699115044000005E-4</v>
      </c>
      <c r="AC19" s="128">
        <v>8.0696516190849592E-3</v>
      </c>
      <c r="AD19" s="128">
        <v>2.9454000000000002</v>
      </c>
      <c r="AE19" s="127" t="s">
        <v>986</v>
      </c>
      <c r="AF19" s="127" t="s">
        <v>45</v>
      </c>
      <c r="AH19" s="127" t="s">
        <v>882</v>
      </c>
      <c r="AI19" s="127" t="s">
        <v>987</v>
      </c>
      <c r="AK19" s="127" t="s">
        <v>988</v>
      </c>
      <c r="AL19" s="139">
        <f t="shared" si="0"/>
        <v>24.474017463999999</v>
      </c>
      <c r="AN19" s="127" t="b">
        <f t="shared" si="1"/>
        <v>1</v>
      </c>
    </row>
    <row r="20" spans="1:40" ht="12.75" hidden="1" customHeight="1">
      <c r="A20" s="127" t="str">
        <f>+VLOOKUP(C20,'code mapping'!A:C,3,0)</f>
        <v>LIC174</v>
      </c>
      <c r="B20" s="127" t="s">
        <v>989</v>
      </c>
      <c r="C20" s="127" t="s">
        <v>616</v>
      </c>
      <c r="D20" s="127" t="s">
        <v>885</v>
      </c>
      <c r="E20" s="128">
        <v>7129400.9639999997</v>
      </c>
      <c r="F20" s="128">
        <v>86322716.230000004</v>
      </c>
      <c r="G20" s="128">
        <v>12.107990091437898</v>
      </c>
      <c r="H20" s="128">
        <v>244740174.63999999</v>
      </c>
      <c r="I20" s="128">
        <v>12.107999999999999</v>
      </c>
      <c r="J20" s="129">
        <v>43190</v>
      </c>
      <c r="K20" s="127" t="s">
        <v>990</v>
      </c>
      <c r="L20" s="127" t="s">
        <v>991</v>
      </c>
      <c r="M20" s="127" t="s">
        <v>984</v>
      </c>
      <c r="N20" s="127" t="s">
        <v>992</v>
      </c>
      <c r="O20" s="127" t="s">
        <v>879</v>
      </c>
      <c r="P20" s="127" t="s">
        <v>880</v>
      </c>
      <c r="Q20" s="128">
        <v>12.107999999999999</v>
      </c>
      <c r="R20" s="128">
        <v>12.107999999999999</v>
      </c>
      <c r="S20" s="128">
        <v>84259</v>
      </c>
      <c r="T20" s="127" t="s">
        <v>617</v>
      </c>
      <c r="U20" s="127" t="s">
        <v>889</v>
      </c>
      <c r="V20" s="129">
        <v>43189</v>
      </c>
      <c r="W20" s="128">
        <v>12.107000000000001</v>
      </c>
      <c r="X20" s="128">
        <v>12.107012306623298</v>
      </c>
      <c r="Y20" s="128">
        <v>1E-3</v>
      </c>
      <c r="Z20" s="128">
        <v>8.2596844800528584E-3</v>
      </c>
      <c r="AA20" s="128">
        <v>3.0148000000000001</v>
      </c>
      <c r="AB20" s="128">
        <v>9.7778481462999995E-4</v>
      </c>
      <c r="AC20" s="128">
        <v>8.0761858488827207E-3</v>
      </c>
      <c r="AD20" s="128">
        <v>2.9477999999999995</v>
      </c>
      <c r="AE20" s="127" t="s">
        <v>986</v>
      </c>
      <c r="AF20" s="127" t="s">
        <v>45</v>
      </c>
      <c r="AH20" s="127" t="s">
        <v>882</v>
      </c>
      <c r="AI20" s="127" t="s">
        <v>993</v>
      </c>
      <c r="AK20" s="127" t="s">
        <v>994</v>
      </c>
      <c r="AL20" s="139">
        <f t="shared" si="0"/>
        <v>24.474017463999999</v>
      </c>
      <c r="AN20" s="127" t="b">
        <f t="shared" si="1"/>
        <v>1</v>
      </c>
    </row>
    <row r="21" spans="1:40" ht="12.75" hidden="1" customHeight="1">
      <c r="A21" s="127" t="str">
        <f>+VLOOKUP(C21,'code mapping'!A:C,3,0)</f>
        <v>LIC174</v>
      </c>
      <c r="B21" s="127" t="s">
        <v>995</v>
      </c>
      <c r="C21" s="127" t="s">
        <v>616</v>
      </c>
      <c r="D21" s="127" t="s">
        <v>103</v>
      </c>
      <c r="E21" s="128">
        <v>279950</v>
      </c>
      <c r="F21" s="128">
        <v>3306158.48</v>
      </c>
      <c r="G21" s="128">
        <v>11.809817753170199</v>
      </c>
      <c r="H21" s="128">
        <v>244740174.63999999</v>
      </c>
      <c r="I21" s="128">
        <v>11.809800000000001</v>
      </c>
      <c r="J21" s="129">
        <v>43190</v>
      </c>
      <c r="K21" s="127" t="s">
        <v>996</v>
      </c>
      <c r="L21" s="127" t="s">
        <v>997</v>
      </c>
      <c r="M21" s="127" t="s">
        <v>984</v>
      </c>
      <c r="N21" s="127" t="s">
        <v>998</v>
      </c>
      <c r="O21" s="127" t="s">
        <v>879</v>
      </c>
      <c r="P21" s="127" t="s">
        <v>880</v>
      </c>
      <c r="Q21" s="128">
        <v>11.809800000000001</v>
      </c>
      <c r="R21" s="128">
        <v>11.809800000000001</v>
      </c>
      <c r="S21" s="128">
        <v>84256</v>
      </c>
      <c r="T21" s="127" t="s">
        <v>617</v>
      </c>
      <c r="U21" s="127" t="s">
        <v>895</v>
      </c>
      <c r="V21" s="129">
        <v>43189</v>
      </c>
      <c r="W21" s="128">
        <v>11.809200000000001</v>
      </c>
      <c r="X21" s="128">
        <v>11.809194106090398</v>
      </c>
      <c r="Y21" s="128">
        <v>6.0000000000000006E-4</v>
      </c>
      <c r="Z21" s="128">
        <v>5.0807844731226501E-3</v>
      </c>
      <c r="AA21" s="128">
        <v>1.8545000000000003</v>
      </c>
      <c r="AB21" s="128">
        <v>6.2364707983999991E-4</v>
      </c>
      <c r="AC21" s="128">
        <v>5.2810299689998799E-3</v>
      </c>
      <c r="AD21" s="128">
        <v>1.9276000000000002</v>
      </c>
      <c r="AE21" s="127" t="s">
        <v>986</v>
      </c>
      <c r="AF21" s="127" t="s">
        <v>45</v>
      </c>
      <c r="AH21" s="127" t="s">
        <v>896</v>
      </c>
      <c r="AI21" s="127" t="s">
        <v>999</v>
      </c>
      <c r="AK21" s="127" t="s">
        <v>1000</v>
      </c>
      <c r="AL21" s="139">
        <f t="shared" si="0"/>
        <v>24.474017463999999</v>
      </c>
      <c r="AN21" s="127" t="b">
        <f t="shared" si="1"/>
        <v>1</v>
      </c>
    </row>
    <row r="22" spans="1:40" ht="12.75" hidden="1" customHeight="1">
      <c r="A22" s="127" t="str">
        <f>+VLOOKUP(C22,'code mapping'!A:C,3,0)</f>
        <v>LIC174</v>
      </c>
      <c r="B22" s="127" t="s">
        <v>1001</v>
      </c>
      <c r="C22" s="127" t="s">
        <v>616</v>
      </c>
      <c r="D22" s="127" t="s">
        <v>105</v>
      </c>
      <c r="E22" s="128">
        <v>13122516.875</v>
      </c>
      <c r="F22" s="128">
        <v>154974480.00999999</v>
      </c>
      <c r="G22" s="128">
        <v>11.8098137336173</v>
      </c>
      <c r="H22" s="128">
        <v>244740174.63999999</v>
      </c>
      <c r="I22" s="128">
        <v>11.809800000000001</v>
      </c>
      <c r="J22" s="129">
        <v>43190</v>
      </c>
      <c r="K22" s="127" t="s">
        <v>1002</v>
      </c>
      <c r="L22" s="127" t="s">
        <v>1003</v>
      </c>
      <c r="M22" s="127" t="s">
        <v>984</v>
      </c>
      <c r="N22" s="127" t="s">
        <v>1004</v>
      </c>
      <c r="O22" s="127" t="s">
        <v>879</v>
      </c>
      <c r="P22" s="127" t="s">
        <v>880</v>
      </c>
      <c r="Q22" s="128">
        <v>11.809800000000001</v>
      </c>
      <c r="R22" s="128">
        <v>11.809800000000001</v>
      </c>
      <c r="S22" s="128">
        <v>84257</v>
      </c>
      <c r="T22" s="127" t="s">
        <v>617</v>
      </c>
      <c r="U22" s="127" t="s">
        <v>902</v>
      </c>
      <c r="V22" s="129">
        <v>43189</v>
      </c>
      <c r="W22" s="128">
        <v>11.809200000000001</v>
      </c>
      <c r="X22" s="128">
        <v>11.809190042287499</v>
      </c>
      <c r="Y22" s="128">
        <v>6.0000000000000006E-4</v>
      </c>
      <c r="Z22" s="128">
        <v>5.0807844731226501E-3</v>
      </c>
      <c r="AA22" s="128">
        <v>1.8545000000000003</v>
      </c>
      <c r="AB22" s="128">
        <v>6.2369132979999992E-4</v>
      </c>
      <c r="AC22" s="128">
        <v>5.28140649415095E-3</v>
      </c>
      <c r="AD22" s="128">
        <v>1.9277000000000002</v>
      </c>
      <c r="AE22" s="127" t="s">
        <v>986</v>
      </c>
      <c r="AF22" s="127" t="s">
        <v>45</v>
      </c>
      <c r="AH22" s="127" t="s">
        <v>896</v>
      </c>
      <c r="AI22" s="127" t="s">
        <v>1005</v>
      </c>
      <c r="AK22" s="127" t="s">
        <v>1006</v>
      </c>
      <c r="AL22" s="139">
        <f t="shared" si="0"/>
        <v>24.474017463999999</v>
      </c>
      <c r="AN22" s="127" t="b">
        <f t="shared" si="1"/>
        <v>1</v>
      </c>
    </row>
    <row r="23" spans="1:40" ht="12.75" hidden="1" customHeight="1">
      <c r="A23" s="127" t="str">
        <f>+VLOOKUP(C23,'code mapping'!A:C,3,0)</f>
        <v>LIC168</v>
      </c>
      <c r="B23" s="127" t="s">
        <v>1007</v>
      </c>
      <c r="C23" s="127" t="s">
        <v>618</v>
      </c>
      <c r="D23" s="127" t="s">
        <v>1008</v>
      </c>
      <c r="E23" s="128">
        <v>42225513</v>
      </c>
      <c r="F23" s="128">
        <v>716283951.29999995</v>
      </c>
      <c r="G23" s="128">
        <v>16.963297788708903</v>
      </c>
      <c r="H23" s="128">
        <v>716283951.29999995</v>
      </c>
      <c r="I23" s="128">
        <v>16.9633</v>
      </c>
      <c r="J23" s="129">
        <v>43190</v>
      </c>
      <c r="K23" s="127" t="s">
        <v>1009</v>
      </c>
      <c r="L23" s="127" t="s">
        <v>1010</v>
      </c>
      <c r="M23" s="127" t="s">
        <v>1011</v>
      </c>
      <c r="N23" s="127" t="s">
        <v>1012</v>
      </c>
      <c r="O23" s="127" t="s">
        <v>879</v>
      </c>
      <c r="P23" s="127" t="s">
        <v>880</v>
      </c>
      <c r="Q23" s="128">
        <v>16.9633</v>
      </c>
      <c r="R23" s="128">
        <v>16.9633</v>
      </c>
      <c r="S23" s="128">
        <v>84247</v>
      </c>
      <c r="T23" s="127" t="s">
        <v>619</v>
      </c>
      <c r="U23" s="127" t="s">
        <v>1013</v>
      </c>
      <c r="V23" s="129">
        <v>43189</v>
      </c>
      <c r="W23" s="128">
        <v>16.96</v>
      </c>
      <c r="X23" s="128">
        <v>16.959956107341998</v>
      </c>
      <c r="Y23" s="128">
        <v>3.3E-3</v>
      </c>
      <c r="Z23" s="128">
        <v>1.9457547169811299E-2</v>
      </c>
      <c r="AA23" s="128">
        <v>7.1020000000000003</v>
      </c>
      <c r="AB23" s="128">
        <v>3.3416813669099998E-3</v>
      </c>
      <c r="AC23" s="128">
        <v>1.9703360938908201E-2</v>
      </c>
      <c r="AD23" s="128">
        <v>7.1917</v>
      </c>
      <c r="AE23" s="127" t="s">
        <v>413</v>
      </c>
      <c r="AF23" s="127" t="s">
        <v>39</v>
      </c>
      <c r="AH23" s="127" t="s">
        <v>106</v>
      </c>
      <c r="AI23" s="127" t="s">
        <v>1014</v>
      </c>
      <c r="AK23" s="127" t="s">
        <v>1015</v>
      </c>
      <c r="AL23" s="139">
        <f t="shared" si="0"/>
        <v>71.628395130000001</v>
      </c>
      <c r="AN23" s="127" t="b">
        <f t="shared" si="1"/>
        <v>1</v>
      </c>
    </row>
    <row r="24" spans="1:40" ht="12.75" hidden="1" customHeight="1">
      <c r="A24" s="127" t="str">
        <f>+VLOOKUP(C24,'code mapping'!A:C,3,0)</f>
        <v>LIC34</v>
      </c>
      <c r="B24" s="127" t="s">
        <v>1016</v>
      </c>
      <c r="C24" s="127" t="s">
        <v>623</v>
      </c>
      <c r="D24" s="127" t="s">
        <v>874</v>
      </c>
      <c r="E24" s="128">
        <v>69.906000000000006</v>
      </c>
      <c r="F24" s="128">
        <v>764.22</v>
      </c>
      <c r="G24" s="128">
        <v>10.9321088318599</v>
      </c>
      <c r="H24" s="128">
        <v>763026559.12</v>
      </c>
      <c r="I24" s="128">
        <v>10.9321</v>
      </c>
      <c r="J24" s="129">
        <v>43190</v>
      </c>
      <c r="K24" s="127" t="s">
        <v>1017</v>
      </c>
      <c r="L24" s="127" t="s">
        <v>1018</v>
      </c>
      <c r="M24" s="127" t="s">
        <v>1019</v>
      </c>
      <c r="N24" s="127" t="s">
        <v>1020</v>
      </c>
      <c r="O24" s="127" t="s">
        <v>879</v>
      </c>
      <c r="P24" s="127" t="s">
        <v>880</v>
      </c>
      <c r="Q24" s="128">
        <v>10.9321</v>
      </c>
      <c r="R24" s="128">
        <v>10.9048</v>
      </c>
      <c r="S24" s="128">
        <v>84274</v>
      </c>
      <c r="T24" s="127" t="s">
        <v>624</v>
      </c>
      <c r="U24" s="127" t="s">
        <v>881</v>
      </c>
      <c r="V24" s="129">
        <v>43189</v>
      </c>
      <c r="W24" s="128">
        <v>10.930399999999999</v>
      </c>
      <c r="X24" s="128">
        <v>10.930392241009399</v>
      </c>
      <c r="Y24" s="128">
        <v>1.7000000000000001E-3</v>
      </c>
      <c r="Z24" s="128">
        <v>1.5552953231354799E-2</v>
      </c>
      <c r="AA24" s="128">
        <v>5.676800000000001</v>
      </c>
      <c r="AB24" s="128">
        <v>1.7165908505699997E-3</v>
      </c>
      <c r="AC24" s="128">
        <v>1.5704750687075799E-2</v>
      </c>
      <c r="AD24" s="128">
        <v>5.7322000000000006</v>
      </c>
      <c r="AE24" s="127" t="s">
        <v>624</v>
      </c>
      <c r="AF24" s="127" t="s">
        <v>10</v>
      </c>
      <c r="AH24" s="127" t="s">
        <v>882</v>
      </c>
      <c r="AI24" s="127" t="s">
        <v>1021</v>
      </c>
      <c r="AL24" s="139">
        <f t="shared" si="0"/>
        <v>76.302655912000006</v>
      </c>
      <c r="AN24" s="127" t="b">
        <f t="shared" si="1"/>
        <v>1</v>
      </c>
    </row>
    <row r="25" spans="1:40" ht="12.75" hidden="1" customHeight="1">
      <c r="A25" s="127" t="str">
        <f>+VLOOKUP(C25,'code mapping'!A:C,3,0)</f>
        <v>LIC34</v>
      </c>
      <c r="B25" s="127" t="s">
        <v>1022</v>
      </c>
      <c r="C25" s="127" t="s">
        <v>623</v>
      </c>
      <c r="D25" s="127" t="s">
        <v>885</v>
      </c>
      <c r="E25" s="128">
        <v>8436036.716</v>
      </c>
      <c r="F25" s="128">
        <v>322470596.48000002</v>
      </c>
      <c r="G25" s="128">
        <v>38.225366642655096</v>
      </c>
      <c r="H25" s="128">
        <v>763026559.12</v>
      </c>
      <c r="I25" s="128">
        <v>38.2254</v>
      </c>
      <c r="J25" s="129">
        <v>43190</v>
      </c>
      <c r="K25" s="127" t="s">
        <v>1023</v>
      </c>
      <c r="L25" s="127" t="s">
        <v>1024</v>
      </c>
      <c r="M25" s="127" t="s">
        <v>1019</v>
      </c>
      <c r="N25" s="127" t="s">
        <v>1025</v>
      </c>
      <c r="O25" s="127" t="s">
        <v>879</v>
      </c>
      <c r="P25" s="127" t="s">
        <v>880</v>
      </c>
      <c r="Q25" s="128">
        <v>38.2254</v>
      </c>
      <c r="R25" s="128">
        <v>38.129800000000003</v>
      </c>
      <c r="S25" s="128">
        <v>84275</v>
      </c>
      <c r="T25" s="127" t="s">
        <v>624</v>
      </c>
      <c r="U25" s="127" t="s">
        <v>889</v>
      </c>
      <c r="V25" s="129">
        <v>43189</v>
      </c>
      <c r="W25" s="128">
        <v>38.219700000000003</v>
      </c>
      <c r="X25" s="128">
        <v>38.2196994861918</v>
      </c>
      <c r="Y25" s="128">
        <v>5.7000000000000002E-3</v>
      </c>
      <c r="Z25" s="128">
        <v>1.4913774833397399E-2</v>
      </c>
      <c r="AA25" s="128">
        <v>5.4435000000000002</v>
      </c>
      <c r="AB25" s="128">
        <v>5.6671564633299998E-3</v>
      </c>
      <c r="AC25" s="128">
        <v>1.4827841504555701E-2</v>
      </c>
      <c r="AD25" s="128">
        <v>5.4122000000000003</v>
      </c>
      <c r="AE25" s="127" t="s">
        <v>624</v>
      </c>
      <c r="AF25" s="127" t="s">
        <v>10</v>
      </c>
      <c r="AH25" s="127" t="s">
        <v>882</v>
      </c>
      <c r="AI25" s="127" t="s">
        <v>1026</v>
      </c>
      <c r="AL25" s="139">
        <f t="shared" si="0"/>
        <v>76.302655912000006</v>
      </c>
      <c r="AN25" s="127" t="b">
        <f t="shared" si="1"/>
        <v>1</v>
      </c>
    </row>
    <row r="26" spans="1:40" ht="12.75" hidden="1" customHeight="1">
      <c r="A26" s="127" t="str">
        <f>+VLOOKUP(C26,'code mapping'!A:C,3,0)</f>
        <v>LIC34</v>
      </c>
      <c r="B26" s="127" t="s">
        <v>1027</v>
      </c>
      <c r="C26" s="127" t="s">
        <v>623</v>
      </c>
      <c r="D26" s="127" t="s">
        <v>1028</v>
      </c>
      <c r="E26" s="128">
        <v>1322306.203</v>
      </c>
      <c r="F26" s="128">
        <v>18107339.199999999</v>
      </c>
      <c r="G26" s="128">
        <v>13.693756528494498</v>
      </c>
      <c r="H26" s="128">
        <v>763026559.12</v>
      </c>
      <c r="I26" s="128">
        <v>13.693800000000001</v>
      </c>
      <c r="J26" s="129">
        <v>43190</v>
      </c>
      <c r="K26" s="127" t="s">
        <v>1029</v>
      </c>
      <c r="L26" s="127" t="s">
        <v>1030</v>
      </c>
      <c r="M26" s="127" t="s">
        <v>1019</v>
      </c>
      <c r="N26" s="127" t="s">
        <v>1031</v>
      </c>
      <c r="O26" s="127" t="s">
        <v>879</v>
      </c>
      <c r="P26" s="127" t="s">
        <v>880</v>
      </c>
      <c r="Q26" s="128">
        <v>13.693800000000001</v>
      </c>
      <c r="R26" s="128">
        <v>13.659600000000001</v>
      </c>
      <c r="S26" s="128">
        <v>84276</v>
      </c>
      <c r="T26" s="127" t="s">
        <v>624</v>
      </c>
      <c r="U26" s="127" t="s">
        <v>1032</v>
      </c>
      <c r="V26" s="129">
        <v>43189</v>
      </c>
      <c r="W26" s="128">
        <v>13.6921</v>
      </c>
      <c r="X26" s="128">
        <v>13.692067048406599</v>
      </c>
      <c r="Y26" s="128">
        <v>1.7000000000000001E-3</v>
      </c>
      <c r="Z26" s="128">
        <v>1.2415918668429201E-2</v>
      </c>
      <c r="AA26" s="128">
        <v>4.5318000000000005</v>
      </c>
      <c r="AB26" s="128">
        <v>1.68948008784E-3</v>
      </c>
      <c r="AC26" s="128">
        <v>1.2339116379338801E-2</v>
      </c>
      <c r="AD26" s="128">
        <v>4.5038</v>
      </c>
      <c r="AE26" s="127" t="s">
        <v>624</v>
      </c>
      <c r="AF26" s="127" t="s">
        <v>10</v>
      </c>
      <c r="AH26" s="127" t="s">
        <v>1033</v>
      </c>
      <c r="AI26" s="127" t="s">
        <v>1034</v>
      </c>
      <c r="AL26" s="139">
        <f t="shared" si="0"/>
        <v>76.302655912000006</v>
      </c>
      <c r="AN26" s="127" t="b">
        <f t="shared" si="1"/>
        <v>1</v>
      </c>
    </row>
    <row r="27" spans="1:40" ht="12.75" hidden="1" customHeight="1">
      <c r="A27" s="127" t="str">
        <f>+VLOOKUP(C27,'code mapping'!A:C,3,0)</f>
        <v>LIC34</v>
      </c>
      <c r="B27" s="127" t="s">
        <v>1035</v>
      </c>
      <c r="C27" s="127" t="s">
        <v>623</v>
      </c>
      <c r="D27" s="127" t="s">
        <v>1036</v>
      </c>
      <c r="E27" s="128">
        <v>1806232.3810000001</v>
      </c>
      <c r="F27" s="128">
        <v>38223135.859999999</v>
      </c>
      <c r="G27" s="128">
        <v>21.161804130008001</v>
      </c>
      <c r="H27" s="128">
        <v>763026559.12</v>
      </c>
      <c r="I27" s="128">
        <v>21.161799999999999</v>
      </c>
      <c r="J27" s="129">
        <v>43190</v>
      </c>
      <c r="K27" s="127" t="s">
        <v>1037</v>
      </c>
      <c r="L27" s="127" t="s">
        <v>1038</v>
      </c>
      <c r="M27" s="127" t="s">
        <v>1019</v>
      </c>
      <c r="N27" s="127" t="s">
        <v>1039</v>
      </c>
      <c r="O27" s="127" t="s">
        <v>879</v>
      </c>
      <c r="P27" s="127" t="s">
        <v>880</v>
      </c>
      <c r="Q27" s="128">
        <v>21.161799999999999</v>
      </c>
      <c r="R27" s="128">
        <v>21.108900000000002</v>
      </c>
      <c r="S27" s="128">
        <v>84277</v>
      </c>
      <c r="T27" s="127" t="s">
        <v>624</v>
      </c>
      <c r="U27" s="127" t="s">
        <v>1040</v>
      </c>
      <c r="V27" s="129">
        <v>43189</v>
      </c>
      <c r="W27" s="128">
        <v>21.159200000000002</v>
      </c>
      <c r="X27" s="128">
        <v>21.159193269938399</v>
      </c>
      <c r="Y27" s="128">
        <v>2.5999999999999999E-3</v>
      </c>
      <c r="Z27" s="128">
        <v>1.22877991606488E-2</v>
      </c>
      <c r="AA27" s="128">
        <v>4.4850000000000003</v>
      </c>
      <c r="AB27" s="128">
        <v>2.6108600696199994E-3</v>
      </c>
      <c r="AC27" s="128">
        <v>1.2339128606237301E-2</v>
      </c>
      <c r="AD27" s="128">
        <v>4.5038</v>
      </c>
      <c r="AE27" s="127" t="s">
        <v>624</v>
      </c>
      <c r="AF27" s="127" t="s">
        <v>10</v>
      </c>
      <c r="AH27" s="127" t="s">
        <v>1033</v>
      </c>
      <c r="AI27" s="127" t="s">
        <v>1041</v>
      </c>
      <c r="AL27" s="139">
        <f t="shared" si="0"/>
        <v>76.302655912000006</v>
      </c>
      <c r="AN27" s="127" t="b">
        <f t="shared" si="1"/>
        <v>1</v>
      </c>
    </row>
    <row r="28" spans="1:40" ht="12.75" hidden="1" customHeight="1">
      <c r="A28" s="127" t="str">
        <f>+VLOOKUP(C28,'code mapping'!A:C,3,0)</f>
        <v>LIC34</v>
      </c>
      <c r="B28" s="127" t="s">
        <v>1042</v>
      </c>
      <c r="C28" s="127" t="s">
        <v>623</v>
      </c>
      <c r="D28" s="127" t="s">
        <v>103</v>
      </c>
      <c r="E28" s="128">
        <v>1378602.0379999997</v>
      </c>
      <c r="F28" s="128">
        <v>14559921.77</v>
      </c>
      <c r="G28" s="128">
        <v>10.561366782195298</v>
      </c>
      <c r="H28" s="128">
        <v>763026559.12</v>
      </c>
      <c r="I28" s="128">
        <v>10.561400000000001</v>
      </c>
      <c r="J28" s="129">
        <v>43190</v>
      </c>
      <c r="K28" s="127" t="s">
        <v>1043</v>
      </c>
      <c r="L28" s="127" t="s">
        <v>1044</v>
      </c>
      <c r="M28" s="127" t="s">
        <v>1019</v>
      </c>
      <c r="N28" s="127" t="s">
        <v>1045</v>
      </c>
      <c r="O28" s="127" t="s">
        <v>879</v>
      </c>
      <c r="P28" s="127" t="s">
        <v>880</v>
      </c>
      <c r="Q28" s="128">
        <v>10.561400000000001</v>
      </c>
      <c r="R28" s="128">
        <v>10.535</v>
      </c>
      <c r="S28" s="128">
        <v>84272</v>
      </c>
      <c r="T28" s="127" t="s">
        <v>624</v>
      </c>
      <c r="U28" s="127" t="s">
        <v>895</v>
      </c>
      <c r="V28" s="129">
        <v>43189</v>
      </c>
      <c r="W28" s="128">
        <v>10.5601</v>
      </c>
      <c r="X28" s="128">
        <v>10.560063759313799</v>
      </c>
      <c r="Y28" s="128">
        <v>1.2999999999999999E-3</v>
      </c>
      <c r="Z28" s="128">
        <v>1.2310489484001102E-2</v>
      </c>
      <c r="AA28" s="128">
        <v>4.4933000000000005</v>
      </c>
      <c r="AB28" s="128">
        <v>1.3030228815E-3</v>
      </c>
      <c r="AC28" s="128">
        <v>1.2339157330851801E-2</v>
      </c>
      <c r="AD28" s="128">
        <v>4.5038</v>
      </c>
      <c r="AE28" s="127" t="s">
        <v>624</v>
      </c>
      <c r="AF28" s="127" t="s">
        <v>10</v>
      </c>
      <c r="AH28" s="127" t="s">
        <v>896</v>
      </c>
      <c r="AI28" s="127" t="s">
        <v>1046</v>
      </c>
      <c r="AL28" s="139">
        <f t="shared" si="0"/>
        <v>76.302655912000006</v>
      </c>
      <c r="AN28" s="127" t="b">
        <f t="shared" si="1"/>
        <v>1</v>
      </c>
    </row>
    <row r="29" spans="1:40" ht="12.75" hidden="1" customHeight="1">
      <c r="A29" s="127" t="str">
        <f>+VLOOKUP(C29,'code mapping'!A:C,3,0)</f>
        <v>LIC34</v>
      </c>
      <c r="B29" s="127" t="s">
        <v>1047</v>
      </c>
      <c r="C29" s="127" t="s">
        <v>623</v>
      </c>
      <c r="D29" s="127" t="s">
        <v>105</v>
      </c>
      <c r="E29" s="128">
        <v>10089129.835000001</v>
      </c>
      <c r="F29" s="128">
        <v>369664801.58999997</v>
      </c>
      <c r="G29" s="128">
        <v>36.639909252391895</v>
      </c>
      <c r="H29" s="128">
        <v>763026559.12</v>
      </c>
      <c r="I29" s="128">
        <v>36.639900000000004</v>
      </c>
      <c r="J29" s="129">
        <v>43190</v>
      </c>
      <c r="K29" s="127" t="s">
        <v>1048</v>
      </c>
      <c r="L29" s="127" t="s">
        <v>1049</v>
      </c>
      <c r="M29" s="127" t="s">
        <v>1019</v>
      </c>
      <c r="N29" s="127" t="s">
        <v>1050</v>
      </c>
      <c r="O29" s="127" t="s">
        <v>879</v>
      </c>
      <c r="P29" s="127" t="s">
        <v>880</v>
      </c>
      <c r="Q29" s="128">
        <v>36.639900000000004</v>
      </c>
      <c r="R29" s="128">
        <v>36.548300000000005</v>
      </c>
      <c r="S29" s="128">
        <v>84273</v>
      </c>
      <c r="T29" s="127" t="s">
        <v>624</v>
      </c>
      <c r="U29" s="127" t="s">
        <v>902</v>
      </c>
      <c r="V29" s="129">
        <v>43189</v>
      </c>
      <c r="W29" s="128">
        <v>36.635400000000004</v>
      </c>
      <c r="X29" s="128">
        <v>36.635388783258698</v>
      </c>
      <c r="Y29" s="128">
        <v>4.5000000000000005E-3</v>
      </c>
      <c r="Z29" s="128">
        <v>1.2283201493637302E-2</v>
      </c>
      <c r="AA29" s="128">
        <v>4.4834000000000005</v>
      </c>
      <c r="AB29" s="128">
        <v>4.5204691331999997E-3</v>
      </c>
      <c r="AC29" s="128">
        <v>1.23390778242968E-2</v>
      </c>
      <c r="AD29" s="128">
        <v>4.5038</v>
      </c>
      <c r="AE29" s="127" t="s">
        <v>624</v>
      </c>
      <c r="AF29" s="127" t="s">
        <v>10</v>
      </c>
      <c r="AH29" s="127" t="s">
        <v>896</v>
      </c>
      <c r="AI29" s="127" t="s">
        <v>1051</v>
      </c>
      <c r="AL29" s="139">
        <f t="shared" si="0"/>
        <v>76.302655912000006</v>
      </c>
      <c r="AN29" s="127" t="b">
        <f t="shared" si="1"/>
        <v>1</v>
      </c>
    </row>
    <row r="30" spans="1:40" ht="12.75" hidden="1" customHeight="1">
      <c r="A30" s="127" t="str">
        <f>+VLOOKUP(C30,'code mapping'!A:C,3,0)</f>
        <v>LIC72</v>
      </c>
      <c r="B30" s="127" t="s">
        <v>1052</v>
      </c>
      <c r="C30" s="127" t="s">
        <v>641</v>
      </c>
      <c r="D30" s="127" t="s">
        <v>1053</v>
      </c>
      <c r="E30" s="128">
        <v>9735710.7530000005</v>
      </c>
      <c r="F30" s="128">
        <v>98946872.25</v>
      </c>
      <c r="G30" s="128">
        <v>10.1632921067946</v>
      </c>
      <c r="H30" s="128">
        <v>2015855933.22</v>
      </c>
      <c r="I30" s="128">
        <v>10.163300000000001</v>
      </c>
      <c r="J30" s="129">
        <v>43190</v>
      </c>
      <c r="K30" s="127" t="s">
        <v>1054</v>
      </c>
      <c r="L30" s="127" t="s">
        <v>1055</v>
      </c>
      <c r="M30" s="127" t="s">
        <v>1056</v>
      </c>
      <c r="N30" s="127" t="s">
        <v>1057</v>
      </c>
      <c r="O30" s="127" t="s">
        <v>879</v>
      </c>
      <c r="P30" s="127" t="s">
        <v>880</v>
      </c>
      <c r="Q30" s="128">
        <v>10.163300000000001</v>
      </c>
      <c r="R30" s="128">
        <v>10.163300000000001</v>
      </c>
      <c r="S30" s="128">
        <v>84290</v>
      </c>
      <c r="T30" s="127" t="s">
        <v>642</v>
      </c>
      <c r="U30" s="127" t="s">
        <v>1058</v>
      </c>
      <c r="V30" s="129">
        <v>43189</v>
      </c>
      <c r="W30" s="128">
        <v>10.1617</v>
      </c>
      <c r="X30" s="128">
        <v>10.1616502112612</v>
      </c>
      <c r="Y30" s="128">
        <v>1.6000000000000001E-3</v>
      </c>
      <c r="Z30" s="128">
        <v>1.5745396931615804E-2</v>
      </c>
      <c r="AA30" s="128">
        <v>5.7471000000000005</v>
      </c>
      <c r="AB30" s="128">
        <v>1.6418955334199998E-3</v>
      </c>
      <c r="AC30" s="128">
        <v>1.6157764726052501E-2</v>
      </c>
      <c r="AD30" s="128">
        <v>5.8976000000000006</v>
      </c>
      <c r="AE30" s="127" t="s">
        <v>642</v>
      </c>
      <c r="AF30" s="127" t="s">
        <v>16</v>
      </c>
      <c r="AH30" s="127" t="s">
        <v>882</v>
      </c>
      <c r="AI30" s="127" t="s">
        <v>1059</v>
      </c>
      <c r="AL30" s="139">
        <f t="shared" si="0"/>
        <v>201.58559332199999</v>
      </c>
      <c r="AN30" s="127" t="b">
        <f t="shared" si="1"/>
        <v>1</v>
      </c>
    </row>
    <row r="31" spans="1:40" ht="12.75" hidden="1" customHeight="1">
      <c r="A31" s="127" t="str">
        <f>+VLOOKUP(C31,'code mapping'!A:C,3,0)</f>
        <v>LIC72</v>
      </c>
      <c r="B31" s="127" t="s">
        <v>1060</v>
      </c>
      <c r="C31" s="127" t="s">
        <v>641</v>
      </c>
      <c r="D31" s="127" t="s">
        <v>885</v>
      </c>
      <c r="E31" s="128">
        <v>32774377.111000005</v>
      </c>
      <c r="F31" s="128">
        <v>738031145.98000002</v>
      </c>
      <c r="G31" s="128">
        <v>22.518540733220998</v>
      </c>
      <c r="H31" s="128">
        <v>2015855933.22</v>
      </c>
      <c r="I31" s="128">
        <v>22.5185</v>
      </c>
      <c r="J31" s="129">
        <v>43190</v>
      </c>
      <c r="K31" s="127" t="s">
        <v>1061</v>
      </c>
      <c r="L31" s="127" t="s">
        <v>1062</v>
      </c>
      <c r="M31" s="127" t="s">
        <v>1056</v>
      </c>
      <c r="N31" s="127" t="s">
        <v>1063</v>
      </c>
      <c r="O31" s="127" t="s">
        <v>879</v>
      </c>
      <c r="P31" s="127" t="s">
        <v>880</v>
      </c>
      <c r="Q31" s="128">
        <v>22.5185</v>
      </c>
      <c r="R31" s="128">
        <v>22.5185</v>
      </c>
      <c r="S31" s="128">
        <v>84293</v>
      </c>
      <c r="T31" s="127" t="s">
        <v>642</v>
      </c>
      <c r="U31" s="127" t="s">
        <v>889</v>
      </c>
      <c r="V31" s="129">
        <v>43189</v>
      </c>
      <c r="W31" s="128">
        <v>22.514900000000001</v>
      </c>
      <c r="X31" s="128">
        <v>22.514900526433998</v>
      </c>
      <c r="Y31" s="128">
        <v>3.6000000000000003E-3</v>
      </c>
      <c r="Z31" s="128">
        <v>1.5989411456413298E-2</v>
      </c>
      <c r="AA31" s="128">
        <v>5.8361000000000001</v>
      </c>
      <c r="AB31" s="128">
        <v>3.6402067870300002E-3</v>
      </c>
      <c r="AC31" s="128">
        <v>1.6167989650925401E-2</v>
      </c>
      <c r="AD31" s="128">
        <v>5.9013</v>
      </c>
      <c r="AE31" s="127" t="s">
        <v>642</v>
      </c>
      <c r="AF31" s="127" t="s">
        <v>16</v>
      </c>
      <c r="AH31" s="127" t="s">
        <v>882</v>
      </c>
      <c r="AI31" s="127" t="s">
        <v>1064</v>
      </c>
      <c r="AL31" s="139">
        <f t="shared" si="0"/>
        <v>201.58559332199999</v>
      </c>
      <c r="AN31" s="127" t="b">
        <f t="shared" si="1"/>
        <v>1</v>
      </c>
    </row>
    <row r="32" spans="1:40" ht="12.75" hidden="1" customHeight="1">
      <c r="A32" s="127" t="str">
        <f>+VLOOKUP(C32,'code mapping'!A:C,3,0)</f>
        <v>LIC72</v>
      </c>
      <c r="B32" s="127" t="s">
        <v>1065</v>
      </c>
      <c r="C32" s="127" t="s">
        <v>641</v>
      </c>
      <c r="D32" s="127" t="s">
        <v>1066</v>
      </c>
      <c r="E32" s="128">
        <v>4024.732</v>
      </c>
      <c r="F32" s="128">
        <v>41184.270000000004</v>
      </c>
      <c r="G32" s="128">
        <v>10.2327981092903</v>
      </c>
      <c r="H32" s="128">
        <v>2015855933.22</v>
      </c>
      <c r="I32" s="128">
        <v>10.232800000000001</v>
      </c>
      <c r="J32" s="129">
        <v>43190</v>
      </c>
      <c r="K32" s="127" t="s">
        <v>1067</v>
      </c>
      <c r="L32" s="127" t="s">
        <v>1068</v>
      </c>
      <c r="M32" s="127" t="s">
        <v>1056</v>
      </c>
      <c r="N32" s="127" t="s">
        <v>1069</v>
      </c>
      <c r="O32" s="127" t="s">
        <v>879</v>
      </c>
      <c r="P32" s="127" t="s">
        <v>880</v>
      </c>
      <c r="Q32" s="128">
        <v>10.232800000000001</v>
      </c>
      <c r="R32" s="128">
        <v>10.232800000000001</v>
      </c>
      <c r="S32" s="128">
        <v>84292</v>
      </c>
      <c r="T32" s="127" t="s">
        <v>642</v>
      </c>
      <c r="U32" s="127" t="s">
        <v>1070</v>
      </c>
      <c r="V32" s="129">
        <v>43189</v>
      </c>
      <c r="W32" s="128">
        <v>10.2311</v>
      </c>
      <c r="X32" s="128">
        <v>10.2311458253618</v>
      </c>
      <c r="Y32" s="128">
        <v>1.7000000000000001E-3</v>
      </c>
      <c r="Z32" s="128">
        <v>1.6616004144226898E-2</v>
      </c>
      <c r="AA32" s="128">
        <v>6.0648</v>
      </c>
      <c r="AB32" s="128">
        <v>1.6522839284699997E-3</v>
      </c>
      <c r="AC32" s="128">
        <v>1.61495491968669E-2</v>
      </c>
      <c r="AD32" s="128">
        <v>5.8946000000000005</v>
      </c>
      <c r="AE32" s="127" t="s">
        <v>642</v>
      </c>
      <c r="AF32" s="127" t="s">
        <v>16</v>
      </c>
      <c r="AH32" s="127" t="s">
        <v>882</v>
      </c>
      <c r="AI32" s="127" t="s">
        <v>1071</v>
      </c>
      <c r="AL32" s="139">
        <f t="shared" si="0"/>
        <v>201.58559332199999</v>
      </c>
      <c r="AN32" s="127" t="b">
        <f t="shared" si="1"/>
        <v>1</v>
      </c>
    </row>
    <row r="33" spans="1:40" ht="15" hidden="1">
      <c r="A33" s="127" t="str">
        <f>+VLOOKUP(C33,'code mapping'!A:C,3,0)</f>
        <v>LIC72</v>
      </c>
      <c r="B33" s="127" t="s">
        <v>1072</v>
      </c>
      <c r="C33" s="127" t="s">
        <v>641</v>
      </c>
      <c r="D33" s="127" t="s">
        <v>1073</v>
      </c>
      <c r="E33" s="128">
        <v>14988649.683</v>
      </c>
      <c r="F33" s="128">
        <v>151450722.06999999</v>
      </c>
      <c r="G33" s="128">
        <v>10.104360651098199</v>
      </c>
      <c r="H33" s="128">
        <v>2015855933.22</v>
      </c>
      <c r="I33" s="128">
        <v>10.1044</v>
      </c>
      <c r="J33" s="129">
        <v>43190</v>
      </c>
      <c r="K33" s="127" t="s">
        <v>1074</v>
      </c>
      <c r="L33" s="127" t="s">
        <v>1075</v>
      </c>
      <c r="M33" s="127" t="s">
        <v>1056</v>
      </c>
      <c r="N33" s="127" t="s">
        <v>1076</v>
      </c>
      <c r="O33" s="127" t="s">
        <v>879</v>
      </c>
      <c r="P33" s="127" t="s">
        <v>880</v>
      </c>
      <c r="Q33" s="128">
        <v>10.1044</v>
      </c>
      <c r="R33" s="128">
        <v>10.1044</v>
      </c>
      <c r="S33" s="128">
        <v>84286</v>
      </c>
      <c r="T33" s="127" t="s">
        <v>642</v>
      </c>
      <c r="U33" s="127" t="s">
        <v>1077</v>
      </c>
      <c r="V33" s="129">
        <v>43189</v>
      </c>
      <c r="W33" s="128">
        <v>10.1029</v>
      </c>
      <c r="X33" s="128">
        <v>10.102908190038599</v>
      </c>
      <c r="Y33" s="128">
        <v>1.5E-3</v>
      </c>
      <c r="Z33" s="128">
        <v>1.48472220847479E-2</v>
      </c>
      <c r="AA33" s="128">
        <v>5.4192</v>
      </c>
      <c r="AB33" s="128">
        <v>1.4524610595599999E-3</v>
      </c>
      <c r="AC33" s="128">
        <v>1.4376662959207299E-2</v>
      </c>
      <c r="AD33" s="128">
        <v>5.2474999999999996</v>
      </c>
      <c r="AE33" s="127" t="s">
        <v>642</v>
      </c>
      <c r="AF33" s="127" t="s">
        <v>16</v>
      </c>
      <c r="AH33" s="127" t="s">
        <v>896</v>
      </c>
      <c r="AI33" s="127" t="s">
        <v>1078</v>
      </c>
      <c r="AL33" s="139">
        <f t="shared" si="0"/>
        <v>201.58559332199999</v>
      </c>
      <c r="AN33" s="127" t="b">
        <f t="shared" si="1"/>
        <v>1</v>
      </c>
    </row>
    <row r="34" spans="1:40" ht="15" hidden="1">
      <c r="A34" s="127" t="str">
        <f>+VLOOKUP(C34,'code mapping'!A:C,3,0)</f>
        <v>LIC72</v>
      </c>
      <c r="B34" s="127" t="s">
        <v>1079</v>
      </c>
      <c r="C34" s="127" t="s">
        <v>641</v>
      </c>
      <c r="D34" s="127" t="s">
        <v>105</v>
      </c>
      <c r="E34" s="128">
        <v>45016517.802000001</v>
      </c>
      <c r="F34" s="128">
        <v>977132665.38999999</v>
      </c>
      <c r="G34" s="128">
        <v>21.706091743653001</v>
      </c>
      <c r="H34" s="128">
        <v>2015855933.22</v>
      </c>
      <c r="I34" s="128">
        <v>21.706100000000003</v>
      </c>
      <c r="J34" s="129">
        <v>43190</v>
      </c>
      <c r="K34" s="127" t="s">
        <v>1080</v>
      </c>
      <c r="L34" s="127" t="s">
        <v>1081</v>
      </c>
      <c r="M34" s="127" t="s">
        <v>1056</v>
      </c>
      <c r="N34" s="127" t="s">
        <v>1082</v>
      </c>
      <c r="O34" s="127" t="s">
        <v>879</v>
      </c>
      <c r="P34" s="127" t="s">
        <v>880</v>
      </c>
      <c r="Q34" s="128">
        <v>21.706100000000003</v>
      </c>
      <c r="R34" s="128">
        <v>21.706100000000003</v>
      </c>
      <c r="S34" s="128">
        <v>84289</v>
      </c>
      <c r="T34" s="127" t="s">
        <v>642</v>
      </c>
      <c r="U34" s="127" t="s">
        <v>902</v>
      </c>
      <c r="V34" s="129">
        <v>43189</v>
      </c>
      <c r="W34" s="128">
        <v>21.702999999999996</v>
      </c>
      <c r="X34" s="128">
        <v>21.702971582724093</v>
      </c>
      <c r="Y34" s="128">
        <v>3.1000000000000003E-3</v>
      </c>
      <c r="Z34" s="128">
        <v>1.42837395751739E-2</v>
      </c>
      <c r="AA34" s="128">
        <v>5.2136000000000005</v>
      </c>
      <c r="AB34" s="128">
        <v>3.1201609288800001E-3</v>
      </c>
      <c r="AC34" s="128">
        <v>1.4376653063323799E-2</v>
      </c>
      <c r="AD34" s="128">
        <v>5.2474999999999996</v>
      </c>
      <c r="AE34" s="127" t="s">
        <v>642</v>
      </c>
      <c r="AF34" s="127" t="s">
        <v>16</v>
      </c>
      <c r="AH34" s="127" t="s">
        <v>896</v>
      </c>
      <c r="AI34" s="127" t="s">
        <v>1083</v>
      </c>
      <c r="AL34" s="139">
        <f t="shared" si="0"/>
        <v>201.58559332199999</v>
      </c>
      <c r="AN34" s="127" t="b">
        <f t="shared" si="1"/>
        <v>1</v>
      </c>
    </row>
    <row r="35" spans="1:40" ht="15" hidden="1">
      <c r="A35" s="127" t="str">
        <f>+VLOOKUP(C35,'code mapping'!A:C,3,0)</f>
        <v>LIC72</v>
      </c>
      <c r="B35" s="127" t="s">
        <v>1084</v>
      </c>
      <c r="C35" s="127" t="s">
        <v>641</v>
      </c>
      <c r="D35" s="127" t="s">
        <v>1085</v>
      </c>
      <c r="E35" s="128">
        <v>3157210.8480000002</v>
      </c>
      <c r="F35" s="128">
        <v>31935384.48</v>
      </c>
      <c r="G35" s="128">
        <v>10.115062318448</v>
      </c>
      <c r="H35" s="128">
        <v>2015855933.22</v>
      </c>
      <c r="I35" s="128">
        <v>10.1151</v>
      </c>
      <c r="J35" s="129">
        <v>43190</v>
      </c>
      <c r="K35" s="127" t="s">
        <v>1086</v>
      </c>
      <c r="L35" s="127" t="s">
        <v>1087</v>
      </c>
      <c r="M35" s="127" t="s">
        <v>1056</v>
      </c>
      <c r="N35" s="127" t="s">
        <v>1088</v>
      </c>
      <c r="O35" s="127" t="s">
        <v>879</v>
      </c>
      <c r="P35" s="127" t="s">
        <v>880</v>
      </c>
      <c r="Q35" s="128">
        <v>10.1151</v>
      </c>
      <c r="R35" s="128">
        <v>10.1151</v>
      </c>
      <c r="S35" s="128">
        <v>84288</v>
      </c>
      <c r="T35" s="127" t="s">
        <v>642</v>
      </c>
      <c r="U35" s="127" t="s">
        <v>1089</v>
      </c>
      <c r="V35" s="129">
        <v>43189</v>
      </c>
      <c r="W35" s="128">
        <v>10.1136</v>
      </c>
      <c r="X35" s="128">
        <v>10.113608323063801</v>
      </c>
      <c r="Y35" s="128">
        <v>1.5E-3</v>
      </c>
      <c r="Z35" s="128">
        <v>1.4831514000949201E-2</v>
      </c>
      <c r="AA35" s="128">
        <v>5.4135</v>
      </c>
      <c r="AB35" s="128">
        <v>1.4539953842199998E-3</v>
      </c>
      <c r="AC35" s="128">
        <v>1.43766234342318E-2</v>
      </c>
      <c r="AD35" s="128">
        <v>5.2474999999999996</v>
      </c>
      <c r="AE35" s="127" t="s">
        <v>642</v>
      </c>
      <c r="AF35" s="127" t="s">
        <v>16</v>
      </c>
      <c r="AH35" s="127" t="s">
        <v>896</v>
      </c>
      <c r="AI35" s="127" t="s">
        <v>1090</v>
      </c>
      <c r="AL35" s="139">
        <f t="shared" si="0"/>
        <v>201.58559332199999</v>
      </c>
      <c r="AN35" s="127" t="b">
        <f t="shared" si="1"/>
        <v>1</v>
      </c>
    </row>
    <row r="36" spans="1:40" ht="15" hidden="1">
      <c r="A36" s="127" t="str">
        <f>+VLOOKUP(C36,'code mapping'!A:C,3,0)</f>
        <v>LIC72</v>
      </c>
      <c r="B36" s="127" t="s">
        <v>1091</v>
      </c>
      <c r="C36" s="127" t="s">
        <v>641</v>
      </c>
      <c r="D36" s="127" t="s">
        <v>1092</v>
      </c>
      <c r="E36" s="128">
        <v>1810723.5680000002</v>
      </c>
      <c r="F36" s="128">
        <v>18297003.710000001</v>
      </c>
      <c r="G36" s="128">
        <v>10.104802319555398</v>
      </c>
      <c r="H36" s="128">
        <v>2015855933.22</v>
      </c>
      <c r="I36" s="128">
        <v>10.104800000000001</v>
      </c>
      <c r="J36" s="129">
        <v>43190</v>
      </c>
      <c r="K36" s="127" t="s">
        <v>1093</v>
      </c>
      <c r="L36" s="127" t="s">
        <v>1094</v>
      </c>
      <c r="M36" s="127" t="s">
        <v>1056</v>
      </c>
      <c r="N36" s="127" t="s">
        <v>1095</v>
      </c>
      <c r="O36" s="127" t="s">
        <v>879</v>
      </c>
      <c r="P36" s="127" t="s">
        <v>880</v>
      </c>
      <c r="Q36" s="128">
        <v>10.104800000000001</v>
      </c>
      <c r="R36" s="128">
        <v>10.104800000000001</v>
      </c>
      <c r="S36" s="128">
        <v>84287</v>
      </c>
      <c r="T36" s="127" t="s">
        <v>642</v>
      </c>
      <c r="U36" s="127" t="s">
        <v>1096</v>
      </c>
      <c r="V36" s="129">
        <v>43189</v>
      </c>
      <c r="W36" s="128">
        <v>10.103300000000001</v>
      </c>
      <c r="X36" s="128">
        <v>10.103349789723399</v>
      </c>
      <c r="Y36" s="128">
        <v>1.5E-3</v>
      </c>
      <c r="Z36" s="128">
        <v>1.4846634268011399E-2</v>
      </c>
      <c r="AA36" s="128">
        <v>5.4190000000000005</v>
      </c>
      <c r="AB36" s="128">
        <v>1.45252983198E-3</v>
      </c>
      <c r="AC36" s="128">
        <v>1.4376715269795302E-2</v>
      </c>
      <c r="AD36" s="128">
        <v>5.2474999999999996</v>
      </c>
      <c r="AE36" s="127" t="s">
        <v>642</v>
      </c>
      <c r="AF36" s="127" t="s">
        <v>16</v>
      </c>
      <c r="AH36" s="127" t="s">
        <v>896</v>
      </c>
      <c r="AI36" s="127" t="s">
        <v>1097</v>
      </c>
      <c r="AL36" s="139">
        <f t="shared" si="0"/>
        <v>201.58559332199999</v>
      </c>
      <c r="AN36" s="127" t="b">
        <f t="shared" si="1"/>
        <v>1</v>
      </c>
    </row>
    <row r="37" spans="1:40" ht="15" hidden="1">
      <c r="A37" s="127" t="str">
        <f>+VLOOKUP(C37,'code mapping'!A:C,3,0)</f>
        <v>LIC72</v>
      </c>
      <c r="B37" s="127" t="s">
        <v>1098</v>
      </c>
      <c r="C37" s="127" t="s">
        <v>641</v>
      </c>
      <c r="D37" s="127" t="s">
        <v>1099</v>
      </c>
      <c r="E37" s="128">
        <v>2073.6320000000001</v>
      </c>
      <c r="F37" s="128">
        <v>20955.07</v>
      </c>
      <c r="G37" s="128">
        <v>10.1054912347032</v>
      </c>
      <c r="H37" s="128">
        <v>2015855933.22</v>
      </c>
      <c r="I37" s="128">
        <v>10.105500000000001</v>
      </c>
      <c r="J37" s="129">
        <v>43190</v>
      </c>
      <c r="K37" s="127" t="s">
        <v>1100</v>
      </c>
      <c r="L37" s="127" t="s">
        <v>1101</v>
      </c>
      <c r="M37" s="127" t="s">
        <v>1056</v>
      </c>
      <c r="N37" s="127" t="s">
        <v>1102</v>
      </c>
      <c r="O37" s="127" t="s">
        <v>879</v>
      </c>
      <c r="P37" s="127" t="s">
        <v>880</v>
      </c>
      <c r="Q37" s="128">
        <v>10.105500000000001</v>
      </c>
      <c r="R37" s="128">
        <v>10.105500000000001</v>
      </c>
      <c r="S37" s="128">
        <v>84291</v>
      </c>
      <c r="T37" s="127" t="s">
        <v>642</v>
      </c>
      <c r="U37" s="127" t="s">
        <v>1103</v>
      </c>
      <c r="V37" s="129">
        <v>43189</v>
      </c>
      <c r="W37" s="128">
        <v>10.103900000000001</v>
      </c>
      <c r="X37" s="128">
        <v>10.103870889338099</v>
      </c>
      <c r="Y37" s="128">
        <v>1.6000000000000001E-3</v>
      </c>
      <c r="Z37" s="128">
        <v>1.5835469472183998E-2</v>
      </c>
      <c r="AA37" s="128">
        <v>5.7799000000000005</v>
      </c>
      <c r="AB37" s="128">
        <v>1.6203453650399998E-3</v>
      </c>
      <c r="AC37" s="128">
        <v>1.6036877180901302E-2</v>
      </c>
      <c r="AD37" s="128">
        <v>5.8535000000000004</v>
      </c>
      <c r="AE37" s="127" t="s">
        <v>642</v>
      </c>
      <c r="AF37" s="127" t="s">
        <v>16</v>
      </c>
      <c r="AH37" s="127" t="s">
        <v>882</v>
      </c>
      <c r="AI37" s="127" t="s">
        <v>1104</v>
      </c>
      <c r="AL37" s="139">
        <f t="shared" si="0"/>
        <v>201.58559332199999</v>
      </c>
      <c r="AN37" s="127" t="b">
        <f t="shared" si="1"/>
        <v>1</v>
      </c>
    </row>
    <row r="38" spans="1:40" ht="15" hidden="1">
      <c r="A38" s="127" t="str">
        <f>+VLOOKUP(C38,'code mapping'!A:C,3,0)</f>
        <v>LIC31</v>
      </c>
      <c r="B38" s="127" t="s">
        <v>1105</v>
      </c>
      <c r="C38" s="127" t="s">
        <v>700</v>
      </c>
      <c r="D38" s="127" t="s">
        <v>885</v>
      </c>
      <c r="E38" s="128">
        <v>1545951.2050000001</v>
      </c>
      <c r="F38" s="128">
        <v>82700203.079999998</v>
      </c>
      <c r="G38" s="128">
        <v>53.494704627498301</v>
      </c>
      <c r="H38" s="128">
        <v>1045488924.27</v>
      </c>
      <c r="I38" s="128">
        <v>53.494700000000002</v>
      </c>
      <c r="J38" s="129">
        <v>43190</v>
      </c>
      <c r="K38" s="127" t="s">
        <v>1106</v>
      </c>
      <c r="L38" s="127" t="s">
        <v>1107</v>
      </c>
      <c r="M38" s="127" t="s">
        <v>1108</v>
      </c>
      <c r="N38" s="127" t="s">
        <v>1109</v>
      </c>
      <c r="O38" s="127" t="s">
        <v>879</v>
      </c>
      <c r="P38" s="127" t="s">
        <v>880</v>
      </c>
      <c r="Q38" s="128">
        <v>53.494700000000002</v>
      </c>
      <c r="R38" s="128">
        <v>52.959800000000001</v>
      </c>
      <c r="S38" s="128">
        <v>84267</v>
      </c>
      <c r="T38" s="127" t="s">
        <v>56</v>
      </c>
      <c r="U38" s="127" t="s">
        <v>889</v>
      </c>
      <c r="V38" s="129">
        <v>43189</v>
      </c>
      <c r="W38" s="128">
        <v>53.4895</v>
      </c>
      <c r="X38" s="128">
        <v>53.489452909349801</v>
      </c>
      <c r="Y38" s="128">
        <v>5.1999999999999998E-3</v>
      </c>
      <c r="Z38" s="128">
        <v>9.7215341328672003E-3</v>
      </c>
      <c r="AA38" s="128">
        <v>3.5483999999999996</v>
      </c>
      <c r="AB38" s="128">
        <v>5.2517181484999995E-3</v>
      </c>
      <c r="AC38" s="128">
        <v>9.8182311892407101E-3</v>
      </c>
      <c r="AD38" s="128">
        <v>3.5836999999999999</v>
      </c>
      <c r="AE38" s="127" t="s">
        <v>56</v>
      </c>
      <c r="AF38" s="127" t="s">
        <v>8</v>
      </c>
      <c r="AH38" s="127" t="s">
        <v>882</v>
      </c>
      <c r="AI38" s="127" t="s">
        <v>1110</v>
      </c>
      <c r="AL38" s="139">
        <f t="shared" si="0"/>
        <v>104.548892427</v>
      </c>
      <c r="AN38" s="127" t="b">
        <f t="shared" si="1"/>
        <v>1</v>
      </c>
    </row>
    <row r="39" spans="1:40" ht="15" hidden="1">
      <c r="A39" s="127" t="str">
        <f>+VLOOKUP(C39,'code mapping'!A:C,3,0)</f>
        <v>LIC31</v>
      </c>
      <c r="B39" s="127" t="s">
        <v>1111</v>
      </c>
      <c r="C39" s="127" t="s">
        <v>700</v>
      </c>
      <c r="D39" s="127" t="s">
        <v>1066</v>
      </c>
      <c r="E39" s="128">
        <v>132110.204</v>
      </c>
      <c r="F39" s="128">
        <v>1392739.43</v>
      </c>
      <c r="G39" s="128">
        <v>10.5422547829841</v>
      </c>
      <c r="H39" s="128">
        <v>1045488924.27</v>
      </c>
      <c r="I39" s="128">
        <v>10.542300000000001</v>
      </c>
      <c r="J39" s="129">
        <v>43190</v>
      </c>
      <c r="K39" s="127" t="s">
        <v>1112</v>
      </c>
      <c r="L39" s="127" t="s">
        <v>1113</v>
      </c>
      <c r="M39" s="127" t="s">
        <v>1108</v>
      </c>
      <c r="N39" s="127" t="s">
        <v>1114</v>
      </c>
      <c r="O39" s="127" t="s">
        <v>879</v>
      </c>
      <c r="P39" s="127" t="s">
        <v>880</v>
      </c>
      <c r="Q39" s="128">
        <v>10.542300000000001</v>
      </c>
      <c r="R39" s="128">
        <v>10.436900000000001</v>
      </c>
      <c r="S39" s="128">
        <v>84264</v>
      </c>
      <c r="T39" s="127" t="s">
        <v>56</v>
      </c>
      <c r="U39" s="127" t="s">
        <v>1070</v>
      </c>
      <c r="V39" s="129">
        <v>43189</v>
      </c>
      <c r="W39" s="128">
        <v>10.5413</v>
      </c>
      <c r="X39" s="128">
        <v>10.541265684519001</v>
      </c>
      <c r="Y39" s="128">
        <v>1E-3</v>
      </c>
      <c r="Z39" s="128">
        <v>9.4864959729824613E-3</v>
      </c>
      <c r="AA39" s="128">
        <v>3.4626000000000001</v>
      </c>
      <c r="AB39" s="128">
        <v>9.8909846509999985E-4</v>
      </c>
      <c r="AC39" s="128">
        <v>9.3831091512341109E-3</v>
      </c>
      <c r="AD39" s="128">
        <v>3.4248000000000003</v>
      </c>
      <c r="AE39" s="127" t="s">
        <v>56</v>
      </c>
      <c r="AF39" s="127" t="s">
        <v>8</v>
      </c>
      <c r="AH39" s="127" t="s">
        <v>882</v>
      </c>
      <c r="AI39" s="127" t="s">
        <v>1115</v>
      </c>
      <c r="AL39" s="139">
        <f t="shared" si="0"/>
        <v>104.548892427</v>
      </c>
      <c r="AN39" s="127" t="b">
        <f t="shared" si="1"/>
        <v>1</v>
      </c>
    </row>
    <row r="40" spans="1:40" ht="15" hidden="1">
      <c r="A40" s="127" t="str">
        <f>+VLOOKUP(C40,'code mapping'!A:C,3,0)</f>
        <v>LIC31</v>
      </c>
      <c r="B40" s="127" t="s">
        <v>1116</v>
      </c>
      <c r="C40" s="127" t="s">
        <v>700</v>
      </c>
      <c r="D40" s="127" t="s">
        <v>1117</v>
      </c>
      <c r="E40" s="128">
        <v>206.12600000000003</v>
      </c>
      <c r="F40" s="128">
        <v>2276.15</v>
      </c>
      <c r="G40" s="128">
        <v>11.042517683358701</v>
      </c>
      <c r="H40" s="128">
        <v>1045488924.27</v>
      </c>
      <c r="I40" s="128">
        <v>11.0425</v>
      </c>
      <c r="J40" s="129">
        <v>43190</v>
      </c>
      <c r="K40" s="127" t="s">
        <v>1118</v>
      </c>
      <c r="L40" s="127" t="s">
        <v>1119</v>
      </c>
      <c r="M40" s="127" t="s">
        <v>1108</v>
      </c>
      <c r="N40" s="127" t="s">
        <v>1120</v>
      </c>
      <c r="O40" s="127" t="s">
        <v>879</v>
      </c>
      <c r="P40" s="127" t="s">
        <v>880</v>
      </c>
      <c r="Q40" s="128">
        <v>11.0425</v>
      </c>
      <c r="R40" s="128">
        <v>10.9321</v>
      </c>
      <c r="S40" s="128">
        <v>84265</v>
      </c>
      <c r="T40" s="127" t="s">
        <v>56</v>
      </c>
      <c r="U40" s="127" t="s">
        <v>1121</v>
      </c>
      <c r="V40" s="129">
        <v>43189</v>
      </c>
      <c r="W40" s="128">
        <v>11.041500000000001</v>
      </c>
      <c r="X40" s="128">
        <v>11.041450375013298</v>
      </c>
      <c r="Y40" s="128">
        <v>1E-3</v>
      </c>
      <c r="Z40" s="128">
        <v>9.0567404791015698E-3</v>
      </c>
      <c r="AA40" s="128">
        <v>3.3057000000000003</v>
      </c>
      <c r="AB40" s="128">
        <v>1.0673083453800001E-3</v>
      </c>
      <c r="AC40" s="128">
        <v>9.6663781399163422E-3</v>
      </c>
      <c r="AD40" s="128">
        <v>3.5282</v>
      </c>
      <c r="AE40" s="127" t="s">
        <v>56</v>
      </c>
      <c r="AF40" s="127" t="s">
        <v>8</v>
      </c>
      <c r="AH40" s="127" t="s">
        <v>882</v>
      </c>
      <c r="AI40" s="127" t="s">
        <v>1122</v>
      </c>
      <c r="AL40" s="139">
        <f t="shared" si="0"/>
        <v>104.548892427</v>
      </c>
      <c r="AN40" s="127" t="b">
        <f t="shared" si="1"/>
        <v>1</v>
      </c>
    </row>
    <row r="41" spans="1:40" ht="15" hidden="1">
      <c r="A41" s="127" t="str">
        <f>+VLOOKUP(C41,'code mapping'!A:C,3,0)</f>
        <v>LIC31</v>
      </c>
      <c r="B41" s="127" t="s">
        <v>1123</v>
      </c>
      <c r="C41" s="127" t="s">
        <v>700</v>
      </c>
      <c r="D41" s="127" t="s">
        <v>1124</v>
      </c>
      <c r="E41" s="128">
        <v>2999072.8</v>
      </c>
      <c r="F41" s="128">
        <v>33581296.700000003</v>
      </c>
      <c r="G41" s="128">
        <v>11.1972262560615</v>
      </c>
      <c r="H41" s="128">
        <v>1045488924.27</v>
      </c>
      <c r="I41" s="128">
        <v>11.1972</v>
      </c>
      <c r="J41" s="129">
        <v>43190</v>
      </c>
      <c r="K41" s="127" t="s">
        <v>1125</v>
      </c>
      <c r="L41" s="127" t="s">
        <v>1126</v>
      </c>
      <c r="M41" s="127" t="s">
        <v>1108</v>
      </c>
      <c r="N41" s="127" t="s">
        <v>1127</v>
      </c>
      <c r="O41" s="127" t="s">
        <v>879</v>
      </c>
      <c r="P41" s="127" t="s">
        <v>880</v>
      </c>
      <c r="Q41" s="128">
        <v>11.1972</v>
      </c>
      <c r="R41" s="128">
        <v>11.0852</v>
      </c>
      <c r="S41" s="128">
        <v>84262</v>
      </c>
      <c r="T41" s="127" t="s">
        <v>56</v>
      </c>
      <c r="U41" s="127" t="s">
        <v>1128</v>
      </c>
      <c r="V41" s="129">
        <v>43189</v>
      </c>
      <c r="W41" s="128">
        <v>11.196300000000001</v>
      </c>
      <c r="X41" s="128">
        <v>11.196347447784499</v>
      </c>
      <c r="Y41" s="128">
        <v>9.0000000000000008E-4</v>
      </c>
      <c r="Z41" s="128">
        <v>8.0383698186007914E-3</v>
      </c>
      <c r="AA41" s="128">
        <v>2.9340000000000002</v>
      </c>
      <c r="AB41" s="128">
        <v>8.7880827701000003E-4</v>
      </c>
      <c r="AC41" s="128">
        <v>7.8490622152306792E-3</v>
      </c>
      <c r="AD41" s="128">
        <v>2.8649</v>
      </c>
      <c r="AE41" s="127" t="s">
        <v>56</v>
      </c>
      <c r="AF41" s="127" t="s">
        <v>8</v>
      </c>
      <c r="AH41" s="127" t="s">
        <v>896</v>
      </c>
      <c r="AI41" s="127" t="s">
        <v>1129</v>
      </c>
      <c r="AL41" s="139">
        <f t="shared" si="0"/>
        <v>104.548892427</v>
      </c>
      <c r="AN41" s="127" t="b">
        <f t="shared" si="1"/>
        <v>1</v>
      </c>
    </row>
    <row r="42" spans="1:40" ht="15" hidden="1">
      <c r="A42" s="127" t="str">
        <f>+VLOOKUP(C42,'code mapping'!A:C,3,0)</f>
        <v>LIC31</v>
      </c>
      <c r="B42" s="127" t="s">
        <v>1130</v>
      </c>
      <c r="C42" s="127" t="s">
        <v>700</v>
      </c>
      <c r="D42" s="127" t="s">
        <v>105</v>
      </c>
      <c r="E42" s="128">
        <v>16474853.835999999</v>
      </c>
      <c r="F42" s="128">
        <v>849649028.25999999</v>
      </c>
      <c r="G42" s="128">
        <v>51.572477468867788</v>
      </c>
      <c r="H42" s="128">
        <v>1045488924.27</v>
      </c>
      <c r="I42" s="128">
        <v>51.572500000000012</v>
      </c>
      <c r="J42" s="129">
        <v>43190</v>
      </c>
      <c r="K42" s="127" t="s">
        <v>1131</v>
      </c>
      <c r="L42" s="127" t="s">
        <v>1132</v>
      </c>
      <c r="M42" s="127" t="s">
        <v>1108</v>
      </c>
      <c r="N42" s="127" t="s">
        <v>1133</v>
      </c>
      <c r="O42" s="127" t="s">
        <v>879</v>
      </c>
      <c r="P42" s="127" t="s">
        <v>880</v>
      </c>
      <c r="Q42" s="128">
        <v>51.572500000000012</v>
      </c>
      <c r="R42" s="128">
        <v>51.056800000000003</v>
      </c>
      <c r="S42" s="128">
        <v>84263</v>
      </c>
      <c r="T42" s="127" t="s">
        <v>56</v>
      </c>
      <c r="U42" s="127" t="s">
        <v>902</v>
      </c>
      <c r="V42" s="129">
        <v>43189</v>
      </c>
      <c r="W42" s="128">
        <v>51.568400000000004</v>
      </c>
      <c r="X42" s="128">
        <v>51.568429825066893</v>
      </c>
      <c r="Y42" s="128">
        <v>4.1000000000000003E-3</v>
      </c>
      <c r="Z42" s="128">
        <v>7.950605409514349E-3</v>
      </c>
      <c r="AA42" s="128">
        <v>2.9019999999999997</v>
      </c>
      <c r="AB42" s="128">
        <v>4.0476438009E-3</v>
      </c>
      <c r="AC42" s="128">
        <v>7.8490731919327907E-3</v>
      </c>
      <c r="AD42" s="128">
        <v>2.8649</v>
      </c>
      <c r="AE42" s="127" t="s">
        <v>56</v>
      </c>
      <c r="AF42" s="127" t="s">
        <v>8</v>
      </c>
      <c r="AH42" s="127" t="s">
        <v>896</v>
      </c>
      <c r="AI42" s="127" t="s">
        <v>1134</v>
      </c>
      <c r="AL42" s="139">
        <f t="shared" si="0"/>
        <v>104.548892427</v>
      </c>
      <c r="AN42" s="127" t="b">
        <f t="shared" si="1"/>
        <v>1</v>
      </c>
    </row>
    <row r="43" spans="1:40" ht="15" hidden="1">
      <c r="A43" s="127" t="str">
        <f>+VLOOKUP(C43,'code mapping'!A:C,3,0)</f>
        <v>LIC31</v>
      </c>
      <c r="B43" s="127" t="s">
        <v>1135</v>
      </c>
      <c r="C43" s="127" t="s">
        <v>700</v>
      </c>
      <c r="D43" s="127" t="s">
        <v>1085</v>
      </c>
      <c r="E43" s="128">
        <v>5775677.2920000004</v>
      </c>
      <c r="F43" s="128">
        <v>60229895.479999997</v>
      </c>
      <c r="G43" s="128">
        <v>10.4281961118959</v>
      </c>
      <c r="H43" s="128">
        <v>1045488924.27</v>
      </c>
      <c r="I43" s="128">
        <v>10.428199999999999</v>
      </c>
      <c r="J43" s="129">
        <v>43190</v>
      </c>
      <c r="K43" s="127" t="s">
        <v>1136</v>
      </c>
      <c r="L43" s="127" t="s">
        <v>1137</v>
      </c>
      <c r="M43" s="127" t="s">
        <v>1108</v>
      </c>
      <c r="N43" s="127" t="s">
        <v>1138</v>
      </c>
      <c r="O43" s="127" t="s">
        <v>879</v>
      </c>
      <c r="P43" s="127" t="s">
        <v>880</v>
      </c>
      <c r="Q43" s="128">
        <v>10.428199999999999</v>
      </c>
      <c r="R43" s="128">
        <v>10.323900000000002</v>
      </c>
      <c r="S43" s="128">
        <v>84260</v>
      </c>
      <c r="T43" s="127" t="s">
        <v>56</v>
      </c>
      <c r="U43" s="127" t="s">
        <v>1089</v>
      </c>
      <c r="V43" s="129">
        <v>43189</v>
      </c>
      <c r="W43" s="128">
        <v>10.4274</v>
      </c>
      <c r="X43" s="128">
        <v>10.427377655503498</v>
      </c>
      <c r="Y43" s="128">
        <v>8.0000000000000004E-4</v>
      </c>
      <c r="Z43" s="128">
        <v>7.6720946736482708E-3</v>
      </c>
      <c r="AA43" s="128">
        <v>2.8002999999999996</v>
      </c>
      <c r="AB43" s="128">
        <v>8.1845639238999979E-4</v>
      </c>
      <c r="AC43" s="128">
        <v>7.8491104804094391E-3</v>
      </c>
      <c r="AD43" s="128">
        <v>2.8649</v>
      </c>
      <c r="AE43" s="127" t="s">
        <v>56</v>
      </c>
      <c r="AF43" s="127" t="s">
        <v>8</v>
      </c>
      <c r="AH43" s="127" t="s">
        <v>896</v>
      </c>
      <c r="AI43" s="127" t="s">
        <v>1139</v>
      </c>
      <c r="AL43" s="139">
        <f t="shared" si="0"/>
        <v>104.548892427</v>
      </c>
      <c r="AN43" s="127" t="b">
        <f t="shared" si="1"/>
        <v>1</v>
      </c>
    </row>
    <row r="44" spans="1:40" ht="15" hidden="1">
      <c r="A44" s="127" t="str">
        <f>+VLOOKUP(C44,'code mapping'!A:C,3,0)</f>
        <v>LIC31</v>
      </c>
      <c r="B44" s="127" t="s">
        <v>1140</v>
      </c>
      <c r="C44" s="127" t="s">
        <v>700</v>
      </c>
      <c r="D44" s="127" t="s">
        <v>1141</v>
      </c>
      <c r="E44" s="128">
        <v>1653022.2009999999</v>
      </c>
      <c r="F44" s="128">
        <v>17477397</v>
      </c>
      <c r="G44" s="128">
        <v>10.572995927959699</v>
      </c>
      <c r="H44" s="128">
        <v>1045488924.27</v>
      </c>
      <c r="I44" s="128">
        <v>10.573</v>
      </c>
      <c r="J44" s="129">
        <v>43190</v>
      </c>
      <c r="K44" s="127" t="s">
        <v>1142</v>
      </c>
      <c r="L44" s="127" t="s">
        <v>1143</v>
      </c>
      <c r="M44" s="127" t="s">
        <v>1108</v>
      </c>
      <c r="N44" s="127" t="s">
        <v>1144</v>
      </c>
      <c r="O44" s="127" t="s">
        <v>879</v>
      </c>
      <c r="P44" s="127" t="s">
        <v>880</v>
      </c>
      <c r="Q44" s="128">
        <v>10.573</v>
      </c>
      <c r="R44" s="128">
        <v>10.4673</v>
      </c>
      <c r="S44" s="128">
        <v>84261</v>
      </c>
      <c r="T44" s="127" t="s">
        <v>56</v>
      </c>
      <c r="U44" s="127" t="s">
        <v>1145</v>
      </c>
      <c r="V44" s="129">
        <v>43189</v>
      </c>
      <c r="W44" s="128">
        <v>10.5722</v>
      </c>
      <c r="X44" s="128">
        <v>10.572166108493798</v>
      </c>
      <c r="Y44" s="128">
        <v>8.0000000000000004E-4</v>
      </c>
      <c r="Z44" s="128">
        <v>7.5670153799587605E-3</v>
      </c>
      <c r="AA44" s="128">
        <v>2.762</v>
      </c>
      <c r="AB44" s="128">
        <v>8.2981946592999996E-4</v>
      </c>
      <c r="AC44" s="128">
        <v>7.8490959886008092E-3</v>
      </c>
      <c r="AD44" s="128">
        <v>2.8649</v>
      </c>
      <c r="AE44" s="127" t="s">
        <v>56</v>
      </c>
      <c r="AF44" s="127" t="s">
        <v>8</v>
      </c>
      <c r="AH44" s="127" t="s">
        <v>896</v>
      </c>
      <c r="AI44" s="127" t="s">
        <v>1146</v>
      </c>
      <c r="AL44" s="139">
        <f t="shared" si="0"/>
        <v>104.548892427</v>
      </c>
      <c r="AN44" s="127" t="b">
        <f t="shared" si="1"/>
        <v>1</v>
      </c>
    </row>
    <row r="45" spans="1:40" ht="15" hidden="1">
      <c r="A45" s="127" t="str">
        <f>+VLOOKUP(C45,'code mapping'!A:C,3,0)</f>
        <v>LIC31</v>
      </c>
      <c r="B45" s="127" t="s">
        <v>1147</v>
      </c>
      <c r="C45" s="127" t="s">
        <v>700</v>
      </c>
      <c r="D45" s="127" t="s">
        <v>1148</v>
      </c>
      <c r="E45" s="128">
        <v>39295.828999999998</v>
      </c>
      <c r="F45" s="128">
        <v>456088.17</v>
      </c>
      <c r="G45" s="128">
        <v>11.6065287743389</v>
      </c>
      <c r="H45" s="128">
        <v>1045488924.27</v>
      </c>
      <c r="I45" s="128">
        <v>11.6065</v>
      </c>
      <c r="J45" s="129">
        <v>43190</v>
      </c>
      <c r="K45" s="127" t="s">
        <v>1149</v>
      </c>
      <c r="L45" s="127" t="s">
        <v>1150</v>
      </c>
      <c r="M45" s="127" t="s">
        <v>1108</v>
      </c>
      <c r="N45" s="127" t="s">
        <v>1151</v>
      </c>
      <c r="O45" s="127" t="s">
        <v>879</v>
      </c>
      <c r="P45" s="127" t="s">
        <v>880</v>
      </c>
      <c r="Q45" s="128">
        <v>11.6065</v>
      </c>
      <c r="R45" s="128">
        <v>11.490400000000001</v>
      </c>
      <c r="S45" s="128">
        <v>84266</v>
      </c>
      <c r="T45" s="127" t="s">
        <v>56</v>
      </c>
      <c r="U45" s="127" t="s">
        <v>1152</v>
      </c>
      <c r="V45" s="129">
        <v>43189</v>
      </c>
      <c r="W45" s="128">
        <v>11.605400000000001</v>
      </c>
      <c r="X45" s="128">
        <v>11.605439854698099</v>
      </c>
      <c r="Y45" s="128">
        <v>1.1000000000000001E-3</v>
      </c>
      <c r="Z45" s="128">
        <v>9.4783462870732596E-3</v>
      </c>
      <c r="AA45" s="128">
        <v>3.4596</v>
      </c>
      <c r="AB45" s="128">
        <v>1.0889196408099999E-3</v>
      </c>
      <c r="AC45" s="128">
        <v>9.382838172817631E-3</v>
      </c>
      <c r="AD45" s="128">
        <v>3.4247000000000001</v>
      </c>
      <c r="AE45" s="127" t="s">
        <v>56</v>
      </c>
      <c r="AF45" s="127" t="s">
        <v>8</v>
      </c>
      <c r="AH45" s="127" t="s">
        <v>882</v>
      </c>
      <c r="AI45" s="127" t="s">
        <v>1153</v>
      </c>
      <c r="AL45" s="139">
        <f t="shared" si="0"/>
        <v>104.548892427</v>
      </c>
      <c r="AN45" s="127" t="b">
        <f t="shared" si="1"/>
        <v>1</v>
      </c>
    </row>
    <row r="46" spans="1:40" ht="15" hidden="1">
      <c r="A46" s="127" t="str">
        <f>+VLOOKUP(C46,'code mapping'!A:C,3,0)</f>
        <v>LIC40</v>
      </c>
      <c r="B46" s="127" t="s">
        <v>1154</v>
      </c>
      <c r="C46" s="127" t="s">
        <v>729</v>
      </c>
      <c r="D46" s="127" t="s">
        <v>1053</v>
      </c>
      <c r="E46" s="128">
        <v>82050143.215000004</v>
      </c>
      <c r="F46" s="128">
        <v>829191366.19000006</v>
      </c>
      <c r="G46" s="128">
        <v>10.105910041097999</v>
      </c>
      <c r="H46" s="128">
        <v>20746778572.490002</v>
      </c>
      <c r="I46" s="128">
        <v>10.1059</v>
      </c>
      <c r="J46" s="129">
        <v>43190</v>
      </c>
      <c r="K46" s="127" t="s">
        <v>1155</v>
      </c>
      <c r="L46" s="127" t="s">
        <v>1156</v>
      </c>
      <c r="M46" s="127" t="s">
        <v>1157</v>
      </c>
      <c r="N46" s="127" t="s">
        <v>1158</v>
      </c>
      <c r="O46" s="127" t="s">
        <v>879</v>
      </c>
      <c r="P46" s="127" t="s">
        <v>880</v>
      </c>
      <c r="Q46" s="128">
        <v>10.1059</v>
      </c>
      <c r="R46" s="128">
        <v>10.1059</v>
      </c>
      <c r="S46" s="128">
        <v>84282</v>
      </c>
      <c r="T46" s="127" t="s">
        <v>63</v>
      </c>
      <c r="U46" s="127" t="s">
        <v>1058</v>
      </c>
      <c r="V46" s="129">
        <v>43189</v>
      </c>
      <c r="W46" s="128">
        <v>10.103900000000001</v>
      </c>
      <c r="X46" s="128">
        <v>10.103940397491499</v>
      </c>
      <c r="Y46" s="128">
        <v>2E-3</v>
      </c>
      <c r="Z46" s="128">
        <v>1.9794336840229999E-2</v>
      </c>
      <c r="AA46" s="128">
        <v>7.2249000000000017</v>
      </c>
      <c r="AB46" s="128">
        <v>1.96964360655E-3</v>
      </c>
      <c r="AC46" s="128">
        <v>1.9493816561299299E-2</v>
      </c>
      <c r="AD46" s="128">
        <v>7.1152000000000006</v>
      </c>
      <c r="AE46" s="127" t="s">
        <v>63</v>
      </c>
      <c r="AF46" s="127" t="s">
        <v>15</v>
      </c>
      <c r="AH46" s="127" t="s">
        <v>882</v>
      </c>
      <c r="AI46" s="127" t="s">
        <v>1159</v>
      </c>
      <c r="AL46" s="139">
        <f t="shared" si="0"/>
        <v>2074.6778572490002</v>
      </c>
      <c r="AN46" s="127" t="b">
        <f t="shared" si="1"/>
        <v>1</v>
      </c>
    </row>
    <row r="47" spans="1:40" ht="15" hidden="1">
      <c r="A47" s="127" t="str">
        <f>+VLOOKUP(C47,'code mapping'!A:C,3,0)</f>
        <v>LIC40</v>
      </c>
      <c r="B47" s="127" t="s">
        <v>1160</v>
      </c>
      <c r="C47" s="127" t="s">
        <v>729</v>
      </c>
      <c r="D47" s="127" t="s">
        <v>885</v>
      </c>
      <c r="E47" s="128">
        <v>442552956.18300003</v>
      </c>
      <c r="F47" s="128">
        <v>12222444475</v>
      </c>
      <c r="G47" s="128">
        <v>27.618038257879999</v>
      </c>
      <c r="H47" s="128">
        <v>20746778572.490002</v>
      </c>
      <c r="I47" s="128">
        <v>27.618000000000002</v>
      </c>
      <c r="J47" s="129">
        <v>43190</v>
      </c>
      <c r="K47" s="127" t="s">
        <v>1161</v>
      </c>
      <c r="L47" s="127" t="s">
        <v>1162</v>
      </c>
      <c r="M47" s="127" t="s">
        <v>1157</v>
      </c>
      <c r="N47" s="127" t="s">
        <v>1163</v>
      </c>
      <c r="O47" s="127" t="s">
        <v>879</v>
      </c>
      <c r="P47" s="127" t="s">
        <v>880</v>
      </c>
      <c r="Q47" s="128">
        <v>27.618000000000002</v>
      </c>
      <c r="R47" s="128">
        <v>27.618000000000002</v>
      </c>
      <c r="S47" s="128">
        <v>84285</v>
      </c>
      <c r="T47" s="127" t="s">
        <v>63</v>
      </c>
      <c r="U47" s="127" t="s">
        <v>889</v>
      </c>
      <c r="V47" s="129">
        <v>43189</v>
      </c>
      <c r="W47" s="128">
        <v>27.6127</v>
      </c>
      <c r="X47" s="128">
        <v>27.612650934404499</v>
      </c>
      <c r="Y47" s="128">
        <v>5.3E-3</v>
      </c>
      <c r="Z47" s="128">
        <v>1.9194066498386599E-2</v>
      </c>
      <c r="AA47" s="128">
        <v>7.0058000000000007</v>
      </c>
      <c r="AB47" s="128">
        <v>5.387323475499999E-3</v>
      </c>
      <c r="AC47" s="128">
        <v>1.9510345052700301E-2</v>
      </c>
      <c r="AD47" s="128">
        <v>7.1213000000000015</v>
      </c>
      <c r="AE47" s="127" t="s">
        <v>63</v>
      </c>
      <c r="AF47" s="127" t="s">
        <v>15</v>
      </c>
      <c r="AH47" s="127" t="s">
        <v>882</v>
      </c>
      <c r="AI47" s="127" t="s">
        <v>1164</v>
      </c>
      <c r="AL47" s="139">
        <f t="shared" si="0"/>
        <v>2074.6778572490002</v>
      </c>
      <c r="AN47" s="127" t="b">
        <f t="shared" si="1"/>
        <v>1</v>
      </c>
    </row>
    <row r="48" spans="1:40" ht="15" hidden="1">
      <c r="A48" s="127" t="str">
        <f>+VLOOKUP(C48,'code mapping'!A:C,3,0)</f>
        <v>LIC40</v>
      </c>
      <c r="B48" s="127" t="s">
        <v>1165</v>
      </c>
      <c r="C48" s="127" t="s">
        <v>729</v>
      </c>
      <c r="D48" s="127" t="s">
        <v>1066</v>
      </c>
      <c r="E48" s="128">
        <v>264651.40399999998</v>
      </c>
      <c r="F48" s="128">
        <v>3820444.17</v>
      </c>
      <c r="G48" s="128">
        <v>14.4357600687431</v>
      </c>
      <c r="H48" s="128">
        <v>20746778572.490002</v>
      </c>
      <c r="I48" s="128">
        <v>14.435799999999999</v>
      </c>
      <c r="J48" s="129">
        <v>43190</v>
      </c>
      <c r="K48" s="127" t="s">
        <v>1166</v>
      </c>
      <c r="L48" s="127" t="s">
        <v>1167</v>
      </c>
      <c r="M48" s="127" t="s">
        <v>1157</v>
      </c>
      <c r="N48" s="127" t="s">
        <v>1168</v>
      </c>
      <c r="O48" s="127" t="s">
        <v>879</v>
      </c>
      <c r="P48" s="127" t="s">
        <v>880</v>
      </c>
      <c r="Q48" s="128">
        <v>14.435799999999999</v>
      </c>
      <c r="R48" s="128">
        <v>14.435799999999999</v>
      </c>
      <c r="S48" s="128">
        <v>84284</v>
      </c>
      <c r="T48" s="127" t="s">
        <v>63</v>
      </c>
      <c r="U48" s="127" t="s">
        <v>1070</v>
      </c>
      <c r="V48" s="129">
        <v>43189</v>
      </c>
      <c r="W48" s="128">
        <v>14.4329</v>
      </c>
      <c r="X48" s="128">
        <v>14.432946556368899</v>
      </c>
      <c r="Y48" s="128">
        <v>2.9000000000000002E-3</v>
      </c>
      <c r="Z48" s="128">
        <v>2.0092982006388201E-2</v>
      </c>
      <c r="AA48" s="128">
        <v>7.3339000000000008</v>
      </c>
      <c r="AB48" s="128">
        <v>2.8135123741899999E-3</v>
      </c>
      <c r="AC48" s="128">
        <v>1.94936797084478E-2</v>
      </c>
      <c r="AD48" s="128">
        <v>7.1152000000000006</v>
      </c>
      <c r="AE48" s="127" t="s">
        <v>63</v>
      </c>
      <c r="AF48" s="127" t="s">
        <v>15</v>
      </c>
      <c r="AH48" s="127" t="s">
        <v>882</v>
      </c>
      <c r="AI48" s="127" t="s">
        <v>1169</v>
      </c>
      <c r="AL48" s="139">
        <f t="shared" si="0"/>
        <v>2074.6778572490002</v>
      </c>
      <c r="AN48" s="127" t="b">
        <f t="shared" si="1"/>
        <v>1</v>
      </c>
    </row>
    <row r="49" spans="1:40" ht="15" hidden="1">
      <c r="A49" s="127" t="str">
        <f>+VLOOKUP(C49,'code mapping'!A:C,3,0)</f>
        <v>LIC40</v>
      </c>
      <c r="B49" s="127" t="s">
        <v>1170</v>
      </c>
      <c r="C49" s="127" t="s">
        <v>729</v>
      </c>
      <c r="D49" s="127" t="s">
        <v>1073</v>
      </c>
      <c r="E49" s="128">
        <v>74490206.652999997</v>
      </c>
      <c r="F49" s="128">
        <v>757312351.91999996</v>
      </c>
      <c r="G49" s="128">
        <v>10.166602912619298</v>
      </c>
      <c r="H49" s="128">
        <v>20746778572.490002</v>
      </c>
      <c r="I49" s="128">
        <v>10.166600000000001</v>
      </c>
      <c r="J49" s="129">
        <v>43190</v>
      </c>
      <c r="K49" s="127" t="s">
        <v>1171</v>
      </c>
      <c r="L49" s="127" t="s">
        <v>1172</v>
      </c>
      <c r="M49" s="127" t="s">
        <v>1157</v>
      </c>
      <c r="N49" s="127" t="s">
        <v>1173</v>
      </c>
      <c r="O49" s="127" t="s">
        <v>879</v>
      </c>
      <c r="P49" s="127" t="s">
        <v>880</v>
      </c>
      <c r="Q49" s="128">
        <v>10.166600000000001</v>
      </c>
      <c r="R49" s="128">
        <v>10.166600000000001</v>
      </c>
      <c r="S49" s="128">
        <v>84278</v>
      </c>
      <c r="T49" s="127" t="s">
        <v>63</v>
      </c>
      <c r="U49" s="127" t="s">
        <v>1077</v>
      </c>
      <c r="V49" s="129">
        <v>43189</v>
      </c>
      <c r="W49" s="128">
        <v>10.1648</v>
      </c>
      <c r="X49" s="128">
        <v>10.164769037186</v>
      </c>
      <c r="Y49" s="128">
        <v>1.8000000000000002E-3</v>
      </c>
      <c r="Z49" s="128">
        <v>1.7708169368802099E-2</v>
      </c>
      <c r="AA49" s="128">
        <v>6.4634999999999998</v>
      </c>
      <c r="AB49" s="128">
        <v>1.8338754332599999E-3</v>
      </c>
      <c r="AC49" s="128">
        <v>1.8041486496654203E-2</v>
      </c>
      <c r="AD49" s="128">
        <v>6.5851000000000006</v>
      </c>
      <c r="AE49" s="127" t="s">
        <v>63</v>
      </c>
      <c r="AF49" s="127" t="s">
        <v>15</v>
      </c>
      <c r="AH49" s="127" t="s">
        <v>896</v>
      </c>
      <c r="AI49" s="127" t="s">
        <v>1174</v>
      </c>
      <c r="AL49" s="139">
        <f t="shared" si="0"/>
        <v>2074.6778572490002</v>
      </c>
      <c r="AN49" s="127" t="b">
        <f t="shared" si="1"/>
        <v>1</v>
      </c>
    </row>
    <row r="50" spans="1:40" ht="15" hidden="1">
      <c r="A50" s="127" t="str">
        <f>+VLOOKUP(C50,'code mapping'!A:C,3,0)</f>
        <v>LIC40</v>
      </c>
      <c r="B50" s="127" t="s">
        <v>1175</v>
      </c>
      <c r="C50" s="127" t="s">
        <v>729</v>
      </c>
      <c r="D50" s="127" t="s">
        <v>105</v>
      </c>
      <c r="E50" s="128">
        <v>250420055.67299998</v>
      </c>
      <c r="F50" s="128">
        <v>6649917092.5799999</v>
      </c>
      <c r="G50" s="128">
        <v>26.5550499727686</v>
      </c>
      <c r="H50" s="128">
        <v>20746778572.490002</v>
      </c>
      <c r="I50" s="128">
        <v>26.555</v>
      </c>
      <c r="J50" s="129">
        <v>43190</v>
      </c>
      <c r="K50" s="127" t="s">
        <v>1176</v>
      </c>
      <c r="L50" s="127" t="s">
        <v>1177</v>
      </c>
      <c r="M50" s="127" t="s">
        <v>1157</v>
      </c>
      <c r="N50" s="127" t="s">
        <v>1178</v>
      </c>
      <c r="O50" s="127" t="s">
        <v>879</v>
      </c>
      <c r="P50" s="127" t="s">
        <v>880</v>
      </c>
      <c r="Q50" s="128">
        <v>26.555</v>
      </c>
      <c r="R50" s="128">
        <v>26.555</v>
      </c>
      <c r="S50" s="128">
        <v>84281</v>
      </c>
      <c r="T50" s="127" t="s">
        <v>63</v>
      </c>
      <c r="U50" s="127" t="s">
        <v>902</v>
      </c>
      <c r="V50" s="129">
        <v>43189</v>
      </c>
      <c r="W50" s="128">
        <v>26.550300000000004</v>
      </c>
      <c r="X50" s="128">
        <v>26.550259910779399</v>
      </c>
      <c r="Y50" s="128">
        <v>4.7000000000000002E-3</v>
      </c>
      <c r="Z50" s="128">
        <v>1.77022481855196E-2</v>
      </c>
      <c r="AA50" s="128">
        <v>6.4612999999999996</v>
      </c>
      <c r="AB50" s="128">
        <v>4.7900619891499997E-3</v>
      </c>
      <c r="AC50" s="128">
        <v>1.8041488125716001E-2</v>
      </c>
      <c r="AD50" s="128">
        <v>6.5851000000000006</v>
      </c>
      <c r="AE50" s="127" t="s">
        <v>63</v>
      </c>
      <c r="AF50" s="127" t="s">
        <v>15</v>
      </c>
      <c r="AH50" s="127" t="s">
        <v>896</v>
      </c>
      <c r="AI50" s="127" t="s">
        <v>1179</v>
      </c>
      <c r="AL50" s="139">
        <f t="shared" si="0"/>
        <v>2074.6778572490002</v>
      </c>
      <c r="AN50" s="127" t="b">
        <f t="shared" si="1"/>
        <v>1</v>
      </c>
    </row>
    <row r="51" spans="1:40" ht="15" hidden="1">
      <c r="A51" s="127" t="str">
        <f>+VLOOKUP(C51,'code mapping'!A:C,3,0)</f>
        <v>LIC40</v>
      </c>
      <c r="B51" s="127" t="s">
        <v>1180</v>
      </c>
      <c r="C51" s="127" t="s">
        <v>729</v>
      </c>
      <c r="D51" s="127" t="s">
        <v>1085</v>
      </c>
      <c r="E51" s="128">
        <v>5863608.8139999993</v>
      </c>
      <c r="F51" s="128">
        <v>60264805.829999998</v>
      </c>
      <c r="G51" s="128">
        <v>10.277767112654498</v>
      </c>
      <c r="H51" s="128">
        <v>20746778572.490002</v>
      </c>
      <c r="I51" s="128">
        <v>10.277800000000003</v>
      </c>
      <c r="J51" s="129">
        <v>43190</v>
      </c>
      <c r="K51" s="127" t="s">
        <v>1181</v>
      </c>
      <c r="L51" s="127" t="s">
        <v>1182</v>
      </c>
      <c r="M51" s="127" t="s">
        <v>1157</v>
      </c>
      <c r="N51" s="127" t="s">
        <v>1183</v>
      </c>
      <c r="O51" s="127" t="s">
        <v>879</v>
      </c>
      <c r="P51" s="127" t="s">
        <v>880</v>
      </c>
      <c r="Q51" s="128">
        <v>10.277800000000003</v>
      </c>
      <c r="R51" s="128">
        <v>10.277800000000003</v>
      </c>
      <c r="S51" s="128">
        <v>84280</v>
      </c>
      <c r="T51" s="127" t="s">
        <v>63</v>
      </c>
      <c r="U51" s="127" t="s">
        <v>1089</v>
      </c>
      <c r="V51" s="129">
        <v>43189</v>
      </c>
      <c r="W51" s="128">
        <v>10.2759</v>
      </c>
      <c r="X51" s="128">
        <v>10.2759131827037</v>
      </c>
      <c r="Y51" s="128">
        <v>1.9E-3</v>
      </c>
      <c r="Z51" s="128">
        <v>1.84898646347279E-2</v>
      </c>
      <c r="AA51" s="128">
        <v>6.7488000000000001</v>
      </c>
      <c r="AB51" s="128">
        <v>1.8539299507999998E-3</v>
      </c>
      <c r="AC51" s="128">
        <v>1.80415104510665E-2</v>
      </c>
      <c r="AD51" s="128">
        <v>6.5851999999999995</v>
      </c>
      <c r="AE51" s="127" t="s">
        <v>63</v>
      </c>
      <c r="AF51" s="127" t="s">
        <v>15</v>
      </c>
      <c r="AH51" s="127" t="s">
        <v>896</v>
      </c>
      <c r="AI51" s="127" t="s">
        <v>1184</v>
      </c>
      <c r="AL51" s="139">
        <f t="shared" si="0"/>
        <v>2074.6778572490002</v>
      </c>
      <c r="AN51" s="127" t="b">
        <f t="shared" si="1"/>
        <v>1</v>
      </c>
    </row>
    <row r="52" spans="1:40" ht="15" hidden="1">
      <c r="A52" s="127" t="str">
        <f>+VLOOKUP(C52,'code mapping'!A:C,3,0)</f>
        <v>LIC40</v>
      </c>
      <c r="B52" s="127" t="s">
        <v>1185</v>
      </c>
      <c r="C52" s="127" t="s">
        <v>729</v>
      </c>
      <c r="D52" s="127" t="s">
        <v>1092</v>
      </c>
      <c r="E52" s="128">
        <v>13713967.596999997</v>
      </c>
      <c r="F52" s="128">
        <v>139370350.28999999</v>
      </c>
      <c r="G52" s="128">
        <v>10.162657108836099</v>
      </c>
      <c r="H52" s="128">
        <v>20746778572.490002</v>
      </c>
      <c r="I52" s="128">
        <v>10.162700000000001</v>
      </c>
      <c r="J52" s="129">
        <v>43190</v>
      </c>
      <c r="K52" s="127" t="s">
        <v>1186</v>
      </c>
      <c r="L52" s="127" t="s">
        <v>1187</v>
      </c>
      <c r="M52" s="127" t="s">
        <v>1157</v>
      </c>
      <c r="N52" s="127" t="s">
        <v>1188</v>
      </c>
      <c r="O52" s="127" t="s">
        <v>879</v>
      </c>
      <c r="P52" s="127" t="s">
        <v>880</v>
      </c>
      <c r="Q52" s="128">
        <v>10.162700000000001</v>
      </c>
      <c r="R52" s="128">
        <v>10.162700000000001</v>
      </c>
      <c r="S52" s="128">
        <v>84279</v>
      </c>
      <c r="T52" s="127" t="s">
        <v>63</v>
      </c>
      <c r="U52" s="127" t="s">
        <v>1096</v>
      </c>
      <c r="V52" s="129">
        <v>43189</v>
      </c>
      <c r="W52" s="128">
        <v>10.1608</v>
      </c>
      <c r="X52" s="128">
        <v>10.1608239449598</v>
      </c>
      <c r="Y52" s="128">
        <v>1.9E-3</v>
      </c>
      <c r="Z52" s="128">
        <v>1.8699315014565801E-2</v>
      </c>
      <c r="AA52" s="128">
        <v>6.8252000000000006</v>
      </c>
      <c r="AB52" s="128">
        <v>1.8331638763299997E-3</v>
      </c>
      <c r="AC52" s="128">
        <v>1.8041488429088804E-2</v>
      </c>
      <c r="AD52" s="128">
        <v>6.5851000000000006</v>
      </c>
      <c r="AE52" s="127" t="s">
        <v>63</v>
      </c>
      <c r="AF52" s="127" t="s">
        <v>15</v>
      </c>
      <c r="AH52" s="127" t="s">
        <v>896</v>
      </c>
      <c r="AI52" s="127" t="s">
        <v>1189</v>
      </c>
      <c r="AL52" s="139">
        <f t="shared" si="0"/>
        <v>2074.6778572490002</v>
      </c>
      <c r="AN52" s="127" t="b">
        <f t="shared" si="1"/>
        <v>1</v>
      </c>
    </row>
    <row r="53" spans="1:40" ht="15" hidden="1">
      <c r="A53" s="127" t="str">
        <f>+VLOOKUP(C53,'code mapping'!A:C,3,0)</f>
        <v>LIC40</v>
      </c>
      <c r="B53" s="127" t="s">
        <v>1190</v>
      </c>
      <c r="C53" s="127" t="s">
        <v>729</v>
      </c>
      <c r="D53" s="127" t="s">
        <v>1099</v>
      </c>
      <c r="E53" s="128">
        <v>8000786.2720000008</v>
      </c>
      <c r="F53" s="128">
        <v>84457686.510000005</v>
      </c>
      <c r="G53" s="128">
        <v>10.556173310812301</v>
      </c>
      <c r="H53" s="128">
        <v>20746778572.490002</v>
      </c>
      <c r="I53" s="128">
        <v>10.5562</v>
      </c>
      <c r="J53" s="129">
        <v>43190</v>
      </c>
      <c r="K53" s="127" t="s">
        <v>1191</v>
      </c>
      <c r="L53" s="127" t="s">
        <v>1192</v>
      </c>
      <c r="M53" s="127" t="s">
        <v>1157</v>
      </c>
      <c r="N53" s="127" t="s">
        <v>1193</v>
      </c>
      <c r="O53" s="127" t="s">
        <v>879</v>
      </c>
      <c r="P53" s="127" t="s">
        <v>880</v>
      </c>
      <c r="Q53" s="128">
        <v>10.5562</v>
      </c>
      <c r="R53" s="128">
        <v>10.5562</v>
      </c>
      <c r="S53" s="128">
        <v>84283</v>
      </c>
      <c r="T53" s="127" t="s">
        <v>63</v>
      </c>
      <c r="U53" s="127" t="s">
        <v>1103</v>
      </c>
      <c r="V53" s="129">
        <v>43189</v>
      </c>
      <c r="W53" s="128">
        <v>10.5541</v>
      </c>
      <c r="X53" s="128">
        <v>10.554115913021599</v>
      </c>
      <c r="Y53" s="128">
        <v>2.1000000000000003E-3</v>
      </c>
      <c r="Z53" s="128">
        <v>1.9897480599956403E-2</v>
      </c>
      <c r="AA53" s="128">
        <v>7.2625999999999999</v>
      </c>
      <c r="AB53" s="128">
        <v>2.0573977907199998E-3</v>
      </c>
      <c r="AC53" s="128">
        <v>1.9493795668679301E-2</v>
      </c>
      <c r="AD53" s="128">
        <v>7.1152000000000006</v>
      </c>
      <c r="AE53" s="127" t="s">
        <v>63</v>
      </c>
      <c r="AF53" s="127" t="s">
        <v>15</v>
      </c>
      <c r="AH53" s="127" t="s">
        <v>882</v>
      </c>
      <c r="AI53" s="127" t="s">
        <v>1194</v>
      </c>
      <c r="AL53" s="139">
        <f t="shared" si="0"/>
        <v>2074.6778572490002</v>
      </c>
      <c r="AN53" s="127" t="b">
        <f t="shared" si="1"/>
        <v>1</v>
      </c>
    </row>
    <row r="54" spans="1:40" ht="15" hidden="1">
      <c r="A54" s="127" t="str">
        <f>+VLOOKUP(C54,'code mapping'!A:C,3,0)</f>
        <v>LIC08</v>
      </c>
      <c r="B54" s="127" t="s">
        <v>1195</v>
      </c>
      <c r="C54" s="127" t="s">
        <v>746</v>
      </c>
      <c r="D54" s="127" t="s">
        <v>874</v>
      </c>
      <c r="E54" s="128">
        <v>26719356.083000001</v>
      </c>
      <c r="F54" s="128">
        <v>394333548.97000003</v>
      </c>
      <c r="G54" s="128">
        <v>14.758347759019998</v>
      </c>
      <c r="H54" s="128">
        <v>3314872924.1399999</v>
      </c>
      <c r="I54" s="128">
        <v>14.758299999999998</v>
      </c>
      <c r="J54" s="129">
        <v>43190</v>
      </c>
      <c r="K54" s="127" t="s">
        <v>1196</v>
      </c>
      <c r="L54" s="127" t="s">
        <v>1197</v>
      </c>
      <c r="M54" s="127" t="s">
        <v>1198</v>
      </c>
      <c r="N54" s="127" t="s">
        <v>1199</v>
      </c>
      <c r="O54" s="127" t="s">
        <v>879</v>
      </c>
      <c r="P54" s="127" t="s">
        <v>1200</v>
      </c>
      <c r="Q54" s="128">
        <v>14.758299999999998</v>
      </c>
      <c r="R54" s="128">
        <v>14.610700000000001</v>
      </c>
      <c r="S54" s="128">
        <v>84315</v>
      </c>
      <c r="T54" s="127" t="s">
        <v>228</v>
      </c>
      <c r="U54" s="127" t="s">
        <v>881</v>
      </c>
      <c r="V54" s="129">
        <v>43189</v>
      </c>
      <c r="W54" s="128">
        <v>14.757700000000002</v>
      </c>
      <c r="X54" s="128">
        <v>14.7577315982132</v>
      </c>
      <c r="Y54" s="128">
        <v>6.0000000000000006E-4</v>
      </c>
      <c r="Z54" s="128">
        <v>4.0656741904226308E-3</v>
      </c>
      <c r="AA54" s="128">
        <v>1.484</v>
      </c>
      <c r="AB54" s="128">
        <v>6.1616080674999996E-4</v>
      </c>
      <c r="AC54" s="128">
        <v>4.1751728756511701E-3</v>
      </c>
      <c r="AD54" s="128">
        <v>1.5239000000000003</v>
      </c>
      <c r="AE54" s="127" t="s">
        <v>228</v>
      </c>
      <c r="AF54" s="127" t="s">
        <v>4</v>
      </c>
      <c r="AH54" s="127" t="s">
        <v>882</v>
      </c>
      <c r="AI54" s="127" t="s">
        <v>1201</v>
      </c>
      <c r="AL54" s="139">
        <f t="shared" si="0"/>
        <v>331.48729241399997</v>
      </c>
      <c r="AN54" s="127" t="b">
        <f t="shared" si="1"/>
        <v>1</v>
      </c>
    </row>
    <row r="55" spans="1:40" ht="15" hidden="1">
      <c r="A55" s="127" t="str">
        <f>+VLOOKUP(C55,'code mapping'!A:C,3,0)</f>
        <v>LIC08</v>
      </c>
      <c r="B55" s="127" t="s">
        <v>1202</v>
      </c>
      <c r="C55" s="127" t="s">
        <v>746</v>
      </c>
      <c r="D55" s="127" t="s">
        <v>885</v>
      </c>
      <c r="E55" s="128">
        <v>1295770.2180000001</v>
      </c>
      <c r="F55" s="128">
        <v>127303796.54000001</v>
      </c>
      <c r="G55" s="128">
        <v>98.245657116962704</v>
      </c>
      <c r="H55" s="128">
        <v>3314872924.1399999</v>
      </c>
      <c r="I55" s="128">
        <v>98.245699999999999</v>
      </c>
      <c r="J55" s="129">
        <v>43190</v>
      </c>
      <c r="K55" s="127" t="s">
        <v>1203</v>
      </c>
      <c r="L55" s="127" t="s">
        <v>1204</v>
      </c>
      <c r="M55" s="127" t="s">
        <v>1198</v>
      </c>
      <c r="N55" s="127" t="s">
        <v>1205</v>
      </c>
      <c r="O55" s="127" t="s">
        <v>879</v>
      </c>
      <c r="P55" s="127" t="s">
        <v>1200</v>
      </c>
      <c r="Q55" s="128">
        <v>98.245699999999999</v>
      </c>
      <c r="R55" s="128">
        <v>97.263199999999998</v>
      </c>
      <c r="S55" s="128">
        <v>84316</v>
      </c>
      <c r="T55" s="127" t="s">
        <v>228</v>
      </c>
      <c r="U55" s="127" t="s">
        <v>889</v>
      </c>
      <c r="V55" s="129">
        <v>43189</v>
      </c>
      <c r="W55" s="128">
        <v>98.241500000000002</v>
      </c>
      <c r="X55" s="128">
        <v>98.241530976443499</v>
      </c>
      <c r="Y55" s="128">
        <v>4.2000000000000006E-3</v>
      </c>
      <c r="Z55" s="128">
        <v>4.2751790231215911E-3</v>
      </c>
      <c r="AA55" s="128">
        <v>1.5604</v>
      </c>
      <c r="AB55" s="128">
        <v>4.1261405191499994E-3</v>
      </c>
      <c r="AC55" s="128">
        <v>4.1999961504461608E-3</v>
      </c>
      <c r="AD55" s="128">
        <v>1.5330000000000001</v>
      </c>
      <c r="AE55" s="127" t="s">
        <v>228</v>
      </c>
      <c r="AF55" s="127" t="s">
        <v>4</v>
      </c>
      <c r="AH55" s="127" t="s">
        <v>882</v>
      </c>
      <c r="AI55" s="127" t="s">
        <v>1206</v>
      </c>
      <c r="AL55" s="139">
        <f t="shared" si="0"/>
        <v>331.48729241399997</v>
      </c>
      <c r="AN55" s="127" t="b">
        <f t="shared" si="1"/>
        <v>1</v>
      </c>
    </row>
    <row r="56" spans="1:40" ht="15" hidden="1">
      <c r="A56" s="127" t="str">
        <f>+VLOOKUP(C56,'code mapping'!A:C,3,0)</f>
        <v>LIC08</v>
      </c>
      <c r="B56" s="127" t="s">
        <v>1207</v>
      </c>
      <c r="C56" s="127" t="s">
        <v>746</v>
      </c>
      <c r="D56" s="127" t="s">
        <v>103</v>
      </c>
      <c r="E56" s="128">
        <v>86866170.423999995</v>
      </c>
      <c r="F56" s="128">
        <v>1223068761.28</v>
      </c>
      <c r="G56" s="128">
        <v>14.0799203569136</v>
      </c>
      <c r="H56" s="128">
        <v>3314872924.1399999</v>
      </c>
      <c r="I56" s="128">
        <v>14.0799</v>
      </c>
      <c r="J56" s="129">
        <v>43190</v>
      </c>
      <c r="K56" s="127" t="s">
        <v>1208</v>
      </c>
      <c r="L56" s="127" t="s">
        <v>1209</v>
      </c>
      <c r="M56" s="127" t="s">
        <v>1198</v>
      </c>
      <c r="N56" s="127" t="s">
        <v>1210</v>
      </c>
      <c r="O56" s="127" t="s">
        <v>879</v>
      </c>
      <c r="P56" s="127" t="s">
        <v>1200</v>
      </c>
      <c r="Q56" s="128">
        <v>14.0799</v>
      </c>
      <c r="R56" s="128">
        <v>13.939100000000002</v>
      </c>
      <c r="S56" s="128">
        <v>84313</v>
      </c>
      <c r="T56" s="127" t="s">
        <v>228</v>
      </c>
      <c r="U56" s="127" t="s">
        <v>895</v>
      </c>
      <c r="V56" s="129">
        <v>43189</v>
      </c>
      <c r="W56" s="128">
        <v>14.0801</v>
      </c>
      <c r="X56" s="128">
        <v>14.0801040028591</v>
      </c>
      <c r="Y56" s="128">
        <v>-2.0000000000000001E-4</v>
      </c>
      <c r="Z56" s="128">
        <v>-1.4204444570706199E-3</v>
      </c>
      <c r="AA56" s="128">
        <v>-0.51850000000000007</v>
      </c>
      <c r="AB56" s="128">
        <v>-1.8364594550000001E-4</v>
      </c>
      <c r="AC56" s="128">
        <v>-1.3042939559445702E-3</v>
      </c>
      <c r="AD56" s="128">
        <v>-0.47609999999999997</v>
      </c>
      <c r="AE56" s="127" t="s">
        <v>228</v>
      </c>
      <c r="AF56" s="127" t="s">
        <v>4</v>
      </c>
      <c r="AH56" s="127" t="s">
        <v>896</v>
      </c>
      <c r="AI56" s="127" t="s">
        <v>1211</v>
      </c>
      <c r="AL56" s="139">
        <f t="shared" si="0"/>
        <v>331.48729241399997</v>
      </c>
      <c r="AN56" s="127" t="b">
        <f t="shared" si="1"/>
        <v>1</v>
      </c>
    </row>
    <row r="57" spans="1:40" ht="15" hidden="1">
      <c r="A57" s="127" t="str">
        <f>+VLOOKUP(C57,'code mapping'!A:C,3,0)</f>
        <v>LIC08</v>
      </c>
      <c r="B57" s="127" t="s">
        <v>1212</v>
      </c>
      <c r="C57" s="127" t="s">
        <v>746</v>
      </c>
      <c r="D57" s="127" t="s">
        <v>105</v>
      </c>
      <c r="E57" s="128">
        <v>16714383.088999998</v>
      </c>
      <c r="F57" s="128">
        <v>1570166817.3499999</v>
      </c>
      <c r="G57" s="128">
        <v>93.94105717149391</v>
      </c>
      <c r="H57" s="128">
        <v>3314872924.1399999</v>
      </c>
      <c r="I57" s="128">
        <v>93.941100000000006</v>
      </c>
      <c r="J57" s="129">
        <v>43190</v>
      </c>
      <c r="K57" s="127" t="s">
        <v>1213</v>
      </c>
      <c r="L57" s="127" t="s">
        <v>1214</v>
      </c>
      <c r="M57" s="127" t="s">
        <v>1198</v>
      </c>
      <c r="N57" s="127" t="s">
        <v>1215</v>
      </c>
      <c r="O57" s="127" t="s">
        <v>879</v>
      </c>
      <c r="P57" s="127" t="s">
        <v>1200</v>
      </c>
      <c r="Q57" s="128">
        <v>93.941100000000006</v>
      </c>
      <c r="R57" s="128">
        <v>93.0017</v>
      </c>
      <c r="S57" s="128">
        <v>84314</v>
      </c>
      <c r="T57" s="127" t="s">
        <v>228</v>
      </c>
      <c r="U57" s="127" t="s">
        <v>902</v>
      </c>
      <c r="V57" s="129">
        <v>43189</v>
      </c>
      <c r="W57" s="128">
        <v>93.942299999999989</v>
      </c>
      <c r="X57" s="128">
        <v>93.942282456321394</v>
      </c>
      <c r="Y57" s="128">
        <v>-1.2000000000000001E-3</v>
      </c>
      <c r="Z57" s="128">
        <v>-1.2773798384753201E-3</v>
      </c>
      <c r="AA57" s="128">
        <v>-0.46619999999999995</v>
      </c>
      <c r="AB57" s="128">
        <v>-1.2252848275E-3</v>
      </c>
      <c r="AC57" s="128">
        <v>-1.3042953561083601E-3</v>
      </c>
      <c r="AD57" s="128">
        <v>-0.47609999999999997</v>
      </c>
      <c r="AE57" s="127" t="s">
        <v>228</v>
      </c>
      <c r="AF57" s="127" t="s">
        <v>4</v>
      </c>
      <c r="AH57" s="127" t="s">
        <v>896</v>
      </c>
      <c r="AI57" s="127" t="s">
        <v>1216</v>
      </c>
      <c r="AL57" s="139">
        <f t="shared" si="0"/>
        <v>331.48729241399997</v>
      </c>
      <c r="AN57" s="127" t="b">
        <f t="shared" si="1"/>
        <v>1</v>
      </c>
    </row>
    <row r="58" spans="1:40" ht="15" hidden="1">
      <c r="A58" s="127" t="str">
        <f>+VLOOKUP(C58,'code mapping'!A:C,3,0)</f>
        <v>LIC171</v>
      </c>
      <c r="B58" s="127" t="s">
        <v>1217</v>
      </c>
      <c r="C58" s="127" t="s">
        <v>750</v>
      </c>
      <c r="D58" s="127" t="s">
        <v>874</v>
      </c>
      <c r="E58" s="128">
        <v>435836.63699999993</v>
      </c>
      <c r="F58" s="128">
        <v>4690763.91</v>
      </c>
      <c r="G58" s="128">
        <v>10.762665438793801</v>
      </c>
      <c r="H58" s="128">
        <v>650688949.62</v>
      </c>
      <c r="I58" s="128">
        <v>10.762700000000001</v>
      </c>
      <c r="J58" s="129">
        <v>43190</v>
      </c>
      <c r="K58" s="127" t="s">
        <v>1218</v>
      </c>
      <c r="L58" s="127" t="s">
        <v>1219</v>
      </c>
      <c r="M58" s="127" t="s">
        <v>1220</v>
      </c>
      <c r="N58" s="127" t="s">
        <v>1221</v>
      </c>
      <c r="O58" s="127" t="s">
        <v>879</v>
      </c>
      <c r="P58" s="127" t="s">
        <v>1200</v>
      </c>
      <c r="Q58" s="128">
        <v>10.762700000000001</v>
      </c>
      <c r="R58" s="128">
        <v>10.655099999999999</v>
      </c>
      <c r="S58" s="128">
        <v>84341</v>
      </c>
      <c r="T58" s="127" t="s">
        <v>751</v>
      </c>
      <c r="U58" s="127" t="s">
        <v>881</v>
      </c>
      <c r="V58" s="129">
        <v>43189</v>
      </c>
      <c r="W58" s="128">
        <v>10.763</v>
      </c>
      <c r="X58" s="128">
        <v>10.763031172159101</v>
      </c>
      <c r="Y58" s="128">
        <v>-3.0000000000000003E-4</v>
      </c>
      <c r="Z58" s="128">
        <v>-2.7873269534516398E-3</v>
      </c>
      <c r="AA58" s="128">
        <v>-1.0174000000000001</v>
      </c>
      <c r="AB58" s="128">
        <v>-3.6573336535999999E-4</v>
      </c>
      <c r="AC58" s="128">
        <v>-3.3980517152644501E-3</v>
      </c>
      <c r="AD58" s="128">
        <v>-1.2403</v>
      </c>
      <c r="AE58" s="127" t="s">
        <v>1222</v>
      </c>
      <c r="AF58" s="127" t="s">
        <v>42</v>
      </c>
      <c r="AH58" s="127" t="s">
        <v>882</v>
      </c>
      <c r="AI58" s="127" t="s">
        <v>1223</v>
      </c>
      <c r="AL58" s="139">
        <f t="shared" si="0"/>
        <v>65.068894962000002</v>
      </c>
      <c r="AN58" s="127" t="b">
        <f t="shared" si="1"/>
        <v>1</v>
      </c>
    </row>
    <row r="59" spans="1:40" ht="15" hidden="1">
      <c r="A59" s="127" t="str">
        <f>+VLOOKUP(C59,'code mapping'!A:C,3,0)</f>
        <v>LIC171</v>
      </c>
      <c r="B59" s="127" t="s">
        <v>1224</v>
      </c>
      <c r="C59" s="127" t="s">
        <v>750</v>
      </c>
      <c r="D59" s="127" t="s">
        <v>885</v>
      </c>
      <c r="E59" s="128">
        <v>7339361.2520000003</v>
      </c>
      <c r="F59" s="128">
        <v>79099710.519999996</v>
      </c>
      <c r="G59" s="128">
        <v>10.7774652049516</v>
      </c>
      <c r="H59" s="128">
        <v>650688949.62</v>
      </c>
      <c r="I59" s="128">
        <v>10.7775</v>
      </c>
      <c r="J59" s="129">
        <v>43190</v>
      </c>
      <c r="K59" s="127" t="s">
        <v>1225</v>
      </c>
      <c r="L59" s="127" t="s">
        <v>1226</v>
      </c>
      <c r="M59" s="127" t="s">
        <v>1220</v>
      </c>
      <c r="N59" s="127" t="s">
        <v>1227</v>
      </c>
      <c r="O59" s="127" t="s">
        <v>879</v>
      </c>
      <c r="P59" s="127" t="s">
        <v>1200</v>
      </c>
      <c r="Q59" s="128">
        <v>10.7775</v>
      </c>
      <c r="R59" s="128">
        <v>10.669700000000001</v>
      </c>
      <c r="S59" s="128">
        <v>84342</v>
      </c>
      <c r="T59" s="127" t="s">
        <v>751</v>
      </c>
      <c r="U59" s="127" t="s">
        <v>889</v>
      </c>
      <c r="V59" s="129">
        <v>43189</v>
      </c>
      <c r="W59" s="128">
        <v>10.777800000000003</v>
      </c>
      <c r="X59" s="128">
        <v>10.7778081966526</v>
      </c>
      <c r="Y59" s="128">
        <v>-3.0000000000000003E-4</v>
      </c>
      <c r="Z59" s="128">
        <v>-2.7834994154651198E-3</v>
      </c>
      <c r="AA59" s="128">
        <v>-1.016</v>
      </c>
      <c r="AB59" s="128">
        <v>-3.4299170098999994E-4</v>
      </c>
      <c r="AC59" s="128">
        <v>-3.1823882438038499E-3</v>
      </c>
      <c r="AD59" s="128">
        <v>-1.1616</v>
      </c>
      <c r="AE59" s="127" t="s">
        <v>1222</v>
      </c>
      <c r="AF59" s="127" t="s">
        <v>42</v>
      </c>
      <c r="AH59" s="127" t="s">
        <v>882</v>
      </c>
      <c r="AI59" s="127" t="s">
        <v>1228</v>
      </c>
      <c r="AL59" s="139">
        <f t="shared" si="0"/>
        <v>65.068894962000002</v>
      </c>
      <c r="AN59" s="127" t="b">
        <f t="shared" si="1"/>
        <v>1</v>
      </c>
    </row>
    <row r="60" spans="1:40" ht="15" hidden="1">
      <c r="A60" s="127" t="str">
        <f>+VLOOKUP(C60,'code mapping'!A:C,3,0)</f>
        <v>LIC171</v>
      </c>
      <c r="B60" s="127" t="s">
        <v>1229</v>
      </c>
      <c r="C60" s="127" t="s">
        <v>750</v>
      </c>
      <c r="D60" s="127" t="s">
        <v>103</v>
      </c>
      <c r="E60" s="128">
        <v>4384413.8030000003</v>
      </c>
      <c r="F60" s="128">
        <v>45858135.450000003</v>
      </c>
      <c r="G60" s="128">
        <v>10.4593538635933</v>
      </c>
      <c r="H60" s="128">
        <v>650688949.62</v>
      </c>
      <c r="I60" s="128">
        <v>10.4594</v>
      </c>
      <c r="J60" s="129">
        <v>43190</v>
      </c>
      <c r="K60" s="127" t="s">
        <v>1230</v>
      </c>
      <c r="L60" s="127" t="s">
        <v>1231</v>
      </c>
      <c r="M60" s="127" t="s">
        <v>1220</v>
      </c>
      <c r="N60" s="127" t="s">
        <v>1232</v>
      </c>
      <c r="O60" s="127" t="s">
        <v>879</v>
      </c>
      <c r="P60" s="127" t="s">
        <v>1200</v>
      </c>
      <c r="Q60" s="128">
        <v>10.4594</v>
      </c>
      <c r="R60" s="128">
        <v>10.354800000000001</v>
      </c>
      <c r="S60" s="128">
        <v>84339</v>
      </c>
      <c r="T60" s="127" t="s">
        <v>751</v>
      </c>
      <c r="U60" s="127" t="s">
        <v>895</v>
      </c>
      <c r="V60" s="129">
        <v>43189</v>
      </c>
      <c r="W60" s="128">
        <v>10.460100000000001</v>
      </c>
      <c r="X60" s="128">
        <v>10.460110475571401</v>
      </c>
      <c r="Y60" s="128">
        <v>-6.9999999999999988E-4</v>
      </c>
      <c r="Z60" s="128">
        <v>-6.6920966338753904E-3</v>
      </c>
      <c r="AA60" s="128">
        <v>-2.4426000000000001</v>
      </c>
      <c r="AB60" s="128">
        <v>-7.5661197802999989E-4</v>
      </c>
      <c r="AC60" s="128">
        <v>-7.2333077150284206E-3</v>
      </c>
      <c r="AD60" s="128">
        <v>-2.6401999999999997</v>
      </c>
      <c r="AE60" s="127" t="s">
        <v>1222</v>
      </c>
      <c r="AF60" s="127" t="s">
        <v>42</v>
      </c>
      <c r="AH60" s="127" t="s">
        <v>896</v>
      </c>
      <c r="AI60" s="127" t="s">
        <v>1233</v>
      </c>
      <c r="AL60" s="139">
        <f t="shared" si="0"/>
        <v>65.068894962000002</v>
      </c>
      <c r="AN60" s="127" t="b">
        <f t="shared" si="1"/>
        <v>1</v>
      </c>
    </row>
    <row r="61" spans="1:40" ht="15" hidden="1">
      <c r="A61" s="127" t="str">
        <f>+VLOOKUP(C61,'code mapping'!A:C,3,0)</f>
        <v>LIC171</v>
      </c>
      <c r="B61" s="127" t="s">
        <v>1234</v>
      </c>
      <c r="C61" s="127" t="s">
        <v>750</v>
      </c>
      <c r="D61" s="127" t="s">
        <v>105</v>
      </c>
      <c r="E61" s="128">
        <v>49811713.509000003</v>
      </c>
      <c r="F61" s="128">
        <v>521040339.74000001</v>
      </c>
      <c r="G61" s="128">
        <v>10.460197070832699</v>
      </c>
      <c r="H61" s="128">
        <v>650688949.62</v>
      </c>
      <c r="I61" s="128">
        <v>10.4602</v>
      </c>
      <c r="J61" s="129">
        <v>43190</v>
      </c>
      <c r="K61" s="127" t="s">
        <v>1235</v>
      </c>
      <c r="L61" s="127" t="s">
        <v>1236</v>
      </c>
      <c r="M61" s="127" t="s">
        <v>1220</v>
      </c>
      <c r="N61" s="127" t="s">
        <v>1237</v>
      </c>
      <c r="O61" s="127" t="s">
        <v>879</v>
      </c>
      <c r="P61" s="127" t="s">
        <v>1200</v>
      </c>
      <c r="Q61" s="128">
        <v>10.4602</v>
      </c>
      <c r="R61" s="128">
        <v>10.355600000000003</v>
      </c>
      <c r="S61" s="128">
        <v>84340</v>
      </c>
      <c r="T61" s="127" t="s">
        <v>751</v>
      </c>
      <c r="U61" s="127" t="s">
        <v>902</v>
      </c>
      <c r="V61" s="129">
        <v>43189</v>
      </c>
      <c r="W61" s="128">
        <v>10.461000000000002</v>
      </c>
      <c r="X61" s="128">
        <v>10.460953750082302</v>
      </c>
      <c r="Y61" s="128">
        <v>-8.0000000000000004E-4</v>
      </c>
      <c r="Z61" s="128">
        <v>-7.6474524424051202E-3</v>
      </c>
      <c r="AA61" s="128">
        <v>-2.7913000000000001</v>
      </c>
      <c r="AB61" s="128">
        <v>-7.5667924961999992E-4</v>
      </c>
      <c r="AC61" s="128">
        <v>-7.2333676995182707E-3</v>
      </c>
      <c r="AD61" s="128">
        <v>-2.6401999999999997</v>
      </c>
      <c r="AE61" s="127" t="s">
        <v>1222</v>
      </c>
      <c r="AF61" s="127" t="s">
        <v>42</v>
      </c>
      <c r="AH61" s="127" t="s">
        <v>896</v>
      </c>
      <c r="AI61" s="127" t="s">
        <v>1238</v>
      </c>
      <c r="AL61" s="139">
        <f t="shared" si="0"/>
        <v>65.068894962000002</v>
      </c>
      <c r="AN61" s="127" t="b">
        <f t="shared" si="1"/>
        <v>1</v>
      </c>
    </row>
    <row r="62" spans="1:40" ht="15" hidden="1">
      <c r="A62" s="127" t="str">
        <f>+VLOOKUP(C62,'code mapping'!A:C,3,0)</f>
        <v>LIC35</v>
      </c>
      <c r="B62" s="127" t="s">
        <v>1239</v>
      </c>
      <c r="C62" s="127" t="s">
        <v>752</v>
      </c>
      <c r="D62" s="127" t="s">
        <v>885</v>
      </c>
      <c r="E62" s="128">
        <v>529681.46299999999</v>
      </c>
      <c r="F62" s="128">
        <v>9162719.2899999991</v>
      </c>
      <c r="G62" s="128">
        <v>17.298546258546299</v>
      </c>
      <c r="H62" s="128">
        <v>169420870.31999999</v>
      </c>
      <c r="I62" s="128">
        <v>17.298500000000001</v>
      </c>
      <c r="J62" s="129">
        <v>43190</v>
      </c>
      <c r="K62" s="127" t="s">
        <v>1240</v>
      </c>
      <c r="L62" s="127" t="s">
        <v>1241</v>
      </c>
      <c r="M62" s="127" t="s">
        <v>1242</v>
      </c>
      <c r="N62" s="127" t="s">
        <v>1243</v>
      </c>
      <c r="O62" s="127" t="s">
        <v>879</v>
      </c>
      <c r="P62" s="127" t="s">
        <v>1200</v>
      </c>
      <c r="Q62" s="128">
        <v>17.298500000000001</v>
      </c>
      <c r="R62" s="128">
        <v>17.298500000000001</v>
      </c>
      <c r="S62" s="128">
        <v>84355</v>
      </c>
      <c r="T62" s="127" t="s">
        <v>753</v>
      </c>
      <c r="U62" s="127" t="s">
        <v>889</v>
      </c>
      <c r="V62" s="129">
        <v>43189</v>
      </c>
      <c r="W62" s="128">
        <v>17.2987</v>
      </c>
      <c r="X62" s="128">
        <v>17.2986763556043</v>
      </c>
      <c r="Y62" s="128">
        <v>-2.0000000000000001E-4</v>
      </c>
      <c r="Z62" s="128">
        <v>-1.15615624295467E-3</v>
      </c>
      <c r="AA62" s="128">
        <v>-0.42200000000000004</v>
      </c>
      <c r="AB62" s="128">
        <v>-1.3009705797E-4</v>
      </c>
      <c r="AC62" s="128">
        <v>-7.5206365675401508E-4</v>
      </c>
      <c r="AD62" s="128">
        <v>-0.27450000000000002</v>
      </c>
      <c r="AE62" s="127" t="s">
        <v>753</v>
      </c>
      <c r="AF62" s="127" t="s">
        <v>11</v>
      </c>
      <c r="AH62" s="127" t="s">
        <v>882</v>
      </c>
      <c r="AI62" s="127" t="s">
        <v>1244</v>
      </c>
      <c r="AL62" s="139">
        <f t="shared" si="0"/>
        <v>16.942087032</v>
      </c>
      <c r="AN62" s="127" t="b">
        <f t="shared" si="1"/>
        <v>1</v>
      </c>
    </row>
    <row r="63" spans="1:40" ht="15" hidden="1">
      <c r="A63" s="127" t="str">
        <f>+VLOOKUP(C63,'code mapping'!A:C,3,0)</f>
        <v>LIC35</v>
      </c>
      <c r="B63" s="127" t="s">
        <v>1245</v>
      </c>
      <c r="C63" s="127" t="s">
        <v>752</v>
      </c>
      <c r="D63" s="127" t="s">
        <v>105</v>
      </c>
      <c r="E63" s="128">
        <v>9725712.1300000008</v>
      </c>
      <c r="F63" s="128">
        <v>160258151.03</v>
      </c>
      <c r="G63" s="128">
        <v>16.477780638362397</v>
      </c>
      <c r="H63" s="128">
        <v>169420870.31999999</v>
      </c>
      <c r="I63" s="128">
        <v>16.477800000000002</v>
      </c>
      <c r="J63" s="129">
        <v>43190</v>
      </c>
      <c r="K63" s="127" t="s">
        <v>1246</v>
      </c>
      <c r="L63" s="127" t="s">
        <v>1247</v>
      </c>
      <c r="M63" s="127" t="s">
        <v>1242</v>
      </c>
      <c r="N63" s="127" t="s">
        <v>1248</v>
      </c>
      <c r="O63" s="127" t="s">
        <v>879</v>
      </c>
      <c r="P63" s="127" t="s">
        <v>1200</v>
      </c>
      <c r="Q63" s="128">
        <v>16.477800000000002</v>
      </c>
      <c r="R63" s="128">
        <v>16.477800000000002</v>
      </c>
      <c r="S63" s="128">
        <v>84354</v>
      </c>
      <c r="T63" s="127" t="s">
        <v>753</v>
      </c>
      <c r="U63" s="127" t="s">
        <v>902</v>
      </c>
      <c r="V63" s="129">
        <v>43189</v>
      </c>
      <c r="W63" s="128">
        <v>16.478400000000001</v>
      </c>
      <c r="X63" s="128">
        <v>16.478362861023701</v>
      </c>
      <c r="Y63" s="128">
        <v>-6.0000000000000006E-4</v>
      </c>
      <c r="Z63" s="128">
        <v>-3.6411302068162007E-3</v>
      </c>
      <c r="AA63" s="128">
        <v>-1.329</v>
      </c>
      <c r="AB63" s="128">
        <v>-5.8222266135999994E-4</v>
      </c>
      <c r="AC63" s="128">
        <v>-3.53325549552699E-3</v>
      </c>
      <c r="AD63" s="128">
        <v>-1.2896000000000001</v>
      </c>
      <c r="AE63" s="127" t="s">
        <v>753</v>
      </c>
      <c r="AF63" s="127" t="s">
        <v>11</v>
      </c>
      <c r="AH63" s="127" t="s">
        <v>896</v>
      </c>
      <c r="AI63" s="127" t="s">
        <v>1249</v>
      </c>
      <c r="AL63" s="139">
        <f t="shared" si="0"/>
        <v>16.942087032</v>
      </c>
      <c r="AN63" s="127" t="b">
        <f t="shared" si="1"/>
        <v>1</v>
      </c>
    </row>
    <row r="64" spans="1:40" ht="15" hidden="1">
      <c r="A64" s="127" t="str">
        <f>+VLOOKUP(C64,'code mapping'!A:C,3,0)</f>
        <v>LIC17</v>
      </c>
      <c r="B64" s="127" t="s">
        <v>1250</v>
      </c>
      <c r="C64" s="127" t="s">
        <v>762</v>
      </c>
      <c r="D64" s="127" t="s">
        <v>874</v>
      </c>
      <c r="E64" s="128">
        <v>862894.70499999996</v>
      </c>
      <c r="F64" s="128">
        <v>14890889.91</v>
      </c>
      <c r="G64" s="128">
        <v>17.256902636805499</v>
      </c>
      <c r="H64" s="128">
        <v>3324924069.3899999</v>
      </c>
      <c r="I64" s="128">
        <v>17.256900000000002</v>
      </c>
      <c r="J64" s="129">
        <v>43190</v>
      </c>
      <c r="K64" s="127" t="s">
        <v>1251</v>
      </c>
      <c r="L64" s="127" t="s">
        <v>1252</v>
      </c>
      <c r="M64" s="127" t="s">
        <v>1253</v>
      </c>
      <c r="N64" s="127" t="s">
        <v>1254</v>
      </c>
      <c r="O64" s="127" t="s">
        <v>879</v>
      </c>
      <c r="P64" s="127" t="s">
        <v>1200</v>
      </c>
      <c r="Q64" s="128">
        <v>17.256900000000002</v>
      </c>
      <c r="R64" s="128">
        <v>17.084300000000002</v>
      </c>
      <c r="S64" s="128">
        <v>84333</v>
      </c>
      <c r="T64" s="127" t="s">
        <v>226</v>
      </c>
      <c r="U64" s="127" t="s">
        <v>881</v>
      </c>
      <c r="V64" s="129">
        <v>43189</v>
      </c>
      <c r="W64" s="128">
        <v>17.2578</v>
      </c>
      <c r="X64" s="128">
        <v>17.257783277277198</v>
      </c>
      <c r="Y64" s="128">
        <v>-9.0000000000000008E-4</v>
      </c>
      <c r="Z64" s="128">
        <v>-5.2150332023780614E-3</v>
      </c>
      <c r="AA64" s="128">
        <v>-1.9035000000000002</v>
      </c>
      <c r="AB64" s="128">
        <v>-8.806404716499999E-4</v>
      </c>
      <c r="AC64" s="128">
        <v>-5.1028597213265206E-3</v>
      </c>
      <c r="AD64" s="128">
        <v>-1.8625</v>
      </c>
      <c r="AE64" s="127" t="s">
        <v>226</v>
      </c>
      <c r="AF64" s="127" t="s">
        <v>5</v>
      </c>
      <c r="AH64" s="127" t="s">
        <v>882</v>
      </c>
      <c r="AI64" s="127" t="s">
        <v>1255</v>
      </c>
      <c r="AL64" s="139">
        <f t="shared" si="0"/>
        <v>332.49240693899998</v>
      </c>
      <c r="AN64" s="127" t="b">
        <f t="shared" si="1"/>
        <v>1</v>
      </c>
    </row>
    <row r="65" spans="1:40" ht="15" hidden="1">
      <c r="A65" s="127" t="str">
        <f>+VLOOKUP(C65,'code mapping'!A:C,3,0)</f>
        <v>LIC17</v>
      </c>
      <c r="B65" s="127" t="s">
        <v>1256</v>
      </c>
      <c r="C65" s="127" t="s">
        <v>762</v>
      </c>
      <c r="D65" s="127" t="s">
        <v>885</v>
      </c>
      <c r="E65" s="128">
        <v>17644189.886</v>
      </c>
      <c r="F65" s="128">
        <v>789554184.74000001</v>
      </c>
      <c r="G65" s="128">
        <v>44.748678734549401</v>
      </c>
      <c r="H65" s="128">
        <v>3324924069.3899999</v>
      </c>
      <c r="I65" s="128">
        <v>44.748699999999999</v>
      </c>
      <c r="J65" s="129">
        <v>43190</v>
      </c>
      <c r="K65" s="127" t="s">
        <v>1257</v>
      </c>
      <c r="L65" s="127" t="s">
        <v>1258</v>
      </c>
      <c r="M65" s="127" t="s">
        <v>1253</v>
      </c>
      <c r="N65" s="127" t="s">
        <v>1259</v>
      </c>
      <c r="O65" s="127" t="s">
        <v>879</v>
      </c>
      <c r="P65" s="127" t="s">
        <v>1200</v>
      </c>
      <c r="Q65" s="128">
        <v>44.748699999999999</v>
      </c>
      <c r="R65" s="128">
        <v>44.301200000000001</v>
      </c>
      <c r="S65" s="128">
        <v>84334</v>
      </c>
      <c r="T65" s="127" t="s">
        <v>226</v>
      </c>
      <c r="U65" s="127" t="s">
        <v>889</v>
      </c>
      <c r="V65" s="129">
        <v>43189</v>
      </c>
      <c r="W65" s="128">
        <v>44.750900000000001</v>
      </c>
      <c r="X65" s="128">
        <v>44.750944324540093</v>
      </c>
      <c r="Y65" s="128">
        <v>-2.2000000000000001E-3</v>
      </c>
      <c r="Z65" s="128">
        <v>-4.9161022459883498E-3</v>
      </c>
      <c r="AA65" s="128">
        <v>-1.7944</v>
      </c>
      <c r="AB65" s="128">
        <v>-2.2655899907200001E-3</v>
      </c>
      <c r="AC65" s="128">
        <v>-5.0626640955096398E-3</v>
      </c>
      <c r="AD65" s="128">
        <v>-1.8479000000000001</v>
      </c>
      <c r="AE65" s="127" t="s">
        <v>226</v>
      </c>
      <c r="AF65" s="127" t="s">
        <v>5</v>
      </c>
      <c r="AH65" s="127" t="s">
        <v>882</v>
      </c>
      <c r="AI65" s="127" t="s">
        <v>1260</v>
      </c>
      <c r="AL65" s="139">
        <f t="shared" si="0"/>
        <v>332.49240693899998</v>
      </c>
      <c r="AN65" s="127" t="b">
        <f t="shared" si="1"/>
        <v>1</v>
      </c>
    </row>
    <row r="66" spans="1:40" ht="15" hidden="1">
      <c r="A66" s="127" t="str">
        <f>+VLOOKUP(C66,'code mapping'!A:C,3,0)</f>
        <v>LIC17</v>
      </c>
      <c r="B66" s="127" t="s">
        <v>1261</v>
      </c>
      <c r="C66" s="127" t="s">
        <v>762</v>
      </c>
      <c r="D66" s="127" t="s">
        <v>103</v>
      </c>
      <c r="E66" s="128">
        <v>20222744.692000002</v>
      </c>
      <c r="F66" s="128">
        <v>286487718.88999999</v>
      </c>
      <c r="G66" s="128">
        <v>14.166609095516698</v>
      </c>
      <c r="H66" s="128">
        <v>3324924069.3899999</v>
      </c>
      <c r="I66" s="128">
        <v>14.166600000000001</v>
      </c>
      <c r="J66" s="129">
        <v>43190</v>
      </c>
      <c r="K66" s="127" t="s">
        <v>1262</v>
      </c>
      <c r="L66" s="127" t="s">
        <v>1263</v>
      </c>
      <c r="M66" s="127" t="s">
        <v>1253</v>
      </c>
      <c r="N66" s="127" t="s">
        <v>1264</v>
      </c>
      <c r="O66" s="127" t="s">
        <v>879</v>
      </c>
      <c r="P66" s="127" t="s">
        <v>1200</v>
      </c>
      <c r="Q66" s="128">
        <v>14.166600000000001</v>
      </c>
      <c r="R66" s="128">
        <v>14.024900000000001</v>
      </c>
      <c r="S66" s="128">
        <v>84331</v>
      </c>
      <c r="T66" s="127" t="s">
        <v>226</v>
      </c>
      <c r="U66" s="127" t="s">
        <v>895</v>
      </c>
      <c r="V66" s="129">
        <v>43189</v>
      </c>
      <c r="W66" s="128">
        <v>14.1677</v>
      </c>
      <c r="X66" s="128">
        <v>14.167661979797499</v>
      </c>
      <c r="Y66" s="128">
        <v>-1.1000000000000001E-3</v>
      </c>
      <c r="Z66" s="128">
        <v>-7.76413955687938E-3</v>
      </c>
      <c r="AA66" s="128">
        <v>-2.8339000000000003</v>
      </c>
      <c r="AB66" s="128">
        <v>-1.0528842807499999E-3</v>
      </c>
      <c r="AC66" s="128">
        <v>-7.4316022096755996E-3</v>
      </c>
      <c r="AD66" s="128">
        <v>-2.7124999999999999</v>
      </c>
      <c r="AE66" s="127" t="s">
        <v>226</v>
      </c>
      <c r="AF66" s="127" t="s">
        <v>5</v>
      </c>
      <c r="AH66" s="127" t="s">
        <v>896</v>
      </c>
      <c r="AI66" s="127" t="s">
        <v>1265</v>
      </c>
      <c r="AL66" s="139">
        <f t="shared" si="0"/>
        <v>332.49240693899998</v>
      </c>
      <c r="AN66" s="127" t="b">
        <f t="shared" si="1"/>
        <v>1</v>
      </c>
    </row>
    <row r="67" spans="1:40" ht="15" hidden="1">
      <c r="A67" s="127" t="str">
        <f>+VLOOKUP(C67,'code mapping'!A:C,3,0)</f>
        <v>LIC17</v>
      </c>
      <c r="B67" s="127" t="s">
        <v>1266</v>
      </c>
      <c r="C67" s="127" t="s">
        <v>762</v>
      </c>
      <c r="D67" s="127" t="s">
        <v>105</v>
      </c>
      <c r="E67" s="128">
        <v>51609649.314000003</v>
      </c>
      <c r="F67" s="128">
        <v>2233991275.8499999</v>
      </c>
      <c r="G67" s="128">
        <v>43.286309935145994</v>
      </c>
      <c r="H67" s="128">
        <v>3324924069.3899999</v>
      </c>
      <c r="I67" s="128">
        <v>43.286300000000004</v>
      </c>
      <c r="J67" s="129">
        <v>43190</v>
      </c>
      <c r="K67" s="127" t="s">
        <v>1267</v>
      </c>
      <c r="L67" s="127" t="s">
        <v>1268</v>
      </c>
      <c r="M67" s="127" t="s">
        <v>1253</v>
      </c>
      <c r="N67" s="127" t="s">
        <v>1269</v>
      </c>
      <c r="O67" s="127" t="s">
        <v>879</v>
      </c>
      <c r="P67" s="127" t="s">
        <v>1200</v>
      </c>
      <c r="Q67" s="128">
        <v>43.286300000000004</v>
      </c>
      <c r="R67" s="128">
        <v>42.853400000000001</v>
      </c>
      <c r="S67" s="128">
        <v>84332</v>
      </c>
      <c r="T67" s="127" t="s">
        <v>226</v>
      </c>
      <c r="U67" s="127" t="s">
        <v>902</v>
      </c>
      <c r="V67" s="129">
        <v>43189</v>
      </c>
      <c r="W67" s="128">
        <v>43.289500000000004</v>
      </c>
      <c r="X67" s="128">
        <v>43.289527040517008</v>
      </c>
      <c r="Y67" s="128">
        <v>-3.2000000000000002E-3</v>
      </c>
      <c r="Z67" s="128">
        <v>-7.3920927707642704E-3</v>
      </c>
      <c r="AA67" s="128">
        <v>-2.6981000000000002</v>
      </c>
      <c r="AB67" s="128">
        <v>-3.2171053709300003E-3</v>
      </c>
      <c r="AC67" s="128">
        <v>-7.4316020314080609E-3</v>
      </c>
      <c r="AD67" s="128">
        <v>-2.7124999999999999</v>
      </c>
      <c r="AE67" s="127" t="s">
        <v>226</v>
      </c>
      <c r="AF67" s="127" t="s">
        <v>5</v>
      </c>
      <c r="AH67" s="127" t="s">
        <v>896</v>
      </c>
      <c r="AI67" s="127" t="s">
        <v>1270</v>
      </c>
      <c r="AL67" s="139">
        <f t="shared" si="0"/>
        <v>332.49240693899998</v>
      </c>
      <c r="AN67" s="127" t="b">
        <f t="shared" si="1"/>
        <v>1</v>
      </c>
    </row>
    <row r="68" spans="1:40" ht="15" hidden="1">
      <c r="A68" s="127" t="str">
        <f>+VLOOKUP(C68,'code mapping'!A:C,3,0)</f>
        <v>LIC19</v>
      </c>
      <c r="B68" s="127" t="s">
        <v>1271</v>
      </c>
      <c r="C68" s="127" t="s">
        <v>763</v>
      </c>
      <c r="D68" s="127" t="s">
        <v>874</v>
      </c>
      <c r="E68" s="128">
        <v>334339.19400000002</v>
      </c>
      <c r="F68" s="128">
        <v>6184922.0899999999</v>
      </c>
      <c r="G68" s="128">
        <v>18.498944188996301</v>
      </c>
      <c r="H68" s="128">
        <v>2396541482.46</v>
      </c>
      <c r="I68" s="128">
        <v>18.498900000000003</v>
      </c>
      <c r="J68" s="129">
        <v>43190</v>
      </c>
      <c r="K68" s="127" t="s">
        <v>1272</v>
      </c>
      <c r="L68" s="127" t="s">
        <v>1273</v>
      </c>
      <c r="M68" s="127" t="s">
        <v>1274</v>
      </c>
      <c r="N68" s="127" t="s">
        <v>1275</v>
      </c>
      <c r="O68" s="127" t="s">
        <v>879</v>
      </c>
      <c r="P68" s="127" t="s">
        <v>1200</v>
      </c>
      <c r="Q68" s="128">
        <v>18.498900000000003</v>
      </c>
      <c r="R68" s="128">
        <v>18.3139</v>
      </c>
      <c r="S68" s="128">
        <v>84352</v>
      </c>
      <c r="T68" s="127" t="s">
        <v>227</v>
      </c>
      <c r="U68" s="127" t="s">
        <v>881</v>
      </c>
      <c r="V68" s="129">
        <v>43189</v>
      </c>
      <c r="W68" s="128">
        <v>18.4998</v>
      </c>
      <c r="X68" s="128">
        <v>18.4998175236374</v>
      </c>
      <c r="Y68" s="128">
        <v>-9.0000000000000008E-4</v>
      </c>
      <c r="Z68" s="128">
        <v>-4.8649174585671199E-3</v>
      </c>
      <c r="AA68" s="128">
        <v>-1.7756999999999998</v>
      </c>
      <c r="AB68" s="128">
        <v>-8.7333464110999996E-4</v>
      </c>
      <c r="AC68" s="128">
        <v>-4.7207743535531204E-3</v>
      </c>
      <c r="AD68" s="128">
        <v>-1.7231000000000001</v>
      </c>
      <c r="AE68" s="127" t="s">
        <v>227</v>
      </c>
      <c r="AF68" s="127" t="s">
        <v>6</v>
      </c>
      <c r="AH68" s="127" t="s">
        <v>882</v>
      </c>
      <c r="AI68" s="127" t="s">
        <v>1276</v>
      </c>
      <c r="AL68" s="139">
        <f t="shared" ref="AL68:AL109" si="2">+H68/10000000</f>
        <v>239.65414824600001</v>
      </c>
      <c r="AN68" s="127" t="b">
        <f t="shared" ref="AN68:AN109" si="3">+AF68=A68</f>
        <v>1</v>
      </c>
    </row>
    <row r="69" spans="1:40" ht="15" hidden="1">
      <c r="A69" s="127" t="str">
        <f>+VLOOKUP(C69,'code mapping'!A:C,3,0)</f>
        <v>LIC19</v>
      </c>
      <c r="B69" s="127" t="s">
        <v>1277</v>
      </c>
      <c r="C69" s="127" t="s">
        <v>763</v>
      </c>
      <c r="D69" s="127" t="s">
        <v>885</v>
      </c>
      <c r="E69" s="128">
        <v>24643812.776999999</v>
      </c>
      <c r="F69" s="128">
        <v>616937304.94000006</v>
      </c>
      <c r="G69" s="128">
        <v>25.034166203201597</v>
      </c>
      <c r="H69" s="128">
        <v>2396541482.46</v>
      </c>
      <c r="I69" s="128">
        <v>25.034200000000002</v>
      </c>
      <c r="J69" s="129">
        <v>43190</v>
      </c>
      <c r="K69" s="127" t="s">
        <v>1278</v>
      </c>
      <c r="L69" s="127" t="s">
        <v>1279</v>
      </c>
      <c r="M69" s="127" t="s">
        <v>1274</v>
      </c>
      <c r="N69" s="127" t="s">
        <v>1280</v>
      </c>
      <c r="O69" s="127" t="s">
        <v>879</v>
      </c>
      <c r="P69" s="127" t="s">
        <v>1200</v>
      </c>
      <c r="Q69" s="128">
        <v>25.034200000000002</v>
      </c>
      <c r="R69" s="128">
        <v>24.783900000000003</v>
      </c>
      <c r="S69" s="128">
        <v>84353</v>
      </c>
      <c r="T69" s="127" t="s">
        <v>227</v>
      </c>
      <c r="U69" s="127" t="s">
        <v>889</v>
      </c>
      <c r="V69" s="129">
        <v>43189</v>
      </c>
      <c r="W69" s="128">
        <v>25.035299999999996</v>
      </c>
      <c r="X69" s="128">
        <v>25.035334614934801</v>
      </c>
      <c r="Y69" s="128">
        <v>-1.1000000000000001E-3</v>
      </c>
      <c r="Z69" s="128">
        <v>-4.3937959601043309E-3</v>
      </c>
      <c r="AA69" s="128">
        <v>-1.6037000000000001</v>
      </c>
      <c r="AB69" s="128">
        <v>-1.16841173323E-3</v>
      </c>
      <c r="AC69" s="128">
        <v>-4.66705059549308E-3</v>
      </c>
      <c r="AD69" s="128">
        <v>-1.7035</v>
      </c>
      <c r="AE69" s="127" t="s">
        <v>227</v>
      </c>
      <c r="AF69" s="127" t="s">
        <v>6</v>
      </c>
      <c r="AH69" s="127" t="s">
        <v>882</v>
      </c>
      <c r="AI69" s="127" t="s">
        <v>1281</v>
      </c>
      <c r="AL69" s="139">
        <f t="shared" si="2"/>
        <v>239.65414824600001</v>
      </c>
      <c r="AN69" s="127" t="b">
        <f t="shared" si="3"/>
        <v>1</v>
      </c>
    </row>
    <row r="70" spans="1:40" ht="15" hidden="1">
      <c r="A70" s="127" t="str">
        <f>+VLOOKUP(C70,'code mapping'!A:C,3,0)</f>
        <v>LIC19</v>
      </c>
      <c r="B70" s="127" t="s">
        <v>1282</v>
      </c>
      <c r="C70" s="127" t="s">
        <v>763</v>
      </c>
      <c r="D70" s="127" t="s">
        <v>103</v>
      </c>
      <c r="E70" s="128">
        <v>6051960.2710000006</v>
      </c>
      <c r="F70" s="128">
        <v>99027092.840000004</v>
      </c>
      <c r="G70" s="128">
        <v>16.362812775642599</v>
      </c>
      <c r="H70" s="128">
        <v>2396541482.46</v>
      </c>
      <c r="I70" s="128">
        <v>16.3628</v>
      </c>
      <c r="J70" s="129">
        <v>43190</v>
      </c>
      <c r="K70" s="127" t="s">
        <v>1283</v>
      </c>
      <c r="L70" s="127" t="s">
        <v>1284</v>
      </c>
      <c r="M70" s="127" t="s">
        <v>1274</v>
      </c>
      <c r="N70" s="127" t="s">
        <v>1285</v>
      </c>
      <c r="O70" s="127" t="s">
        <v>879</v>
      </c>
      <c r="P70" s="127" t="s">
        <v>1200</v>
      </c>
      <c r="Q70" s="128">
        <v>16.3628</v>
      </c>
      <c r="R70" s="128">
        <v>16.199200000000001</v>
      </c>
      <c r="S70" s="128">
        <v>84350</v>
      </c>
      <c r="T70" s="127" t="s">
        <v>227</v>
      </c>
      <c r="U70" s="127" t="s">
        <v>895</v>
      </c>
      <c r="V70" s="129">
        <v>43189</v>
      </c>
      <c r="W70" s="128">
        <v>16.364000000000001</v>
      </c>
      <c r="X70" s="128">
        <v>16.364006730935799</v>
      </c>
      <c r="Y70" s="128">
        <v>-1.2000000000000001E-3</v>
      </c>
      <c r="Z70" s="128">
        <v>-7.33317037399169E-3</v>
      </c>
      <c r="AA70" s="128">
        <v>-2.6766000000000001</v>
      </c>
      <c r="AB70" s="128">
        <v>-1.19395529323E-3</v>
      </c>
      <c r="AC70" s="128">
        <v>-7.296228319026871E-3</v>
      </c>
      <c r="AD70" s="128">
        <v>-2.6631</v>
      </c>
      <c r="AE70" s="127" t="s">
        <v>227</v>
      </c>
      <c r="AF70" s="127" t="s">
        <v>6</v>
      </c>
      <c r="AH70" s="127" t="s">
        <v>896</v>
      </c>
      <c r="AI70" s="127" t="s">
        <v>1286</v>
      </c>
      <c r="AL70" s="139">
        <f t="shared" si="2"/>
        <v>239.65414824600001</v>
      </c>
      <c r="AN70" s="127" t="b">
        <f t="shared" si="3"/>
        <v>1</v>
      </c>
    </row>
    <row r="71" spans="1:40" ht="15" hidden="1">
      <c r="A71" s="127" t="str">
        <f>+VLOOKUP(C71,'code mapping'!A:C,3,0)</f>
        <v>LIC19</v>
      </c>
      <c r="B71" s="127" t="s">
        <v>1287</v>
      </c>
      <c r="C71" s="127" t="s">
        <v>763</v>
      </c>
      <c r="D71" s="127" t="s">
        <v>105</v>
      </c>
      <c r="E71" s="128">
        <v>69944512.197999999</v>
      </c>
      <c r="F71" s="128">
        <v>1674392162.5899999</v>
      </c>
      <c r="G71" s="128">
        <v>23.938863964768299</v>
      </c>
      <c r="H71" s="128">
        <v>2396541482.46</v>
      </c>
      <c r="I71" s="128">
        <v>23.9389</v>
      </c>
      <c r="J71" s="129">
        <v>43190</v>
      </c>
      <c r="K71" s="127" t="s">
        <v>1288</v>
      </c>
      <c r="L71" s="127" t="s">
        <v>1289</v>
      </c>
      <c r="M71" s="127" t="s">
        <v>1274</v>
      </c>
      <c r="N71" s="127" t="s">
        <v>1290</v>
      </c>
      <c r="O71" s="127" t="s">
        <v>879</v>
      </c>
      <c r="P71" s="127" t="s">
        <v>1200</v>
      </c>
      <c r="Q71" s="128">
        <v>23.9389</v>
      </c>
      <c r="R71" s="128">
        <v>23.699499999999997</v>
      </c>
      <c r="S71" s="128">
        <v>84351</v>
      </c>
      <c r="T71" s="127" t="s">
        <v>227</v>
      </c>
      <c r="U71" s="127" t="s">
        <v>902</v>
      </c>
      <c r="V71" s="129">
        <v>43189</v>
      </c>
      <c r="W71" s="128">
        <v>23.9406</v>
      </c>
      <c r="X71" s="128">
        <v>23.940610725967499</v>
      </c>
      <c r="Y71" s="128">
        <v>-1.7000000000000001E-3</v>
      </c>
      <c r="Z71" s="128">
        <v>-7.1009080808334003E-3</v>
      </c>
      <c r="AA71" s="128">
        <v>-2.5918000000000001</v>
      </c>
      <c r="AB71" s="128">
        <v>-1.7467611991399999E-3</v>
      </c>
      <c r="AC71" s="128">
        <v>-7.2962265630314802E-3</v>
      </c>
      <c r="AD71" s="128">
        <v>-2.6631</v>
      </c>
      <c r="AE71" s="127" t="s">
        <v>227</v>
      </c>
      <c r="AF71" s="127" t="s">
        <v>6</v>
      </c>
      <c r="AH71" s="127" t="s">
        <v>896</v>
      </c>
      <c r="AI71" s="127" t="s">
        <v>1291</v>
      </c>
      <c r="AL71" s="139">
        <f t="shared" si="2"/>
        <v>239.65414824600001</v>
      </c>
      <c r="AN71" s="127" t="b">
        <f t="shared" si="3"/>
        <v>1</v>
      </c>
    </row>
    <row r="72" spans="1:40" ht="15" hidden="1">
      <c r="A72" s="127" t="str">
        <f>+VLOOKUP(C72,'code mapping'!A:C,3,0)</f>
        <v>LIC86</v>
      </c>
      <c r="B72" s="127" t="s">
        <v>1292</v>
      </c>
      <c r="C72" s="127" t="s">
        <v>764</v>
      </c>
      <c r="D72" s="127" t="s">
        <v>874</v>
      </c>
      <c r="E72" s="128">
        <v>89254.975000000006</v>
      </c>
      <c r="F72" s="128">
        <v>1337919.03</v>
      </c>
      <c r="G72" s="128">
        <v>14.989853842881001</v>
      </c>
      <c r="H72" s="128">
        <v>689082680.63</v>
      </c>
      <c r="I72" s="128">
        <v>14.9899</v>
      </c>
      <c r="J72" s="129">
        <v>43190</v>
      </c>
      <c r="K72" s="127" t="s">
        <v>1293</v>
      </c>
      <c r="L72" s="127" t="s">
        <v>1294</v>
      </c>
      <c r="M72" s="127" t="s">
        <v>1295</v>
      </c>
      <c r="N72" s="127" t="s">
        <v>1296</v>
      </c>
      <c r="O72" s="127" t="s">
        <v>879</v>
      </c>
      <c r="P72" s="127" t="s">
        <v>1200</v>
      </c>
      <c r="Q72" s="128">
        <v>14.9899</v>
      </c>
      <c r="R72" s="128">
        <v>14.84</v>
      </c>
      <c r="S72" s="128">
        <v>84366</v>
      </c>
      <c r="T72" s="127" t="s">
        <v>765</v>
      </c>
      <c r="U72" s="127" t="s">
        <v>881</v>
      </c>
      <c r="V72" s="129">
        <v>43189</v>
      </c>
      <c r="W72" s="128">
        <v>14.990400000000001</v>
      </c>
      <c r="X72" s="128">
        <v>14.990443725965999</v>
      </c>
      <c r="Y72" s="128">
        <v>-5.0000000000000001E-4</v>
      </c>
      <c r="Z72" s="128">
        <v>-3.3354680328743702E-3</v>
      </c>
      <c r="AA72" s="128">
        <v>-1.2174</v>
      </c>
      <c r="AB72" s="128">
        <v>-5.8988308494999997E-4</v>
      </c>
      <c r="AC72" s="128">
        <v>-3.9350608676661306E-3</v>
      </c>
      <c r="AD72" s="128">
        <v>-1.4363000000000001</v>
      </c>
      <c r="AE72" s="127" t="s">
        <v>765</v>
      </c>
      <c r="AF72" s="127" t="s">
        <v>17</v>
      </c>
      <c r="AH72" s="127" t="s">
        <v>882</v>
      </c>
      <c r="AI72" s="127" t="s">
        <v>1297</v>
      </c>
      <c r="AL72" s="139">
        <f t="shared" si="2"/>
        <v>68.908268062999994</v>
      </c>
      <c r="AN72" s="127" t="b">
        <f t="shared" si="3"/>
        <v>1</v>
      </c>
    </row>
    <row r="73" spans="1:40" ht="15" hidden="1">
      <c r="A73" s="127" t="str">
        <f>+VLOOKUP(C73,'code mapping'!A:C,3,0)</f>
        <v>LIC86</v>
      </c>
      <c r="B73" s="127" t="s">
        <v>1298</v>
      </c>
      <c r="C73" s="127" t="s">
        <v>764</v>
      </c>
      <c r="D73" s="127" t="s">
        <v>885</v>
      </c>
      <c r="E73" s="128">
        <v>7958515.6889999993</v>
      </c>
      <c r="F73" s="128">
        <v>120038052.17</v>
      </c>
      <c r="G73" s="128">
        <v>15.082969847745897</v>
      </c>
      <c r="H73" s="128">
        <v>689082680.63</v>
      </c>
      <c r="I73" s="128">
        <v>15.083</v>
      </c>
      <c r="J73" s="129">
        <v>43190</v>
      </c>
      <c r="K73" s="127" t="s">
        <v>1299</v>
      </c>
      <c r="L73" s="127" t="s">
        <v>1300</v>
      </c>
      <c r="M73" s="127" t="s">
        <v>1295</v>
      </c>
      <c r="N73" s="127" t="s">
        <v>1301</v>
      </c>
      <c r="O73" s="127" t="s">
        <v>879</v>
      </c>
      <c r="P73" s="127" t="s">
        <v>1200</v>
      </c>
      <c r="Q73" s="128">
        <v>15.083</v>
      </c>
      <c r="R73" s="128">
        <v>14.9322</v>
      </c>
      <c r="S73" s="128">
        <v>84367</v>
      </c>
      <c r="T73" s="127" t="s">
        <v>765</v>
      </c>
      <c r="U73" s="127" t="s">
        <v>889</v>
      </c>
      <c r="V73" s="129">
        <v>43189</v>
      </c>
      <c r="W73" s="128">
        <v>15.083500000000001</v>
      </c>
      <c r="X73" s="128">
        <v>15.083527809830001</v>
      </c>
      <c r="Y73" s="128">
        <v>-5.0000000000000001E-4</v>
      </c>
      <c r="Z73" s="128">
        <v>-3.31488049855803E-3</v>
      </c>
      <c r="AA73" s="128">
        <v>-1.2099</v>
      </c>
      <c r="AB73" s="128">
        <v>-5.5796208407999997E-4</v>
      </c>
      <c r="AC73" s="128">
        <v>-3.6991484426897301E-3</v>
      </c>
      <c r="AD73" s="128">
        <v>-1.3502000000000001</v>
      </c>
      <c r="AE73" s="127" t="s">
        <v>765</v>
      </c>
      <c r="AF73" s="127" t="s">
        <v>17</v>
      </c>
      <c r="AH73" s="127" t="s">
        <v>882</v>
      </c>
      <c r="AI73" s="127" t="s">
        <v>1302</v>
      </c>
      <c r="AL73" s="139">
        <f t="shared" si="2"/>
        <v>68.908268062999994</v>
      </c>
      <c r="AN73" s="127" t="b">
        <f t="shared" si="3"/>
        <v>1</v>
      </c>
    </row>
    <row r="74" spans="1:40" ht="15" hidden="1">
      <c r="A74" s="127" t="str">
        <f>+VLOOKUP(C74,'code mapping'!A:C,3,0)</f>
        <v>LIC86</v>
      </c>
      <c r="B74" s="127" t="s">
        <v>1303</v>
      </c>
      <c r="C74" s="127" t="s">
        <v>764</v>
      </c>
      <c r="D74" s="127" t="s">
        <v>103</v>
      </c>
      <c r="E74" s="128">
        <v>3298622.0819999999</v>
      </c>
      <c r="F74" s="128">
        <v>47317305.210000001</v>
      </c>
      <c r="G74" s="128">
        <v>14.344566923322997</v>
      </c>
      <c r="H74" s="128">
        <v>689082680.63</v>
      </c>
      <c r="I74" s="128">
        <v>14.344600000000003</v>
      </c>
      <c r="J74" s="129">
        <v>43190</v>
      </c>
      <c r="K74" s="127" t="s">
        <v>1304</v>
      </c>
      <c r="L74" s="127" t="s">
        <v>1305</v>
      </c>
      <c r="M74" s="127" t="s">
        <v>1295</v>
      </c>
      <c r="N74" s="127" t="s">
        <v>1306</v>
      </c>
      <c r="O74" s="127" t="s">
        <v>879</v>
      </c>
      <c r="P74" s="127" t="s">
        <v>1200</v>
      </c>
      <c r="Q74" s="128">
        <v>14.344600000000003</v>
      </c>
      <c r="R74" s="128">
        <v>14.201199999999998</v>
      </c>
      <c r="S74" s="128">
        <v>84364</v>
      </c>
      <c r="T74" s="127" t="s">
        <v>765</v>
      </c>
      <c r="U74" s="127" t="s">
        <v>895</v>
      </c>
      <c r="V74" s="129">
        <v>43189</v>
      </c>
      <c r="W74" s="128">
        <v>14.345600000000001</v>
      </c>
      <c r="X74" s="128">
        <v>14.345610986545301</v>
      </c>
      <c r="Y74" s="128">
        <v>-1E-3</v>
      </c>
      <c r="Z74" s="128">
        <v>-6.9707784965424898E-3</v>
      </c>
      <c r="AA74" s="128">
        <v>-2.5443000000000002</v>
      </c>
      <c r="AB74" s="128">
        <v>-1.04406322227E-3</v>
      </c>
      <c r="AC74" s="128">
        <v>-7.2779278850460009E-3</v>
      </c>
      <c r="AD74" s="128">
        <v>-2.6563999999999997</v>
      </c>
      <c r="AE74" s="127" t="s">
        <v>765</v>
      </c>
      <c r="AF74" s="127" t="s">
        <v>17</v>
      </c>
      <c r="AH74" s="127" t="s">
        <v>896</v>
      </c>
      <c r="AI74" s="127" t="s">
        <v>1307</v>
      </c>
      <c r="AL74" s="139">
        <f t="shared" si="2"/>
        <v>68.908268062999994</v>
      </c>
      <c r="AN74" s="127" t="b">
        <f t="shared" si="3"/>
        <v>1</v>
      </c>
    </row>
    <row r="75" spans="1:40" ht="15" hidden="1">
      <c r="A75" s="127" t="str">
        <f>+VLOOKUP(C75,'code mapping'!A:C,3,0)</f>
        <v>LIC86</v>
      </c>
      <c r="B75" s="127" t="s">
        <v>1308</v>
      </c>
      <c r="C75" s="127" t="s">
        <v>764</v>
      </c>
      <c r="D75" s="127" t="s">
        <v>105</v>
      </c>
      <c r="E75" s="128">
        <v>36280376.103</v>
      </c>
      <c r="F75" s="128">
        <v>520389404.22000003</v>
      </c>
      <c r="G75" s="128">
        <v>14.343550429097398</v>
      </c>
      <c r="H75" s="128">
        <v>689082680.63</v>
      </c>
      <c r="I75" s="128">
        <v>14.343600000000002</v>
      </c>
      <c r="J75" s="129">
        <v>43190</v>
      </c>
      <c r="K75" s="127" t="s">
        <v>1309</v>
      </c>
      <c r="L75" s="127" t="s">
        <v>1310</v>
      </c>
      <c r="M75" s="127" t="s">
        <v>1295</v>
      </c>
      <c r="N75" s="127" t="s">
        <v>1311</v>
      </c>
      <c r="O75" s="127" t="s">
        <v>879</v>
      </c>
      <c r="P75" s="127" t="s">
        <v>1200</v>
      </c>
      <c r="Q75" s="128">
        <v>14.343600000000002</v>
      </c>
      <c r="R75" s="128">
        <v>14.200200000000001</v>
      </c>
      <c r="S75" s="128">
        <v>84365</v>
      </c>
      <c r="T75" s="127" t="s">
        <v>765</v>
      </c>
      <c r="U75" s="127" t="s">
        <v>902</v>
      </c>
      <c r="V75" s="129">
        <v>43189</v>
      </c>
      <c r="W75" s="128">
        <v>14.344600000000003</v>
      </c>
      <c r="X75" s="128">
        <v>14.344594422684798</v>
      </c>
      <c r="Y75" s="128">
        <v>-1E-3</v>
      </c>
      <c r="Z75" s="128">
        <v>-6.97126444794557E-3</v>
      </c>
      <c r="AA75" s="128">
        <v>-2.5445000000000002</v>
      </c>
      <c r="AB75" s="128">
        <v>-1.0439935874E-3</v>
      </c>
      <c r="AC75" s="128">
        <v>-7.2779582094632898E-3</v>
      </c>
      <c r="AD75" s="128">
        <v>-2.6565000000000003</v>
      </c>
      <c r="AE75" s="127" t="s">
        <v>765</v>
      </c>
      <c r="AF75" s="127" t="s">
        <v>17</v>
      </c>
      <c r="AH75" s="127" t="s">
        <v>896</v>
      </c>
      <c r="AI75" s="127" t="s">
        <v>1312</v>
      </c>
      <c r="AL75" s="139">
        <f t="shared" si="2"/>
        <v>68.908268062999994</v>
      </c>
      <c r="AN75" s="127" t="b">
        <f t="shared" si="3"/>
        <v>1</v>
      </c>
    </row>
    <row r="76" spans="1:40" ht="15" hidden="1">
      <c r="A76" s="127" t="str">
        <f>+VLOOKUP(C76,'code mapping'!A:C,3,0)</f>
        <v>LIC38</v>
      </c>
      <c r="B76" s="127" t="s">
        <v>1313</v>
      </c>
      <c r="C76" s="127" t="s">
        <v>766</v>
      </c>
      <c r="D76" s="127" t="s">
        <v>874</v>
      </c>
      <c r="E76" s="128">
        <v>27297.804</v>
      </c>
      <c r="F76" s="128">
        <v>573912.03</v>
      </c>
      <c r="G76" s="128">
        <v>21.024109851473799</v>
      </c>
      <c r="H76" s="128">
        <v>209675746.86000001</v>
      </c>
      <c r="I76" s="128">
        <v>21.024099999999997</v>
      </c>
      <c r="J76" s="129">
        <v>43190</v>
      </c>
      <c r="K76" s="127" t="s">
        <v>1314</v>
      </c>
      <c r="L76" s="127" t="s">
        <v>1315</v>
      </c>
      <c r="M76" s="127" t="s">
        <v>1316</v>
      </c>
      <c r="N76" s="127" t="s">
        <v>1317</v>
      </c>
      <c r="O76" s="127" t="s">
        <v>879</v>
      </c>
      <c r="P76" s="127" t="s">
        <v>1200</v>
      </c>
      <c r="Q76" s="128">
        <v>21.024099999999997</v>
      </c>
      <c r="R76" s="128">
        <v>20.8139</v>
      </c>
      <c r="S76" s="128">
        <v>84362</v>
      </c>
      <c r="T76" s="127" t="s">
        <v>767</v>
      </c>
      <c r="U76" s="127" t="s">
        <v>881</v>
      </c>
      <c r="V76" s="129">
        <v>43189</v>
      </c>
      <c r="W76" s="128">
        <v>21.0245</v>
      </c>
      <c r="X76" s="128">
        <v>21.024484606893697</v>
      </c>
      <c r="Y76" s="128">
        <v>-4.0000000000000002E-4</v>
      </c>
      <c r="Z76" s="128">
        <v>-1.9025422721111102E-3</v>
      </c>
      <c r="AA76" s="128">
        <v>-0.69440000000000002</v>
      </c>
      <c r="AB76" s="128">
        <v>-3.7475541987999996E-4</v>
      </c>
      <c r="AC76" s="128">
        <v>-1.78247137509912E-3</v>
      </c>
      <c r="AD76" s="128">
        <v>-0.65060000000000007</v>
      </c>
      <c r="AE76" s="127" t="s">
        <v>767</v>
      </c>
      <c r="AF76" s="127" t="s">
        <v>14</v>
      </c>
      <c r="AH76" s="127" t="s">
        <v>882</v>
      </c>
      <c r="AI76" s="127" t="s">
        <v>1318</v>
      </c>
      <c r="AL76" s="139">
        <f t="shared" si="2"/>
        <v>20.967574686000003</v>
      </c>
      <c r="AN76" s="127" t="b">
        <f t="shared" si="3"/>
        <v>1</v>
      </c>
    </row>
    <row r="77" spans="1:40" ht="15" hidden="1">
      <c r="A77" s="127" t="str">
        <f>+VLOOKUP(C77,'code mapping'!A:C,3,0)</f>
        <v>LIC38</v>
      </c>
      <c r="B77" s="127" t="s">
        <v>1319</v>
      </c>
      <c r="C77" s="127" t="s">
        <v>766</v>
      </c>
      <c r="D77" s="127" t="s">
        <v>885</v>
      </c>
      <c r="E77" s="128">
        <v>1912820.8529999999</v>
      </c>
      <c r="F77" s="128">
        <v>109162485.64</v>
      </c>
      <c r="G77" s="128">
        <v>57.068849635758298</v>
      </c>
      <c r="H77" s="128">
        <v>209675746.86000001</v>
      </c>
      <c r="I77" s="128">
        <v>57.068800000000003</v>
      </c>
      <c r="J77" s="129">
        <v>43190</v>
      </c>
      <c r="K77" s="127" t="s">
        <v>1320</v>
      </c>
      <c r="L77" s="127" t="s">
        <v>1321</v>
      </c>
      <c r="M77" s="127" t="s">
        <v>1316</v>
      </c>
      <c r="N77" s="127" t="s">
        <v>1322</v>
      </c>
      <c r="O77" s="127" t="s">
        <v>879</v>
      </c>
      <c r="P77" s="127" t="s">
        <v>1200</v>
      </c>
      <c r="Q77" s="128">
        <v>57.068800000000003</v>
      </c>
      <c r="R77" s="128">
        <v>56.498100000000001</v>
      </c>
      <c r="S77" s="128">
        <v>84363</v>
      </c>
      <c r="T77" s="127" t="s">
        <v>767</v>
      </c>
      <c r="U77" s="127" t="s">
        <v>889</v>
      </c>
      <c r="V77" s="129">
        <v>43189</v>
      </c>
      <c r="W77" s="128">
        <v>57.069900000000004</v>
      </c>
      <c r="X77" s="128">
        <v>57.069856201531096</v>
      </c>
      <c r="Y77" s="128">
        <v>-1.1000000000000001E-3</v>
      </c>
      <c r="Z77" s="128">
        <v>-1.9274608856858001E-3</v>
      </c>
      <c r="AA77" s="128">
        <v>-0.7034999999999999</v>
      </c>
      <c r="AB77" s="128">
        <v>-1.0065657727299998E-3</v>
      </c>
      <c r="AC77" s="128">
        <v>-1.7637433134148901E-3</v>
      </c>
      <c r="AD77" s="128">
        <v>-0.64380000000000015</v>
      </c>
      <c r="AE77" s="127" t="s">
        <v>767</v>
      </c>
      <c r="AF77" s="127" t="s">
        <v>14</v>
      </c>
      <c r="AH77" s="127" t="s">
        <v>882</v>
      </c>
      <c r="AI77" s="127" t="s">
        <v>1323</v>
      </c>
      <c r="AL77" s="139">
        <f t="shared" si="2"/>
        <v>20.967574686000003</v>
      </c>
      <c r="AN77" s="127" t="b">
        <f t="shared" si="3"/>
        <v>1</v>
      </c>
    </row>
    <row r="78" spans="1:40" ht="15" hidden="1">
      <c r="A78" s="127" t="str">
        <f>+VLOOKUP(C78,'code mapping'!A:C,3,0)</f>
        <v>LIC38</v>
      </c>
      <c r="B78" s="127" t="s">
        <v>1324</v>
      </c>
      <c r="C78" s="127" t="s">
        <v>766</v>
      </c>
      <c r="D78" s="127" t="s">
        <v>103</v>
      </c>
      <c r="E78" s="128">
        <v>927103.13699999999</v>
      </c>
      <c r="F78" s="128">
        <v>19000003.260000002</v>
      </c>
      <c r="G78" s="128">
        <v>20.493947762362094</v>
      </c>
      <c r="H78" s="128">
        <v>209675746.86000001</v>
      </c>
      <c r="I78" s="128">
        <v>20.4939</v>
      </c>
      <c r="J78" s="129">
        <v>43190</v>
      </c>
      <c r="K78" s="127" t="s">
        <v>1325</v>
      </c>
      <c r="L78" s="127" t="s">
        <v>1326</v>
      </c>
      <c r="M78" s="127" t="s">
        <v>1316</v>
      </c>
      <c r="N78" s="127" t="s">
        <v>1327</v>
      </c>
      <c r="O78" s="127" t="s">
        <v>879</v>
      </c>
      <c r="P78" s="127" t="s">
        <v>1200</v>
      </c>
      <c r="Q78" s="128">
        <v>20.4939</v>
      </c>
      <c r="R78" s="128">
        <v>20.289000000000001</v>
      </c>
      <c r="S78" s="128">
        <v>84360</v>
      </c>
      <c r="T78" s="127" t="s">
        <v>767</v>
      </c>
      <c r="U78" s="127" t="s">
        <v>895</v>
      </c>
      <c r="V78" s="129">
        <v>43189</v>
      </c>
      <c r="W78" s="128">
        <v>20.494600000000002</v>
      </c>
      <c r="X78" s="128">
        <v>20.494621732684301</v>
      </c>
      <c r="Y78" s="128">
        <v>-6.9999999999999988E-4</v>
      </c>
      <c r="Z78" s="128">
        <v>-3.4155338479404298E-3</v>
      </c>
      <c r="AA78" s="128">
        <v>-1.2467000000000001</v>
      </c>
      <c r="AB78" s="128">
        <v>-6.7397032224999999E-4</v>
      </c>
      <c r="AC78" s="128">
        <v>-3.2885228673197203E-3</v>
      </c>
      <c r="AD78" s="128">
        <v>-1.2003000000000001</v>
      </c>
      <c r="AE78" s="127" t="s">
        <v>767</v>
      </c>
      <c r="AF78" s="127" t="s">
        <v>14</v>
      </c>
      <c r="AH78" s="127" t="s">
        <v>896</v>
      </c>
      <c r="AI78" s="127" t="s">
        <v>1328</v>
      </c>
      <c r="AL78" s="139">
        <f t="shared" si="2"/>
        <v>20.967574686000003</v>
      </c>
      <c r="AN78" s="127" t="b">
        <f t="shared" si="3"/>
        <v>1</v>
      </c>
    </row>
    <row r="79" spans="1:40" ht="15" hidden="1">
      <c r="A79" s="127" t="str">
        <f>+VLOOKUP(C79,'code mapping'!A:C,3,0)</f>
        <v>LIC38</v>
      </c>
      <c r="B79" s="127" t="s">
        <v>1329</v>
      </c>
      <c r="C79" s="127" t="s">
        <v>766</v>
      </c>
      <c r="D79" s="127" t="s">
        <v>105</v>
      </c>
      <c r="E79" s="128">
        <v>1456818.2919999999</v>
      </c>
      <c r="F79" s="128">
        <v>80939345.930000007</v>
      </c>
      <c r="G79" s="128">
        <v>55.558985203900804</v>
      </c>
      <c r="H79" s="128">
        <v>209675746.86000001</v>
      </c>
      <c r="I79" s="128">
        <v>55.559000000000005</v>
      </c>
      <c r="J79" s="129">
        <v>43190</v>
      </c>
      <c r="K79" s="127" t="s">
        <v>1330</v>
      </c>
      <c r="L79" s="127" t="s">
        <v>1331</v>
      </c>
      <c r="M79" s="127" t="s">
        <v>1316</v>
      </c>
      <c r="N79" s="127" t="s">
        <v>1332</v>
      </c>
      <c r="O79" s="127" t="s">
        <v>879</v>
      </c>
      <c r="P79" s="127" t="s">
        <v>1200</v>
      </c>
      <c r="Q79" s="128">
        <v>55.559000000000005</v>
      </c>
      <c r="R79" s="128">
        <v>55.003399999999999</v>
      </c>
      <c r="S79" s="128">
        <v>84361</v>
      </c>
      <c r="T79" s="127" t="s">
        <v>767</v>
      </c>
      <c r="U79" s="127" t="s">
        <v>902</v>
      </c>
      <c r="V79" s="129">
        <v>43189</v>
      </c>
      <c r="W79" s="128">
        <v>55.5608</v>
      </c>
      <c r="X79" s="128">
        <v>55.560812336367896</v>
      </c>
      <c r="Y79" s="128">
        <v>-1.8000000000000002E-3</v>
      </c>
      <c r="Z79" s="128">
        <v>-3.2396941728700802E-3</v>
      </c>
      <c r="AA79" s="128">
        <v>-1.1825000000000001</v>
      </c>
      <c r="AB79" s="128">
        <v>-1.8271324671099997E-3</v>
      </c>
      <c r="AC79" s="128">
        <v>-3.2885272735906899E-3</v>
      </c>
      <c r="AD79" s="128">
        <v>-1.2003000000000001</v>
      </c>
      <c r="AE79" s="127" t="s">
        <v>767</v>
      </c>
      <c r="AF79" s="127" t="s">
        <v>14</v>
      </c>
      <c r="AH79" s="127" t="s">
        <v>896</v>
      </c>
      <c r="AI79" s="127" t="s">
        <v>1333</v>
      </c>
      <c r="AL79" s="139">
        <f t="shared" si="2"/>
        <v>20.967574686000003</v>
      </c>
      <c r="AN79" s="127" t="b">
        <f t="shared" si="3"/>
        <v>1</v>
      </c>
    </row>
    <row r="80" spans="1:40" ht="15" hidden="1">
      <c r="A80" s="127" t="str">
        <f>+VLOOKUP(C80,'code mapping'!A:C,3,0)</f>
        <v>LIC37</v>
      </c>
      <c r="B80" s="127" t="s">
        <v>1334</v>
      </c>
      <c r="C80" s="127" t="s">
        <v>769</v>
      </c>
      <c r="D80" s="127" t="s">
        <v>874</v>
      </c>
      <c r="E80" s="128">
        <v>45098.203999999998</v>
      </c>
      <c r="F80" s="128">
        <v>949892.43</v>
      </c>
      <c r="G80" s="128">
        <v>21.062755182002398</v>
      </c>
      <c r="H80" s="128">
        <v>136410516.69999999</v>
      </c>
      <c r="I80" s="128">
        <v>21.062799999999996</v>
      </c>
      <c r="J80" s="129">
        <v>43190</v>
      </c>
      <c r="K80" s="127" t="s">
        <v>1335</v>
      </c>
      <c r="L80" s="127" t="s">
        <v>1336</v>
      </c>
      <c r="M80" s="127" t="s">
        <v>1337</v>
      </c>
      <c r="N80" s="127" t="s">
        <v>1338</v>
      </c>
      <c r="O80" s="127" t="s">
        <v>879</v>
      </c>
      <c r="P80" s="127" t="s">
        <v>1200</v>
      </c>
      <c r="Q80" s="128">
        <v>21.062799999999996</v>
      </c>
      <c r="R80" s="128">
        <v>20.852199999999996</v>
      </c>
      <c r="S80" s="128">
        <v>84358</v>
      </c>
      <c r="T80" s="127" t="s">
        <v>770</v>
      </c>
      <c r="U80" s="127" t="s">
        <v>881</v>
      </c>
      <c r="V80" s="129">
        <v>43189</v>
      </c>
      <c r="W80" s="128">
        <v>21.063499999999998</v>
      </c>
      <c r="X80" s="128">
        <v>21.063502218403201</v>
      </c>
      <c r="Y80" s="128">
        <v>-6.9999999999999988E-4</v>
      </c>
      <c r="Z80" s="128">
        <v>-3.3232843544520104E-3</v>
      </c>
      <c r="AA80" s="128">
        <v>-1.2130000000000001</v>
      </c>
      <c r="AB80" s="128">
        <v>-7.4703640083000002E-4</v>
      </c>
      <c r="AC80" s="128">
        <v>-3.5465916023087302E-3</v>
      </c>
      <c r="AD80" s="128">
        <v>-1.2945</v>
      </c>
      <c r="AE80" s="127" t="s">
        <v>770</v>
      </c>
      <c r="AF80" s="127" t="s">
        <v>13</v>
      </c>
      <c r="AH80" s="127" t="s">
        <v>882</v>
      </c>
      <c r="AI80" s="127" t="s">
        <v>1339</v>
      </c>
      <c r="AL80" s="139">
        <f t="shared" si="2"/>
        <v>13.64105167</v>
      </c>
      <c r="AN80" s="127" t="b">
        <f t="shared" si="3"/>
        <v>1</v>
      </c>
    </row>
    <row r="81" spans="1:40" ht="12.75" hidden="1" customHeight="1">
      <c r="A81" s="127" t="str">
        <f>+VLOOKUP(C81,'code mapping'!A:C,3,0)</f>
        <v>LIC37</v>
      </c>
      <c r="B81" s="127" t="s">
        <v>1340</v>
      </c>
      <c r="C81" s="127" t="s">
        <v>769</v>
      </c>
      <c r="D81" s="127" t="s">
        <v>885</v>
      </c>
      <c r="E81" s="128">
        <v>376612.3</v>
      </c>
      <c r="F81" s="128">
        <v>23639209.940000001</v>
      </c>
      <c r="G81" s="128">
        <v>62.768024145786001</v>
      </c>
      <c r="H81" s="128">
        <v>136410516.69999999</v>
      </c>
      <c r="I81" s="128">
        <v>62.768000000000001</v>
      </c>
      <c r="J81" s="129">
        <v>43190</v>
      </c>
      <c r="K81" s="127" t="s">
        <v>1341</v>
      </c>
      <c r="L81" s="127" t="s">
        <v>1342</v>
      </c>
      <c r="M81" s="127" t="s">
        <v>1337</v>
      </c>
      <c r="N81" s="127" t="s">
        <v>1343</v>
      </c>
      <c r="O81" s="127" t="s">
        <v>879</v>
      </c>
      <c r="P81" s="127" t="s">
        <v>1200</v>
      </c>
      <c r="Q81" s="128">
        <v>62.768000000000001</v>
      </c>
      <c r="R81" s="128">
        <v>62.140300000000003</v>
      </c>
      <c r="S81" s="128">
        <v>84359</v>
      </c>
      <c r="T81" s="127" t="s">
        <v>770</v>
      </c>
      <c r="U81" s="127" t="s">
        <v>889</v>
      </c>
      <c r="V81" s="129">
        <v>43189</v>
      </c>
      <c r="W81" s="128">
        <v>62.770099999999999</v>
      </c>
      <c r="X81" s="128">
        <v>62.770119111882394</v>
      </c>
      <c r="Y81" s="128">
        <v>-2.1000000000000003E-3</v>
      </c>
      <c r="Z81" s="128">
        <v>-3.3455419060985998E-3</v>
      </c>
      <c r="AA81" s="128">
        <v>-1.2211000000000001</v>
      </c>
      <c r="AB81" s="128">
        <v>-2.09496609643E-3</v>
      </c>
      <c r="AC81" s="128">
        <v>-3.3375213016497503E-3</v>
      </c>
      <c r="AD81" s="128">
        <v>-1.2181999999999999</v>
      </c>
      <c r="AE81" s="127" t="s">
        <v>770</v>
      </c>
      <c r="AF81" s="127" t="s">
        <v>13</v>
      </c>
      <c r="AH81" s="127" t="s">
        <v>882</v>
      </c>
      <c r="AI81" s="127" t="s">
        <v>1344</v>
      </c>
      <c r="AL81" s="139">
        <f t="shared" si="2"/>
        <v>13.64105167</v>
      </c>
      <c r="AN81" s="127" t="b">
        <f t="shared" si="3"/>
        <v>1</v>
      </c>
    </row>
    <row r="82" spans="1:40" ht="12.75" hidden="1" customHeight="1">
      <c r="A82" s="127" t="str">
        <f>+VLOOKUP(C82,'code mapping'!A:C,3,0)</f>
        <v>LIC37</v>
      </c>
      <c r="B82" s="127" t="s">
        <v>1345</v>
      </c>
      <c r="C82" s="127" t="s">
        <v>769</v>
      </c>
      <c r="D82" s="127" t="s">
        <v>103</v>
      </c>
      <c r="E82" s="128">
        <v>1219065.415</v>
      </c>
      <c r="F82" s="128">
        <v>25505831.149999999</v>
      </c>
      <c r="G82" s="128">
        <v>20.922446684290499</v>
      </c>
      <c r="H82" s="128">
        <v>136410516.69999999</v>
      </c>
      <c r="I82" s="128">
        <v>20.922399999999996</v>
      </c>
      <c r="J82" s="129">
        <v>43190</v>
      </c>
      <c r="K82" s="127" t="s">
        <v>1346</v>
      </c>
      <c r="L82" s="127" t="s">
        <v>1347</v>
      </c>
      <c r="M82" s="127" t="s">
        <v>1337</v>
      </c>
      <c r="N82" s="127" t="s">
        <v>1348</v>
      </c>
      <c r="O82" s="127" t="s">
        <v>879</v>
      </c>
      <c r="P82" s="127" t="s">
        <v>1200</v>
      </c>
      <c r="Q82" s="128">
        <v>20.922399999999996</v>
      </c>
      <c r="R82" s="128">
        <v>20.713200000000001</v>
      </c>
      <c r="S82" s="128">
        <v>84356</v>
      </c>
      <c r="T82" s="127" t="s">
        <v>770</v>
      </c>
      <c r="U82" s="127" t="s">
        <v>895</v>
      </c>
      <c r="V82" s="129">
        <v>43189</v>
      </c>
      <c r="W82" s="128">
        <v>20.923500000000001</v>
      </c>
      <c r="X82" s="128">
        <v>20.923475267321901</v>
      </c>
      <c r="Y82" s="128">
        <v>-1.1000000000000001E-3</v>
      </c>
      <c r="Z82" s="128">
        <v>-5.25724663655698E-3</v>
      </c>
      <c r="AA82" s="128">
        <v>-1.9189000000000001</v>
      </c>
      <c r="AB82" s="128">
        <v>-1.0285830313700001E-3</v>
      </c>
      <c r="AC82" s="128">
        <v>-4.9159282491490902E-3</v>
      </c>
      <c r="AD82" s="128">
        <v>-1.7943</v>
      </c>
      <c r="AE82" s="127" t="s">
        <v>770</v>
      </c>
      <c r="AF82" s="127" t="s">
        <v>13</v>
      </c>
      <c r="AH82" s="127" t="s">
        <v>896</v>
      </c>
      <c r="AI82" s="127" t="s">
        <v>1349</v>
      </c>
      <c r="AL82" s="139">
        <f t="shared" si="2"/>
        <v>13.64105167</v>
      </c>
      <c r="AN82" s="127" t="b">
        <f t="shared" si="3"/>
        <v>1</v>
      </c>
    </row>
    <row r="83" spans="1:40" ht="12.75" hidden="1" customHeight="1">
      <c r="A83" s="127" t="str">
        <f>+VLOOKUP(C83,'code mapping'!A:C,3,0)</f>
        <v>LIC37</v>
      </c>
      <c r="B83" s="127" t="s">
        <v>1350</v>
      </c>
      <c r="C83" s="127" t="s">
        <v>769</v>
      </c>
      <c r="D83" s="127" t="s">
        <v>105</v>
      </c>
      <c r="E83" s="128">
        <v>1414070.916</v>
      </c>
      <c r="F83" s="128">
        <v>86315583.180000007</v>
      </c>
      <c r="G83" s="128">
        <v>61.0404911121162</v>
      </c>
      <c r="H83" s="128">
        <v>136410516.69999999</v>
      </c>
      <c r="I83" s="128">
        <v>61.040500000000002</v>
      </c>
      <c r="J83" s="129">
        <v>43190</v>
      </c>
      <c r="K83" s="127" t="s">
        <v>1351</v>
      </c>
      <c r="L83" s="127" t="s">
        <v>1352</v>
      </c>
      <c r="M83" s="127" t="s">
        <v>1337</v>
      </c>
      <c r="N83" s="127" t="s">
        <v>1353</v>
      </c>
      <c r="O83" s="127" t="s">
        <v>879</v>
      </c>
      <c r="P83" s="127" t="s">
        <v>1200</v>
      </c>
      <c r="Q83" s="128">
        <v>61.040500000000002</v>
      </c>
      <c r="R83" s="128">
        <v>60.430100000000003</v>
      </c>
      <c r="S83" s="128">
        <v>84357</v>
      </c>
      <c r="T83" s="127" t="s">
        <v>770</v>
      </c>
      <c r="U83" s="127" t="s">
        <v>902</v>
      </c>
      <c r="V83" s="129">
        <v>43189</v>
      </c>
      <c r="W83" s="128">
        <v>61.043500000000002</v>
      </c>
      <c r="X83" s="128">
        <v>61.043491902212388</v>
      </c>
      <c r="Y83" s="128">
        <v>-3.0000000000000001E-3</v>
      </c>
      <c r="Z83" s="128">
        <v>-4.9145281643418201E-3</v>
      </c>
      <c r="AA83" s="128">
        <v>-1.7938000000000001</v>
      </c>
      <c r="AB83" s="128">
        <v>-3.0007900961600002E-3</v>
      </c>
      <c r="AC83" s="128">
        <v>-4.9158231330656303E-3</v>
      </c>
      <c r="AD83" s="128">
        <v>-1.7943</v>
      </c>
      <c r="AE83" s="127" t="s">
        <v>770</v>
      </c>
      <c r="AF83" s="127" t="s">
        <v>13</v>
      </c>
      <c r="AH83" s="127" t="s">
        <v>896</v>
      </c>
      <c r="AI83" s="127" t="s">
        <v>1354</v>
      </c>
      <c r="AL83" s="139">
        <f t="shared" si="2"/>
        <v>13.64105167</v>
      </c>
      <c r="AN83" s="127" t="b">
        <f t="shared" si="3"/>
        <v>1</v>
      </c>
    </row>
    <row r="84" spans="1:40" ht="12.75" hidden="1" customHeight="1">
      <c r="A84" s="127" t="str">
        <f>+VLOOKUP(C84,'code mapping'!A:C,3,0)</f>
        <v>LIC170</v>
      </c>
      <c r="B84" s="127" t="s">
        <v>1355</v>
      </c>
      <c r="C84" s="127" t="s">
        <v>773</v>
      </c>
      <c r="D84" s="127" t="s">
        <v>874</v>
      </c>
      <c r="E84" s="128">
        <v>568432.18900000001</v>
      </c>
      <c r="F84" s="128">
        <v>7788513.3799999999</v>
      </c>
      <c r="G84" s="128">
        <v>13.701745838323699</v>
      </c>
      <c r="H84" s="128">
        <v>2848452603.6799998</v>
      </c>
      <c r="I84" s="128">
        <v>13.701700000000001</v>
      </c>
      <c r="J84" s="129">
        <v>43190</v>
      </c>
      <c r="K84" s="127" t="s">
        <v>1356</v>
      </c>
      <c r="L84" s="127" t="s">
        <v>1357</v>
      </c>
      <c r="M84" s="127" t="s">
        <v>1358</v>
      </c>
      <c r="N84" s="127" t="s">
        <v>1359</v>
      </c>
      <c r="O84" s="127" t="s">
        <v>879</v>
      </c>
      <c r="P84" s="127" t="s">
        <v>1200</v>
      </c>
      <c r="Q84" s="128">
        <v>13.701700000000001</v>
      </c>
      <c r="R84" s="128">
        <v>13.5647</v>
      </c>
      <c r="S84" s="128">
        <v>84337</v>
      </c>
      <c r="T84" s="127" t="s">
        <v>774</v>
      </c>
      <c r="U84" s="127" t="s">
        <v>881</v>
      </c>
      <c r="V84" s="129">
        <v>43189</v>
      </c>
      <c r="W84" s="128">
        <v>13.7018</v>
      </c>
      <c r="X84" s="128">
        <v>13.701791754090801</v>
      </c>
      <c r="Y84" s="128">
        <v>-1E-4</v>
      </c>
      <c r="Z84" s="128">
        <v>-7.2983111707950799E-4</v>
      </c>
      <c r="AA84" s="128">
        <v>-0.26640000000000003</v>
      </c>
      <c r="AB84" s="128">
        <v>-4.5915767099999986E-5</v>
      </c>
      <c r="AC84" s="128">
        <v>-3.35107757613462E-4</v>
      </c>
      <c r="AD84" s="128">
        <v>-0.12230000000000001</v>
      </c>
      <c r="AE84" s="127" t="s">
        <v>774</v>
      </c>
      <c r="AF84" s="127" t="s">
        <v>41</v>
      </c>
      <c r="AH84" s="127" t="s">
        <v>882</v>
      </c>
      <c r="AI84" s="127" t="s">
        <v>1360</v>
      </c>
      <c r="AL84" s="139">
        <f t="shared" si="2"/>
        <v>284.84526036799997</v>
      </c>
      <c r="AN84" s="127" t="b">
        <f t="shared" si="3"/>
        <v>1</v>
      </c>
    </row>
    <row r="85" spans="1:40" ht="12.75" hidden="1" customHeight="1">
      <c r="A85" s="127" t="str">
        <f>+VLOOKUP(C85,'code mapping'!A:C,3,0)</f>
        <v>LIC170</v>
      </c>
      <c r="B85" s="127" t="s">
        <v>1361</v>
      </c>
      <c r="C85" s="127" t="s">
        <v>773</v>
      </c>
      <c r="D85" s="127" t="s">
        <v>885</v>
      </c>
      <c r="E85" s="128">
        <v>29289095.283000004</v>
      </c>
      <c r="F85" s="128">
        <v>435991701.77999997</v>
      </c>
      <c r="G85" s="128">
        <v>14.885802977774398</v>
      </c>
      <c r="H85" s="128">
        <v>2848452603.6799998</v>
      </c>
      <c r="I85" s="128">
        <v>14.885800000000001</v>
      </c>
      <c r="J85" s="129">
        <v>43190</v>
      </c>
      <c r="K85" s="127" t="s">
        <v>1362</v>
      </c>
      <c r="L85" s="127" t="s">
        <v>1363</v>
      </c>
      <c r="M85" s="127" t="s">
        <v>1358</v>
      </c>
      <c r="N85" s="127" t="s">
        <v>1364</v>
      </c>
      <c r="O85" s="127" t="s">
        <v>879</v>
      </c>
      <c r="P85" s="127" t="s">
        <v>1200</v>
      </c>
      <c r="Q85" s="128">
        <v>14.885800000000001</v>
      </c>
      <c r="R85" s="128">
        <v>14.7369</v>
      </c>
      <c r="S85" s="128">
        <v>84338</v>
      </c>
      <c r="T85" s="127" t="s">
        <v>774</v>
      </c>
      <c r="U85" s="127" t="s">
        <v>889</v>
      </c>
      <c r="V85" s="129">
        <v>43189</v>
      </c>
      <c r="W85" s="128">
        <v>14.885800000000001</v>
      </c>
      <c r="X85" s="128">
        <v>14.885848594751899</v>
      </c>
      <c r="Y85" s="128">
        <v>0</v>
      </c>
      <c r="Z85" s="128">
        <v>0</v>
      </c>
      <c r="AA85" s="128">
        <v>0</v>
      </c>
      <c r="AB85" s="128">
        <v>-4.5616977479999996E-5</v>
      </c>
      <c r="AC85" s="128">
        <v>-3.0644526033996196E-4</v>
      </c>
      <c r="AD85" s="128">
        <v>-0.1119</v>
      </c>
      <c r="AE85" s="127" t="s">
        <v>774</v>
      </c>
      <c r="AF85" s="127" t="s">
        <v>41</v>
      </c>
      <c r="AH85" s="127" t="s">
        <v>882</v>
      </c>
      <c r="AI85" s="127" t="s">
        <v>1365</v>
      </c>
      <c r="AL85" s="139">
        <f t="shared" si="2"/>
        <v>284.84526036799997</v>
      </c>
      <c r="AN85" s="127" t="b">
        <f t="shared" si="3"/>
        <v>1</v>
      </c>
    </row>
    <row r="86" spans="1:40" ht="12.75" hidden="1" customHeight="1">
      <c r="A86" s="127" t="str">
        <f>+VLOOKUP(C86,'code mapping'!A:C,3,0)</f>
        <v>LIC170</v>
      </c>
      <c r="B86" s="127" t="s">
        <v>1366</v>
      </c>
      <c r="C86" s="127" t="s">
        <v>773</v>
      </c>
      <c r="D86" s="127" t="s">
        <v>103</v>
      </c>
      <c r="E86" s="128">
        <v>11301766.346999997</v>
      </c>
      <c r="F86" s="128">
        <v>148929641.96000001</v>
      </c>
      <c r="G86" s="128">
        <v>13.177554497888998</v>
      </c>
      <c r="H86" s="128">
        <v>2848452603.6799998</v>
      </c>
      <c r="I86" s="128">
        <v>13.1776</v>
      </c>
      <c r="J86" s="129">
        <v>43190</v>
      </c>
      <c r="K86" s="127" t="s">
        <v>1367</v>
      </c>
      <c r="L86" s="127" t="s">
        <v>1368</v>
      </c>
      <c r="M86" s="127" t="s">
        <v>1358</v>
      </c>
      <c r="N86" s="127" t="s">
        <v>1369</v>
      </c>
      <c r="O86" s="127" t="s">
        <v>879</v>
      </c>
      <c r="P86" s="127" t="s">
        <v>1200</v>
      </c>
      <c r="Q86" s="128">
        <v>13.1776</v>
      </c>
      <c r="R86" s="128">
        <v>13.0458</v>
      </c>
      <c r="S86" s="128">
        <v>84335</v>
      </c>
      <c r="T86" s="127" t="s">
        <v>774</v>
      </c>
      <c r="U86" s="127" t="s">
        <v>895</v>
      </c>
      <c r="V86" s="129">
        <v>43189</v>
      </c>
      <c r="W86" s="128">
        <v>13.1783</v>
      </c>
      <c r="X86" s="128">
        <v>13.178320732983</v>
      </c>
      <c r="Y86" s="128">
        <v>-6.9999999999999988E-4</v>
      </c>
      <c r="Z86" s="128">
        <v>-5.3117625186860197E-3</v>
      </c>
      <c r="AA86" s="128">
        <v>-1.9387999999999999</v>
      </c>
      <c r="AB86" s="128">
        <v>-7.6623509406000001E-4</v>
      </c>
      <c r="AC86" s="128">
        <v>-5.8143606426443104E-3</v>
      </c>
      <c r="AD86" s="128">
        <v>-2.1222000000000003</v>
      </c>
      <c r="AE86" s="127" t="s">
        <v>774</v>
      </c>
      <c r="AF86" s="127" t="s">
        <v>41</v>
      </c>
      <c r="AH86" s="127" t="s">
        <v>896</v>
      </c>
      <c r="AI86" s="127" t="s">
        <v>1370</v>
      </c>
      <c r="AL86" s="139">
        <f t="shared" si="2"/>
        <v>284.84526036799997</v>
      </c>
      <c r="AN86" s="127" t="b">
        <f t="shared" si="3"/>
        <v>1</v>
      </c>
    </row>
    <row r="87" spans="1:40" ht="12.75" hidden="1" customHeight="1">
      <c r="A87" s="127" t="str">
        <f>+VLOOKUP(C87,'code mapping'!A:C,3,0)</f>
        <v>LIC170</v>
      </c>
      <c r="B87" s="127" t="s">
        <v>1371</v>
      </c>
      <c r="C87" s="127" t="s">
        <v>773</v>
      </c>
      <c r="D87" s="127" t="s">
        <v>105</v>
      </c>
      <c r="E87" s="128">
        <v>157226115.148</v>
      </c>
      <c r="F87" s="128">
        <v>2255742746.5599999</v>
      </c>
      <c r="G87" s="128">
        <v>14.347125122544901</v>
      </c>
      <c r="H87" s="128">
        <v>2848452603.6799998</v>
      </c>
      <c r="I87" s="128">
        <v>14.347100000000001</v>
      </c>
      <c r="J87" s="129">
        <v>43190</v>
      </c>
      <c r="K87" s="127" t="s">
        <v>1372</v>
      </c>
      <c r="L87" s="127" t="s">
        <v>1373</v>
      </c>
      <c r="M87" s="127" t="s">
        <v>1358</v>
      </c>
      <c r="N87" s="127" t="s">
        <v>1374</v>
      </c>
      <c r="O87" s="127" t="s">
        <v>879</v>
      </c>
      <c r="P87" s="127" t="s">
        <v>1200</v>
      </c>
      <c r="Q87" s="128">
        <v>14.347100000000001</v>
      </c>
      <c r="R87" s="128">
        <v>14.203600000000002</v>
      </c>
      <c r="S87" s="128">
        <v>84336</v>
      </c>
      <c r="T87" s="127" t="s">
        <v>774</v>
      </c>
      <c r="U87" s="127" t="s">
        <v>902</v>
      </c>
      <c r="V87" s="129">
        <v>43189</v>
      </c>
      <c r="W87" s="128">
        <v>14.348000000000003</v>
      </c>
      <c r="X87" s="128">
        <v>14.347959363407899</v>
      </c>
      <c r="Y87" s="128">
        <v>-9.0000000000000008E-4</v>
      </c>
      <c r="Z87" s="128">
        <v>-6.2726512405910199E-3</v>
      </c>
      <c r="AA87" s="128">
        <v>-2.2895000000000003</v>
      </c>
      <c r="AB87" s="128">
        <v>-8.3424086308000014E-4</v>
      </c>
      <c r="AC87" s="128">
        <v>-5.8143520060949701E-3</v>
      </c>
      <c r="AD87" s="128">
        <v>-2.1222000000000003</v>
      </c>
      <c r="AE87" s="127" t="s">
        <v>774</v>
      </c>
      <c r="AF87" s="127" t="s">
        <v>41</v>
      </c>
      <c r="AH87" s="127" t="s">
        <v>896</v>
      </c>
      <c r="AI87" s="127" t="s">
        <v>1375</v>
      </c>
      <c r="AL87" s="139">
        <f t="shared" si="2"/>
        <v>284.84526036799997</v>
      </c>
      <c r="AN87" s="127" t="b">
        <f t="shared" si="3"/>
        <v>1</v>
      </c>
    </row>
    <row r="88" spans="1:40" ht="12.75" customHeight="1">
      <c r="A88" s="127" t="str">
        <f>+VLOOKUP(C88,'code mapping'!A:C,3,0)</f>
        <v>LIC169</v>
      </c>
      <c r="B88" s="127" t="s">
        <v>1376</v>
      </c>
      <c r="C88" s="127" t="s">
        <v>776</v>
      </c>
      <c r="D88" s="127" t="s">
        <v>874</v>
      </c>
      <c r="E88" s="128">
        <v>0</v>
      </c>
      <c r="F88" s="128">
        <v>0</v>
      </c>
      <c r="G88" s="128">
        <v>10</v>
      </c>
      <c r="H88" s="287">
        <v>0</v>
      </c>
      <c r="I88" s="128">
        <v>10</v>
      </c>
      <c r="J88" s="129">
        <v>43190</v>
      </c>
      <c r="K88" s="127" t="s">
        <v>1377</v>
      </c>
      <c r="L88" s="127" t="s">
        <v>1378</v>
      </c>
      <c r="M88" s="127" t="s">
        <v>1379</v>
      </c>
      <c r="N88" s="127" t="s">
        <v>1380</v>
      </c>
      <c r="O88" s="127" t="s">
        <v>879</v>
      </c>
      <c r="P88" s="127" t="s">
        <v>1200</v>
      </c>
      <c r="Q88" s="128">
        <v>10</v>
      </c>
      <c r="R88" s="128">
        <v>10</v>
      </c>
      <c r="S88" s="128">
        <v>84329</v>
      </c>
      <c r="T88" s="127" t="s">
        <v>777</v>
      </c>
      <c r="U88" s="127" t="s">
        <v>881</v>
      </c>
      <c r="V88" s="129">
        <v>43189</v>
      </c>
      <c r="W88" s="128">
        <v>10</v>
      </c>
      <c r="X88" s="128">
        <v>10</v>
      </c>
      <c r="Y88" s="128">
        <v>0</v>
      </c>
      <c r="Z88" s="128">
        <v>0</v>
      </c>
      <c r="AA88" s="128">
        <v>0</v>
      </c>
      <c r="AB88" s="128">
        <v>0</v>
      </c>
      <c r="AC88" s="128">
        <v>0</v>
      </c>
      <c r="AD88" s="128">
        <v>0</v>
      </c>
      <c r="AE88" s="127" t="s">
        <v>1381</v>
      </c>
      <c r="AF88" s="127" t="s">
        <v>40</v>
      </c>
      <c r="AH88" s="127" t="s">
        <v>882</v>
      </c>
      <c r="AI88" s="127" t="s">
        <v>1382</v>
      </c>
      <c r="AJ88" s="127" t="s">
        <v>1383</v>
      </c>
      <c r="AK88" s="127" t="s">
        <v>1384</v>
      </c>
      <c r="AL88" s="139">
        <f t="shared" si="2"/>
        <v>0</v>
      </c>
      <c r="AN88" s="127" t="b">
        <f t="shared" si="3"/>
        <v>1</v>
      </c>
    </row>
    <row r="89" spans="1:40" ht="12.75" customHeight="1">
      <c r="A89" s="127" t="str">
        <f>+VLOOKUP(C89,'code mapping'!A:C,3,0)</f>
        <v>LIC169</v>
      </c>
      <c r="B89" s="127" t="s">
        <v>1385</v>
      </c>
      <c r="C89" s="127" t="s">
        <v>776</v>
      </c>
      <c r="D89" s="127" t="s">
        <v>885</v>
      </c>
      <c r="E89" s="128">
        <v>0</v>
      </c>
      <c r="F89" s="128">
        <v>-119.11</v>
      </c>
      <c r="G89" s="128">
        <v>10</v>
      </c>
      <c r="H89" s="287">
        <v>0</v>
      </c>
      <c r="I89" s="128">
        <v>10</v>
      </c>
      <c r="J89" s="129">
        <v>43190</v>
      </c>
      <c r="K89" s="127" t="s">
        <v>1386</v>
      </c>
      <c r="L89" s="127" t="s">
        <v>1387</v>
      </c>
      <c r="M89" s="127" t="s">
        <v>1379</v>
      </c>
      <c r="N89" s="127" t="s">
        <v>1388</v>
      </c>
      <c r="O89" s="127" t="s">
        <v>879</v>
      </c>
      <c r="P89" s="127" t="s">
        <v>1200</v>
      </c>
      <c r="Q89" s="128">
        <v>10</v>
      </c>
      <c r="R89" s="128">
        <v>10</v>
      </c>
      <c r="S89" s="128">
        <v>84330</v>
      </c>
      <c r="T89" s="127" t="s">
        <v>777</v>
      </c>
      <c r="U89" s="127" t="s">
        <v>889</v>
      </c>
      <c r="V89" s="129">
        <v>43189</v>
      </c>
      <c r="W89" s="128">
        <v>10</v>
      </c>
      <c r="X89" s="128">
        <v>10</v>
      </c>
      <c r="Y89" s="128">
        <v>0</v>
      </c>
      <c r="Z89" s="128">
        <v>0</v>
      </c>
      <c r="AA89" s="128">
        <v>0</v>
      </c>
      <c r="AB89" s="128">
        <v>0</v>
      </c>
      <c r="AC89" s="128">
        <v>0</v>
      </c>
      <c r="AD89" s="128">
        <v>0</v>
      </c>
      <c r="AE89" s="127" t="s">
        <v>1381</v>
      </c>
      <c r="AF89" s="127" t="s">
        <v>40</v>
      </c>
      <c r="AH89" s="127" t="s">
        <v>882</v>
      </c>
      <c r="AI89" s="127" t="s">
        <v>1389</v>
      </c>
      <c r="AJ89" s="127" t="s">
        <v>1390</v>
      </c>
      <c r="AK89" s="127" t="s">
        <v>1391</v>
      </c>
      <c r="AL89" s="139">
        <f t="shared" si="2"/>
        <v>0</v>
      </c>
      <c r="AN89" s="127" t="b">
        <f t="shared" si="3"/>
        <v>1</v>
      </c>
    </row>
    <row r="90" spans="1:40" ht="12.75" customHeight="1">
      <c r="A90" s="127" t="str">
        <f>+VLOOKUP(C90,'code mapping'!A:C,3,0)</f>
        <v>LIC169</v>
      </c>
      <c r="B90" s="127" t="s">
        <v>1392</v>
      </c>
      <c r="C90" s="127" t="s">
        <v>776</v>
      </c>
      <c r="D90" s="127" t="s">
        <v>103</v>
      </c>
      <c r="E90" s="128">
        <v>0</v>
      </c>
      <c r="F90" s="128">
        <v>0.01</v>
      </c>
      <c r="G90" s="128">
        <v>10</v>
      </c>
      <c r="H90" s="287">
        <v>0</v>
      </c>
      <c r="I90" s="128">
        <v>10</v>
      </c>
      <c r="J90" s="129">
        <v>43190</v>
      </c>
      <c r="K90" s="127" t="s">
        <v>1393</v>
      </c>
      <c r="L90" s="127" t="s">
        <v>1394</v>
      </c>
      <c r="M90" s="127" t="s">
        <v>1379</v>
      </c>
      <c r="N90" s="127" t="s">
        <v>1395</v>
      </c>
      <c r="O90" s="127" t="s">
        <v>879</v>
      </c>
      <c r="P90" s="127" t="s">
        <v>1200</v>
      </c>
      <c r="Q90" s="128">
        <v>10</v>
      </c>
      <c r="R90" s="128">
        <v>10</v>
      </c>
      <c r="S90" s="128">
        <v>84327</v>
      </c>
      <c r="T90" s="127" t="s">
        <v>777</v>
      </c>
      <c r="U90" s="127" t="s">
        <v>895</v>
      </c>
      <c r="V90" s="129">
        <v>43189</v>
      </c>
      <c r="W90" s="128">
        <v>10</v>
      </c>
      <c r="X90" s="128">
        <v>10</v>
      </c>
      <c r="Y90" s="128">
        <v>0</v>
      </c>
      <c r="Z90" s="128">
        <v>0</v>
      </c>
      <c r="AA90" s="128">
        <v>0</v>
      </c>
      <c r="AB90" s="128">
        <v>0</v>
      </c>
      <c r="AC90" s="128">
        <v>0</v>
      </c>
      <c r="AD90" s="128">
        <v>0</v>
      </c>
      <c r="AE90" s="127" t="s">
        <v>1381</v>
      </c>
      <c r="AF90" s="127" t="s">
        <v>40</v>
      </c>
      <c r="AH90" s="127" t="s">
        <v>896</v>
      </c>
      <c r="AI90" s="127" t="s">
        <v>1396</v>
      </c>
      <c r="AJ90" s="127" t="s">
        <v>1397</v>
      </c>
      <c r="AK90" s="127" t="s">
        <v>1398</v>
      </c>
      <c r="AL90" s="139">
        <f t="shared" si="2"/>
        <v>0</v>
      </c>
      <c r="AN90" s="127" t="b">
        <f t="shared" si="3"/>
        <v>1</v>
      </c>
    </row>
    <row r="91" spans="1:40" ht="12.75" customHeight="1">
      <c r="A91" s="127" t="str">
        <f>+VLOOKUP(C91,'code mapping'!A:C,3,0)</f>
        <v>LIC169</v>
      </c>
      <c r="B91" s="127" t="s">
        <v>1399</v>
      </c>
      <c r="C91" s="127" t="s">
        <v>776</v>
      </c>
      <c r="D91" s="127" t="s">
        <v>105</v>
      </c>
      <c r="E91" s="128">
        <v>0</v>
      </c>
      <c r="F91" s="128">
        <v>4.6399999999999997</v>
      </c>
      <c r="G91" s="128">
        <v>10</v>
      </c>
      <c r="H91" s="287">
        <v>0</v>
      </c>
      <c r="I91" s="128">
        <v>10</v>
      </c>
      <c r="J91" s="129">
        <v>43190</v>
      </c>
      <c r="K91" s="127" t="s">
        <v>1400</v>
      </c>
      <c r="L91" s="127" t="s">
        <v>1401</v>
      </c>
      <c r="M91" s="127" t="s">
        <v>1379</v>
      </c>
      <c r="N91" s="127" t="s">
        <v>1402</v>
      </c>
      <c r="O91" s="127" t="s">
        <v>879</v>
      </c>
      <c r="P91" s="127" t="s">
        <v>1200</v>
      </c>
      <c r="Q91" s="128">
        <v>10</v>
      </c>
      <c r="R91" s="128">
        <v>10</v>
      </c>
      <c r="S91" s="128">
        <v>84328</v>
      </c>
      <c r="T91" s="127" t="s">
        <v>777</v>
      </c>
      <c r="U91" s="127" t="s">
        <v>902</v>
      </c>
      <c r="V91" s="129">
        <v>43189</v>
      </c>
      <c r="W91" s="128">
        <v>10</v>
      </c>
      <c r="X91" s="128">
        <v>10</v>
      </c>
      <c r="Y91" s="128">
        <v>0</v>
      </c>
      <c r="Z91" s="128">
        <v>0</v>
      </c>
      <c r="AA91" s="128">
        <v>0</v>
      </c>
      <c r="AB91" s="128">
        <v>0</v>
      </c>
      <c r="AC91" s="128">
        <v>0</v>
      </c>
      <c r="AD91" s="128">
        <v>0</v>
      </c>
      <c r="AE91" s="127" t="s">
        <v>1381</v>
      </c>
      <c r="AF91" s="127" t="s">
        <v>40</v>
      </c>
      <c r="AH91" s="127" t="s">
        <v>896</v>
      </c>
      <c r="AI91" s="127" t="s">
        <v>1403</v>
      </c>
      <c r="AJ91" s="127" t="s">
        <v>1404</v>
      </c>
      <c r="AK91" s="127" t="s">
        <v>1405</v>
      </c>
      <c r="AL91" s="139">
        <f t="shared" si="2"/>
        <v>0</v>
      </c>
      <c r="AN91" s="127" t="b">
        <f t="shared" si="3"/>
        <v>1</v>
      </c>
    </row>
    <row r="92" spans="1:40" ht="12.75" hidden="1" customHeight="1">
      <c r="A92" s="127" t="str">
        <f>+VLOOKUP(C92,'code mapping'!A:C,3,0)</f>
        <v>LIC177</v>
      </c>
      <c r="B92" s="127" t="s">
        <v>1406</v>
      </c>
      <c r="C92" s="127" t="s">
        <v>778</v>
      </c>
      <c r="D92" s="127" t="s">
        <v>1008</v>
      </c>
      <c r="E92" s="128">
        <v>26644242</v>
      </c>
      <c r="F92" s="128">
        <v>2849741938.5799999</v>
      </c>
      <c r="G92" s="128">
        <v>106.95526405217301</v>
      </c>
      <c r="H92" s="128">
        <v>2849741938.5799999</v>
      </c>
      <c r="I92" s="128">
        <v>106.95530000000001</v>
      </c>
      <c r="J92" s="129">
        <v>43190</v>
      </c>
      <c r="K92" s="127" t="s">
        <v>1407</v>
      </c>
      <c r="L92" s="127" t="s">
        <v>1408</v>
      </c>
      <c r="M92" s="127" t="s">
        <v>1409</v>
      </c>
      <c r="N92" s="127" t="s">
        <v>1410</v>
      </c>
      <c r="O92" s="127" t="s">
        <v>879</v>
      </c>
      <c r="P92" s="127" t="s">
        <v>1200</v>
      </c>
      <c r="Q92" s="128">
        <v>106.95530000000001</v>
      </c>
      <c r="R92" s="128">
        <v>106.95530000000001</v>
      </c>
      <c r="S92" s="128">
        <v>84345</v>
      </c>
      <c r="T92" s="127" t="s">
        <v>779</v>
      </c>
      <c r="U92" s="127" t="s">
        <v>1013</v>
      </c>
      <c r="V92" s="129">
        <v>43189</v>
      </c>
      <c r="W92" s="128">
        <v>106.956</v>
      </c>
      <c r="X92" s="128">
        <v>106.95597951669998</v>
      </c>
      <c r="Y92" s="128">
        <v>-6.9999999999999988E-4</v>
      </c>
      <c r="Z92" s="128">
        <v>-6.5447473727514105E-4</v>
      </c>
      <c r="AA92" s="128">
        <v>-0.2389</v>
      </c>
      <c r="AB92" s="128">
        <v>-7.1546452700999995E-4</v>
      </c>
      <c r="AC92" s="128">
        <v>-6.6893364002924903E-4</v>
      </c>
      <c r="AD92" s="128">
        <v>-0.24420000000000003</v>
      </c>
      <c r="AE92" s="127" t="s">
        <v>410</v>
      </c>
      <c r="AF92" s="127" t="s">
        <v>48</v>
      </c>
      <c r="AH92" s="127" t="s">
        <v>106</v>
      </c>
      <c r="AI92" s="127" t="s">
        <v>1411</v>
      </c>
      <c r="AJ92" s="127" t="s">
        <v>1412</v>
      </c>
      <c r="AK92" s="127" t="s">
        <v>1413</v>
      </c>
      <c r="AL92" s="139">
        <f t="shared" si="2"/>
        <v>284.97419385799998</v>
      </c>
      <c r="AN92" s="127" t="b">
        <f t="shared" si="3"/>
        <v>1</v>
      </c>
    </row>
    <row r="93" spans="1:40" ht="12.75" hidden="1" customHeight="1">
      <c r="A93" s="127" t="str">
        <f>+VLOOKUP(C93,'code mapping'!A:C,3,0)</f>
        <v>LIC28</v>
      </c>
      <c r="B93" s="127" t="s">
        <v>1414</v>
      </c>
      <c r="C93" s="127" t="s">
        <v>783</v>
      </c>
      <c r="D93" s="127" t="s">
        <v>874</v>
      </c>
      <c r="E93" s="128">
        <v>301696.53700000001</v>
      </c>
      <c r="F93" s="128">
        <v>5494327.6500000004</v>
      </c>
      <c r="G93" s="128">
        <v>18.211437574439302</v>
      </c>
      <c r="H93" s="128">
        <v>1603594271.55</v>
      </c>
      <c r="I93" s="128">
        <v>18.211400000000001</v>
      </c>
      <c r="J93" s="129">
        <v>43190</v>
      </c>
      <c r="K93" s="127" t="s">
        <v>1415</v>
      </c>
      <c r="L93" s="127" t="s">
        <v>1416</v>
      </c>
      <c r="M93" s="127" t="s">
        <v>1417</v>
      </c>
      <c r="N93" s="127" t="s">
        <v>1418</v>
      </c>
      <c r="O93" s="127" t="s">
        <v>879</v>
      </c>
      <c r="P93" s="127" t="s">
        <v>1200</v>
      </c>
      <c r="Q93" s="128">
        <v>18.211400000000001</v>
      </c>
      <c r="R93" s="128">
        <v>18.211400000000001</v>
      </c>
      <c r="S93" s="128">
        <v>84348</v>
      </c>
      <c r="T93" s="127" t="s">
        <v>55</v>
      </c>
      <c r="U93" s="127" t="s">
        <v>881</v>
      </c>
      <c r="V93" s="129">
        <v>43189</v>
      </c>
      <c r="W93" s="128">
        <v>18.212199999999999</v>
      </c>
      <c r="X93" s="128">
        <v>18.212241992025298</v>
      </c>
      <c r="Y93" s="128">
        <v>-8.0000000000000004E-4</v>
      </c>
      <c r="Z93" s="128">
        <v>-4.3926598653649803E-3</v>
      </c>
      <c r="AA93" s="128">
        <v>-1.6033000000000002</v>
      </c>
      <c r="AB93" s="128">
        <v>-8.0441758599999991E-4</v>
      </c>
      <c r="AC93" s="128">
        <v>-4.41690587217234E-3</v>
      </c>
      <c r="AD93" s="128">
        <v>-1.6122000000000001</v>
      </c>
      <c r="AE93" s="127" t="s">
        <v>55</v>
      </c>
      <c r="AF93" s="127" t="s">
        <v>7</v>
      </c>
      <c r="AH93" s="127" t="s">
        <v>882</v>
      </c>
      <c r="AI93" s="127" t="s">
        <v>1419</v>
      </c>
      <c r="AL93" s="139">
        <f t="shared" si="2"/>
        <v>160.35942715499999</v>
      </c>
      <c r="AN93" s="127" t="b">
        <f t="shared" si="3"/>
        <v>1</v>
      </c>
    </row>
    <row r="94" spans="1:40" ht="12.75" hidden="1" customHeight="1">
      <c r="A94" s="127" t="str">
        <f>+VLOOKUP(C94,'code mapping'!A:C,3,0)</f>
        <v>LIC28</v>
      </c>
      <c r="B94" s="127" t="s">
        <v>1420</v>
      </c>
      <c r="C94" s="127" t="s">
        <v>783</v>
      </c>
      <c r="D94" s="127" t="s">
        <v>885</v>
      </c>
      <c r="E94" s="128">
        <v>1164444.3089999999</v>
      </c>
      <c r="F94" s="128">
        <v>76053900.760000005</v>
      </c>
      <c r="G94" s="128">
        <v>65.313471990183388</v>
      </c>
      <c r="H94" s="128">
        <v>1603594271.55</v>
      </c>
      <c r="I94" s="128">
        <v>65.313500000000005</v>
      </c>
      <c r="J94" s="129">
        <v>43190</v>
      </c>
      <c r="K94" s="127" t="s">
        <v>1421</v>
      </c>
      <c r="L94" s="127" t="s">
        <v>1422</v>
      </c>
      <c r="M94" s="127" t="s">
        <v>1417</v>
      </c>
      <c r="N94" s="127" t="s">
        <v>1423</v>
      </c>
      <c r="O94" s="127" t="s">
        <v>879</v>
      </c>
      <c r="P94" s="127" t="s">
        <v>1200</v>
      </c>
      <c r="Q94" s="128">
        <v>65.313500000000005</v>
      </c>
      <c r="R94" s="128">
        <v>65.313500000000005</v>
      </c>
      <c r="S94" s="128">
        <v>84349</v>
      </c>
      <c r="T94" s="127" t="s">
        <v>55</v>
      </c>
      <c r="U94" s="127" t="s">
        <v>889</v>
      </c>
      <c r="V94" s="129">
        <v>43189</v>
      </c>
      <c r="W94" s="128">
        <v>65.316200000000009</v>
      </c>
      <c r="X94" s="128">
        <v>65.316193855003903</v>
      </c>
      <c r="Y94" s="128">
        <v>-2.7000000000000001E-3</v>
      </c>
      <c r="Z94" s="128">
        <v>-4.1337371126917996E-3</v>
      </c>
      <c r="AA94" s="128">
        <v>-1.5088000000000001</v>
      </c>
      <c r="AB94" s="128">
        <v>-2.7218648204199998E-3</v>
      </c>
      <c r="AC94" s="128">
        <v>-4.1672128453508804E-3</v>
      </c>
      <c r="AD94" s="128">
        <v>-1.5210000000000001</v>
      </c>
      <c r="AE94" s="127" t="s">
        <v>55</v>
      </c>
      <c r="AF94" s="127" t="s">
        <v>7</v>
      </c>
      <c r="AH94" s="127" t="s">
        <v>882</v>
      </c>
      <c r="AI94" s="127" t="s">
        <v>1424</v>
      </c>
      <c r="AL94" s="139">
        <f t="shared" si="2"/>
        <v>160.35942715499999</v>
      </c>
      <c r="AN94" s="127" t="b">
        <f t="shared" si="3"/>
        <v>1</v>
      </c>
    </row>
    <row r="95" spans="1:40" ht="12.75" hidden="1" customHeight="1">
      <c r="A95" s="127" t="str">
        <f>+VLOOKUP(C95,'code mapping'!A:C,3,0)</f>
        <v>LIC28</v>
      </c>
      <c r="B95" s="127" t="s">
        <v>1425</v>
      </c>
      <c r="C95" s="127" t="s">
        <v>783</v>
      </c>
      <c r="D95" s="127" t="s">
        <v>103</v>
      </c>
      <c r="E95" s="128">
        <v>13247308.282</v>
      </c>
      <c r="F95" s="128">
        <v>229180471.69999999</v>
      </c>
      <c r="G95" s="128">
        <v>17.300153874383899</v>
      </c>
      <c r="H95" s="128">
        <v>1603594271.55</v>
      </c>
      <c r="I95" s="128">
        <v>17.3002</v>
      </c>
      <c r="J95" s="129">
        <v>43190</v>
      </c>
      <c r="K95" s="127" t="s">
        <v>1426</v>
      </c>
      <c r="L95" s="127" t="s">
        <v>1427</v>
      </c>
      <c r="M95" s="127" t="s">
        <v>1417</v>
      </c>
      <c r="N95" s="127" t="s">
        <v>1428</v>
      </c>
      <c r="O95" s="127" t="s">
        <v>879</v>
      </c>
      <c r="P95" s="127" t="s">
        <v>1200</v>
      </c>
      <c r="Q95" s="128">
        <v>17.3002</v>
      </c>
      <c r="R95" s="128">
        <v>17.3002</v>
      </c>
      <c r="S95" s="128">
        <v>84346</v>
      </c>
      <c r="T95" s="127" t="s">
        <v>55</v>
      </c>
      <c r="U95" s="127" t="s">
        <v>895</v>
      </c>
      <c r="V95" s="129">
        <v>43189</v>
      </c>
      <c r="W95" s="128">
        <v>17.301300000000001</v>
      </c>
      <c r="X95" s="128">
        <v>17.301344613639301</v>
      </c>
      <c r="Y95" s="128">
        <v>-1.1000000000000001E-3</v>
      </c>
      <c r="Z95" s="128">
        <v>-6.3579037413373611E-3</v>
      </c>
      <c r="AA95" s="128">
        <v>-2.3206000000000002</v>
      </c>
      <c r="AB95" s="128">
        <v>-1.1907392554199999E-3</v>
      </c>
      <c r="AC95" s="128">
        <v>-6.8823509502336311E-3</v>
      </c>
      <c r="AD95" s="128">
        <v>-2.5121000000000002</v>
      </c>
      <c r="AE95" s="127" t="s">
        <v>55</v>
      </c>
      <c r="AF95" s="127" t="s">
        <v>7</v>
      </c>
      <c r="AH95" s="127" t="s">
        <v>896</v>
      </c>
      <c r="AI95" s="127" t="s">
        <v>1429</v>
      </c>
      <c r="AL95" s="139">
        <f t="shared" si="2"/>
        <v>160.35942715499999</v>
      </c>
      <c r="AN95" s="127" t="b">
        <f t="shared" si="3"/>
        <v>1</v>
      </c>
    </row>
    <row r="96" spans="1:40" ht="12.75" hidden="1" customHeight="1">
      <c r="A96" s="127" t="str">
        <f>+VLOOKUP(C96,'code mapping'!A:C,3,0)</f>
        <v>LIC28</v>
      </c>
      <c r="B96" s="127" t="s">
        <v>1430</v>
      </c>
      <c r="C96" s="127" t="s">
        <v>783</v>
      </c>
      <c r="D96" s="127" t="s">
        <v>105</v>
      </c>
      <c r="E96" s="128">
        <v>20760718.215</v>
      </c>
      <c r="F96" s="128">
        <v>1292865571.4400001</v>
      </c>
      <c r="G96" s="128">
        <v>62.274607171628595</v>
      </c>
      <c r="H96" s="128">
        <v>1603594271.55</v>
      </c>
      <c r="I96" s="128">
        <v>62.2746</v>
      </c>
      <c r="J96" s="129">
        <v>43190</v>
      </c>
      <c r="K96" s="127" t="s">
        <v>1431</v>
      </c>
      <c r="L96" s="127" t="s">
        <v>1432</v>
      </c>
      <c r="M96" s="127" t="s">
        <v>1417</v>
      </c>
      <c r="N96" s="127" t="s">
        <v>1433</v>
      </c>
      <c r="O96" s="127" t="s">
        <v>879</v>
      </c>
      <c r="P96" s="127" t="s">
        <v>1200</v>
      </c>
      <c r="Q96" s="128">
        <v>62.2746</v>
      </c>
      <c r="R96" s="128">
        <v>62.2746</v>
      </c>
      <c r="S96" s="128">
        <v>84347</v>
      </c>
      <c r="T96" s="127" t="s">
        <v>55</v>
      </c>
      <c r="U96" s="127" t="s">
        <v>902</v>
      </c>
      <c r="V96" s="129">
        <v>43189</v>
      </c>
      <c r="W96" s="128">
        <v>62.2789</v>
      </c>
      <c r="X96" s="128">
        <v>62.278893423630095</v>
      </c>
      <c r="Y96" s="128">
        <v>-4.3E-3</v>
      </c>
      <c r="Z96" s="128">
        <v>-6.9044250942132904E-3</v>
      </c>
      <c r="AA96" s="128">
        <v>-2.5201000000000002</v>
      </c>
      <c r="AB96" s="128">
        <v>-4.2862520014300002E-3</v>
      </c>
      <c r="AC96" s="128">
        <v>-6.8823509311160902E-3</v>
      </c>
      <c r="AD96" s="128">
        <v>-2.5121000000000002</v>
      </c>
      <c r="AE96" s="127" t="s">
        <v>55</v>
      </c>
      <c r="AF96" s="127" t="s">
        <v>7</v>
      </c>
      <c r="AH96" s="127" t="s">
        <v>896</v>
      </c>
      <c r="AI96" s="127" t="s">
        <v>1434</v>
      </c>
      <c r="AL96" s="139">
        <f t="shared" si="2"/>
        <v>160.35942715499999</v>
      </c>
      <c r="AN96" s="127" t="b">
        <f t="shared" si="3"/>
        <v>1</v>
      </c>
    </row>
    <row r="97" spans="1:40" ht="12.75" hidden="1" customHeight="1">
      <c r="A97" s="127" t="str">
        <f>+VLOOKUP(C97,'code mapping'!A:C,3,0)</f>
        <v>LIC175</v>
      </c>
      <c r="B97" s="127" t="s">
        <v>1435</v>
      </c>
      <c r="C97" s="127" t="s">
        <v>784</v>
      </c>
      <c r="D97" s="127" t="s">
        <v>1008</v>
      </c>
      <c r="E97" s="128">
        <v>42835671</v>
      </c>
      <c r="F97" s="128">
        <v>4432457870.9200001</v>
      </c>
      <c r="G97" s="128">
        <v>103.47585942846599</v>
      </c>
      <c r="H97" s="128">
        <v>4432457870.9200001</v>
      </c>
      <c r="I97" s="128">
        <v>103.4759</v>
      </c>
      <c r="J97" s="129">
        <v>43190</v>
      </c>
      <c r="K97" s="127" t="s">
        <v>1436</v>
      </c>
      <c r="L97" s="127" t="s">
        <v>1437</v>
      </c>
      <c r="M97" s="127" t="s">
        <v>1438</v>
      </c>
      <c r="N97" s="127" t="s">
        <v>1439</v>
      </c>
      <c r="O97" s="127" t="s">
        <v>879</v>
      </c>
      <c r="P97" s="127" t="s">
        <v>1200</v>
      </c>
      <c r="Q97" s="128">
        <v>103.4759</v>
      </c>
      <c r="R97" s="128">
        <v>103.4759</v>
      </c>
      <c r="S97" s="128">
        <v>84343</v>
      </c>
      <c r="T97" s="127" t="s">
        <v>785</v>
      </c>
      <c r="U97" s="127" t="s">
        <v>1013</v>
      </c>
      <c r="V97" s="129">
        <v>43189</v>
      </c>
      <c r="W97" s="128">
        <v>103.4761</v>
      </c>
      <c r="X97" s="128">
        <v>103.47609929327399</v>
      </c>
      <c r="Y97" s="128">
        <v>-2.0000000000000001E-4</v>
      </c>
      <c r="Z97" s="128">
        <v>-1.93281347093677E-4</v>
      </c>
      <c r="AA97" s="128">
        <v>-7.0500000000000007E-2</v>
      </c>
      <c r="AB97" s="128">
        <v>-2.39864808E-4</v>
      </c>
      <c r="AC97" s="128">
        <v>-2.3180696763623799E-4</v>
      </c>
      <c r="AD97" s="128">
        <v>-8.4600000000000009E-2</v>
      </c>
      <c r="AE97" s="127" t="s">
        <v>411</v>
      </c>
      <c r="AF97" s="127" t="s">
        <v>46</v>
      </c>
      <c r="AH97" s="127" t="s">
        <v>106</v>
      </c>
      <c r="AI97" s="127" t="s">
        <v>1440</v>
      </c>
      <c r="AJ97" s="127" t="s">
        <v>1441</v>
      </c>
      <c r="AK97" s="127" t="s">
        <v>1442</v>
      </c>
      <c r="AL97" s="139">
        <f t="shared" si="2"/>
        <v>443.245787092</v>
      </c>
      <c r="AN97" s="127" t="b">
        <f t="shared" si="3"/>
        <v>1</v>
      </c>
    </row>
    <row r="98" spans="1:40" ht="12.75" hidden="1" customHeight="1">
      <c r="A98" s="127" t="str">
        <f>+VLOOKUP(C98,'code mapping'!A:C,3,0)</f>
        <v>LIC176</v>
      </c>
      <c r="B98" s="127" t="s">
        <v>1443</v>
      </c>
      <c r="C98" s="127" t="s">
        <v>786</v>
      </c>
      <c r="D98" s="127" t="s">
        <v>1008</v>
      </c>
      <c r="E98" s="128">
        <v>9636513</v>
      </c>
      <c r="F98" s="128">
        <v>3267826832.5</v>
      </c>
      <c r="G98" s="128">
        <v>339.10884907227302</v>
      </c>
      <c r="H98" s="128">
        <v>3267826832.5</v>
      </c>
      <c r="I98" s="128">
        <v>339.10880000000003</v>
      </c>
      <c r="J98" s="129">
        <v>43190</v>
      </c>
      <c r="K98" s="127" t="s">
        <v>1444</v>
      </c>
      <c r="L98" s="127" t="s">
        <v>1445</v>
      </c>
      <c r="M98" s="127" t="s">
        <v>1446</v>
      </c>
      <c r="N98" s="127" t="s">
        <v>1447</v>
      </c>
      <c r="O98" s="127" t="s">
        <v>879</v>
      </c>
      <c r="P98" s="127" t="s">
        <v>1200</v>
      </c>
      <c r="Q98" s="128">
        <v>339.10880000000003</v>
      </c>
      <c r="R98" s="128">
        <v>339.10880000000003</v>
      </c>
      <c r="S98" s="128">
        <v>84344</v>
      </c>
      <c r="T98" s="127" t="s">
        <v>787</v>
      </c>
      <c r="U98" s="127" t="s">
        <v>1013</v>
      </c>
      <c r="V98" s="129">
        <v>43189</v>
      </c>
      <c r="W98" s="128">
        <v>339.10970000000003</v>
      </c>
      <c r="X98" s="128">
        <v>339.10969739780404</v>
      </c>
      <c r="Y98" s="128">
        <v>-9.0000000000000008E-4</v>
      </c>
      <c r="Z98" s="128">
        <v>-2.6540084226431699E-4</v>
      </c>
      <c r="AA98" s="128">
        <v>-9.69E-2</v>
      </c>
      <c r="AB98" s="128">
        <v>-8.4832553020000004E-4</v>
      </c>
      <c r="AC98" s="128">
        <v>-2.5016256884121004E-4</v>
      </c>
      <c r="AD98" s="128">
        <v>-9.1300000000000006E-2</v>
      </c>
      <c r="AE98" s="127" t="s">
        <v>412</v>
      </c>
      <c r="AF98" s="127" t="s">
        <v>47</v>
      </c>
      <c r="AH98" s="127" t="s">
        <v>106</v>
      </c>
      <c r="AI98" s="127" t="s">
        <v>1448</v>
      </c>
      <c r="AJ98" s="127" t="s">
        <v>1449</v>
      </c>
      <c r="AK98" s="127" t="s">
        <v>1450</v>
      </c>
      <c r="AL98" s="139">
        <f t="shared" si="2"/>
        <v>326.78268324999999</v>
      </c>
      <c r="AN98" s="127" t="b">
        <f t="shared" si="3"/>
        <v>1</v>
      </c>
    </row>
    <row r="99" spans="1:40" ht="12.75" hidden="1" customHeight="1">
      <c r="A99" s="127" t="str">
        <f>+VLOOKUP(C99,'code mapping'!A:C,3,0)</f>
        <v>LIC02</v>
      </c>
      <c r="B99" s="127" t="s">
        <v>1451</v>
      </c>
      <c r="C99" s="127" t="s">
        <v>788</v>
      </c>
      <c r="D99" s="127" t="s">
        <v>874</v>
      </c>
      <c r="E99" s="128">
        <v>2999323.912</v>
      </c>
      <c r="F99" s="128">
        <v>53307812.859999999</v>
      </c>
      <c r="G99" s="128">
        <v>17.773276386295198</v>
      </c>
      <c r="H99" s="128">
        <v>2489305001.6199999</v>
      </c>
      <c r="I99" s="128">
        <v>17.773300000000003</v>
      </c>
      <c r="J99" s="129">
        <v>43190</v>
      </c>
      <c r="K99" s="127" t="s">
        <v>1452</v>
      </c>
      <c r="L99" s="127" t="s">
        <v>1453</v>
      </c>
      <c r="M99" s="127" t="s">
        <v>1454</v>
      </c>
      <c r="N99" s="127" t="s">
        <v>1455</v>
      </c>
      <c r="O99" s="127" t="s">
        <v>879</v>
      </c>
      <c r="P99" s="127" t="s">
        <v>1200</v>
      </c>
      <c r="Q99" s="128">
        <v>17.773300000000003</v>
      </c>
      <c r="R99" s="128">
        <v>17.773300000000003</v>
      </c>
      <c r="S99" s="128">
        <v>84318</v>
      </c>
      <c r="T99" s="127" t="s">
        <v>789</v>
      </c>
      <c r="U99" s="127" t="s">
        <v>881</v>
      </c>
      <c r="V99" s="129">
        <v>43189</v>
      </c>
      <c r="W99" s="128">
        <v>17.773400000000002</v>
      </c>
      <c r="X99" s="128">
        <v>17.773384810729997</v>
      </c>
      <c r="Y99" s="128">
        <v>-1E-4</v>
      </c>
      <c r="Z99" s="128">
        <v>-5.6263854974287401E-4</v>
      </c>
      <c r="AA99" s="128">
        <v>-0.2054</v>
      </c>
      <c r="AB99" s="128">
        <v>-1.0842443482E-4</v>
      </c>
      <c r="AC99" s="128">
        <v>-6.100381889809931E-4</v>
      </c>
      <c r="AD99" s="128">
        <v>-0.22270000000000001</v>
      </c>
      <c r="AE99" s="127" t="s">
        <v>1456</v>
      </c>
      <c r="AF99" s="127" t="s">
        <v>3</v>
      </c>
      <c r="AH99" s="127" t="s">
        <v>882</v>
      </c>
      <c r="AI99" s="127" t="s">
        <v>1457</v>
      </c>
      <c r="AL99" s="139">
        <f t="shared" si="2"/>
        <v>248.93050016199999</v>
      </c>
      <c r="AN99" s="127" t="b">
        <f t="shared" si="3"/>
        <v>1</v>
      </c>
    </row>
    <row r="100" spans="1:40" ht="12.75" hidden="1" customHeight="1">
      <c r="A100" s="127" t="str">
        <f>+VLOOKUP(C100,'code mapping'!A:C,3,0)</f>
        <v>LIC02</v>
      </c>
      <c r="B100" s="127" t="s">
        <v>1458</v>
      </c>
      <c r="C100" s="127" t="s">
        <v>788</v>
      </c>
      <c r="D100" s="127" t="s">
        <v>103</v>
      </c>
      <c r="E100" s="128">
        <v>142161419.27900001</v>
      </c>
      <c r="F100" s="128">
        <v>2435997188.7600002</v>
      </c>
      <c r="G100" s="128">
        <v>17.135430984824499</v>
      </c>
      <c r="H100" s="128">
        <v>2489305001.6199999</v>
      </c>
      <c r="I100" s="128">
        <v>17.135400000000001</v>
      </c>
      <c r="J100" s="129">
        <v>43190</v>
      </c>
      <c r="K100" s="127" t="s">
        <v>1459</v>
      </c>
      <c r="L100" s="127" t="s">
        <v>1460</v>
      </c>
      <c r="M100" s="127" t="s">
        <v>1454</v>
      </c>
      <c r="N100" s="127" t="s">
        <v>1461</v>
      </c>
      <c r="O100" s="127" t="s">
        <v>879</v>
      </c>
      <c r="P100" s="127" t="s">
        <v>1200</v>
      </c>
      <c r="Q100" s="128">
        <v>17.135400000000001</v>
      </c>
      <c r="R100" s="128">
        <v>17.135400000000001</v>
      </c>
      <c r="S100" s="128">
        <v>84317</v>
      </c>
      <c r="T100" s="127" t="s">
        <v>789</v>
      </c>
      <c r="U100" s="127" t="s">
        <v>895</v>
      </c>
      <c r="V100" s="129">
        <v>43189</v>
      </c>
      <c r="W100" s="128">
        <v>17.136100000000003</v>
      </c>
      <c r="X100" s="128">
        <v>17.136055921396199</v>
      </c>
      <c r="Y100" s="128">
        <v>-6.9999999999999988E-4</v>
      </c>
      <c r="Z100" s="128">
        <v>-4.0849434818891099E-3</v>
      </c>
      <c r="AA100" s="128">
        <v>-1.4910000000000003</v>
      </c>
      <c r="AB100" s="128">
        <v>-6.2493657176E-4</v>
      </c>
      <c r="AC100" s="128">
        <v>-3.6469102028296903E-3</v>
      </c>
      <c r="AD100" s="128">
        <v>-1.3311000000000002</v>
      </c>
      <c r="AE100" s="127" t="s">
        <v>1456</v>
      </c>
      <c r="AF100" s="127" t="s">
        <v>3</v>
      </c>
      <c r="AH100" s="127" t="s">
        <v>896</v>
      </c>
      <c r="AI100" s="127" t="s">
        <v>1462</v>
      </c>
      <c r="AL100" s="139">
        <f t="shared" si="2"/>
        <v>248.93050016199999</v>
      </c>
      <c r="AN100" s="127" t="b">
        <f t="shared" si="3"/>
        <v>1</v>
      </c>
    </row>
    <row r="101" spans="1:40" ht="12.75" hidden="1" customHeight="1">
      <c r="A101" s="127" t="str">
        <f>+VLOOKUP(C101,'code mapping'!A:C,3,0)</f>
        <v>LIC36</v>
      </c>
      <c r="B101" s="127" t="s">
        <v>1463</v>
      </c>
      <c r="C101" s="127" t="s">
        <v>810</v>
      </c>
      <c r="D101" s="127" t="s">
        <v>874</v>
      </c>
      <c r="E101" s="128">
        <v>4441217.5669999998</v>
      </c>
      <c r="F101" s="128">
        <v>4876456888.5799999</v>
      </c>
      <c r="G101" s="128">
        <v>1098.00000000315</v>
      </c>
      <c r="H101" s="128">
        <v>90308481707.660004</v>
      </c>
      <c r="I101" s="128">
        <v>1098</v>
      </c>
      <c r="J101" s="129">
        <v>43190</v>
      </c>
      <c r="K101" s="127" t="s">
        <v>1464</v>
      </c>
      <c r="L101" s="127" t="s">
        <v>1465</v>
      </c>
      <c r="M101" s="127" t="s">
        <v>1466</v>
      </c>
      <c r="N101" s="127" t="s">
        <v>1467</v>
      </c>
      <c r="O101" s="127" t="s">
        <v>1468</v>
      </c>
      <c r="P101" s="127" t="s">
        <v>1469</v>
      </c>
      <c r="Q101" s="128">
        <v>1098</v>
      </c>
      <c r="R101" s="128">
        <v>1098</v>
      </c>
      <c r="S101" s="128">
        <v>84376</v>
      </c>
      <c r="T101" s="127" t="s">
        <v>60</v>
      </c>
      <c r="U101" s="127" t="s">
        <v>881</v>
      </c>
      <c r="V101" s="129">
        <v>43189</v>
      </c>
      <c r="W101" s="128">
        <v>1098</v>
      </c>
      <c r="X101" s="128">
        <v>1098.00000000676</v>
      </c>
      <c r="Y101" s="128">
        <v>0</v>
      </c>
      <c r="Z101" s="128">
        <v>0</v>
      </c>
      <c r="AA101" s="128">
        <v>0</v>
      </c>
      <c r="AB101" s="128">
        <v>-3.6034899999999999E-9</v>
      </c>
      <c r="AC101" s="128">
        <v>-3.2818670309452006E-10</v>
      </c>
      <c r="AD101" s="128">
        <v>0</v>
      </c>
      <c r="AE101" s="127" t="s">
        <v>60</v>
      </c>
      <c r="AF101" s="127" t="s">
        <v>12</v>
      </c>
      <c r="AH101" s="127" t="s">
        <v>882</v>
      </c>
      <c r="AI101" s="127" t="s">
        <v>1470</v>
      </c>
      <c r="AL101" s="139">
        <f t="shared" si="2"/>
        <v>9030.8481707660012</v>
      </c>
      <c r="AN101" s="127" t="b">
        <f t="shared" si="3"/>
        <v>1</v>
      </c>
    </row>
    <row r="102" spans="1:40" ht="12.75" hidden="1" customHeight="1">
      <c r="A102" s="127" t="str">
        <f>+VLOOKUP(C102,'code mapping'!A:C,3,0)</f>
        <v>LIC36</v>
      </c>
      <c r="B102" s="127" t="s">
        <v>1471</v>
      </c>
      <c r="C102" s="127" t="s">
        <v>810</v>
      </c>
      <c r="D102" s="127" t="s">
        <v>885</v>
      </c>
      <c r="E102" s="128">
        <v>22517519.379112002</v>
      </c>
      <c r="F102" s="128">
        <v>70964904187.490005</v>
      </c>
      <c r="G102" s="128">
        <v>3151.5418280629701</v>
      </c>
      <c r="H102" s="128">
        <v>90308481707.660004</v>
      </c>
      <c r="I102" s="128">
        <v>3151.5418</v>
      </c>
      <c r="J102" s="129">
        <v>43190</v>
      </c>
      <c r="K102" s="127" t="s">
        <v>1472</v>
      </c>
      <c r="L102" s="127" t="s">
        <v>1473</v>
      </c>
      <c r="M102" s="127" t="s">
        <v>1466</v>
      </c>
      <c r="N102" s="127" t="s">
        <v>1474</v>
      </c>
      <c r="O102" s="127" t="s">
        <v>1468</v>
      </c>
      <c r="P102" s="127" t="s">
        <v>1469</v>
      </c>
      <c r="Q102" s="128">
        <v>3151.5418</v>
      </c>
      <c r="R102" s="128">
        <v>3151.5418</v>
      </c>
      <c r="S102" s="128">
        <v>84377</v>
      </c>
      <c r="T102" s="127" t="s">
        <v>60</v>
      </c>
      <c r="U102" s="127" t="s">
        <v>889</v>
      </c>
      <c r="V102" s="129">
        <v>43189</v>
      </c>
      <c r="W102" s="128">
        <v>3150.94</v>
      </c>
      <c r="X102" s="128">
        <v>3150.9399671420706</v>
      </c>
      <c r="Y102" s="128">
        <v>0.6018</v>
      </c>
      <c r="Z102" s="128">
        <v>1.90990625019835E-2</v>
      </c>
      <c r="AA102" s="128">
        <v>6.9711999999999996</v>
      </c>
      <c r="AB102" s="128">
        <v>0.60186092090462995</v>
      </c>
      <c r="AC102" s="128">
        <v>1.9100996121183603E-2</v>
      </c>
      <c r="AD102" s="128">
        <v>6.9719000000000007</v>
      </c>
      <c r="AE102" s="127" t="s">
        <v>60</v>
      </c>
      <c r="AF102" s="127" t="s">
        <v>12</v>
      </c>
      <c r="AH102" s="127" t="s">
        <v>882</v>
      </c>
      <c r="AI102" s="127" t="s">
        <v>1475</v>
      </c>
      <c r="AL102" s="139">
        <f t="shared" si="2"/>
        <v>9030.8481707660012</v>
      </c>
      <c r="AN102" s="127" t="b">
        <f t="shared" si="3"/>
        <v>1</v>
      </c>
    </row>
    <row r="103" spans="1:40" ht="12.75" hidden="1" customHeight="1">
      <c r="A103" s="127" t="str">
        <f>+VLOOKUP(C103,'code mapping'!A:C,3,0)</f>
        <v>LIC36</v>
      </c>
      <c r="B103" s="127" t="s">
        <v>1476</v>
      </c>
      <c r="C103" s="127" t="s">
        <v>810</v>
      </c>
      <c r="D103" s="127" t="s">
        <v>1073</v>
      </c>
      <c r="E103" s="128">
        <v>1071201.5460000001</v>
      </c>
      <c r="F103" s="128">
        <v>1176179297.8099999</v>
      </c>
      <c r="G103" s="128">
        <v>1098.0000002819302</v>
      </c>
      <c r="H103" s="128">
        <v>90308481707.660004</v>
      </c>
      <c r="I103" s="128">
        <v>1098</v>
      </c>
      <c r="J103" s="129">
        <v>43190</v>
      </c>
      <c r="K103" s="127" t="s">
        <v>1477</v>
      </c>
      <c r="L103" s="127" t="s">
        <v>1478</v>
      </c>
      <c r="M103" s="127" t="s">
        <v>1466</v>
      </c>
      <c r="N103" s="127" t="s">
        <v>1479</v>
      </c>
      <c r="O103" s="127" t="s">
        <v>1468</v>
      </c>
      <c r="P103" s="127" t="s">
        <v>1469</v>
      </c>
      <c r="Q103" s="128">
        <v>1098</v>
      </c>
      <c r="R103" s="128">
        <v>1098</v>
      </c>
      <c r="S103" s="128">
        <v>84374</v>
      </c>
      <c r="T103" s="127" t="s">
        <v>60</v>
      </c>
      <c r="U103" s="127" t="s">
        <v>1077</v>
      </c>
      <c r="V103" s="129">
        <v>43189</v>
      </c>
      <c r="W103" s="128">
        <v>1098</v>
      </c>
      <c r="X103" s="128">
        <v>1098.0000002894301</v>
      </c>
      <c r="Y103" s="128">
        <v>0</v>
      </c>
      <c r="Z103" s="128">
        <v>0</v>
      </c>
      <c r="AA103" s="128">
        <v>0</v>
      </c>
      <c r="AB103" s="128">
        <v>-7.5051300000000001E-9</v>
      </c>
      <c r="AC103" s="128">
        <v>-6.8352732222419506E-10</v>
      </c>
      <c r="AD103" s="128">
        <v>0</v>
      </c>
      <c r="AE103" s="127" t="s">
        <v>60</v>
      </c>
      <c r="AF103" s="127" t="s">
        <v>12</v>
      </c>
      <c r="AH103" s="127" t="s">
        <v>896</v>
      </c>
      <c r="AI103" s="127" t="s">
        <v>1480</v>
      </c>
      <c r="AL103" s="139">
        <f t="shared" si="2"/>
        <v>9030.8481707660012</v>
      </c>
      <c r="AN103" s="127" t="b">
        <f t="shared" si="3"/>
        <v>1</v>
      </c>
    </row>
    <row r="104" spans="1:40" ht="12.75" hidden="1" customHeight="1">
      <c r="A104" s="127" t="str">
        <f>+VLOOKUP(C104,'code mapping'!A:C,3,0)</f>
        <v>LIC36</v>
      </c>
      <c r="B104" s="127" t="s">
        <v>1481</v>
      </c>
      <c r="C104" s="127" t="s">
        <v>810</v>
      </c>
      <c r="D104" s="127" t="s">
        <v>105</v>
      </c>
      <c r="E104" s="128">
        <v>4238440.8820000002</v>
      </c>
      <c r="F104" s="128">
        <v>13290941333.780001</v>
      </c>
      <c r="G104" s="128">
        <v>3135.8090637112705</v>
      </c>
      <c r="H104" s="128">
        <v>90308481707.660004</v>
      </c>
      <c r="I104" s="128">
        <v>3135.8090999999999</v>
      </c>
      <c r="J104" s="129">
        <v>43190</v>
      </c>
      <c r="K104" s="127" t="s">
        <v>1482</v>
      </c>
      <c r="L104" s="127" t="s">
        <v>1483</v>
      </c>
      <c r="M104" s="127" t="s">
        <v>1466</v>
      </c>
      <c r="N104" s="127" t="s">
        <v>1484</v>
      </c>
      <c r="O104" s="127" t="s">
        <v>1468</v>
      </c>
      <c r="P104" s="127" t="s">
        <v>1469</v>
      </c>
      <c r="Q104" s="128">
        <v>3135.8090999999999</v>
      </c>
      <c r="R104" s="128">
        <v>3135.8090999999999</v>
      </c>
      <c r="S104" s="128">
        <v>84375</v>
      </c>
      <c r="T104" s="127" t="s">
        <v>60</v>
      </c>
      <c r="U104" s="127" t="s">
        <v>902</v>
      </c>
      <c r="V104" s="129">
        <v>43189</v>
      </c>
      <c r="W104" s="128">
        <v>3135.2222000000002</v>
      </c>
      <c r="X104" s="128">
        <v>3135.2222335137399</v>
      </c>
      <c r="Y104" s="128">
        <v>0.58689999999999998</v>
      </c>
      <c r="Z104" s="128">
        <v>1.87195663516289E-2</v>
      </c>
      <c r="AA104" s="128">
        <v>6.8326000000000002</v>
      </c>
      <c r="AB104" s="128">
        <v>0.58683019752922994</v>
      </c>
      <c r="AC104" s="128">
        <v>1.8717339755260402E-2</v>
      </c>
      <c r="AD104" s="128">
        <v>6.8318000000000003</v>
      </c>
      <c r="AE104" s="127" t="s">
        <v>60</v>
      </c>
      <c r="AF104" s="127" t="s">
        <v>12</v>
      </c>
      <c r="AH104" s="127" t="s">
        <v>896</v>
      </c>
      <c r="AI104" s="127" t="s">
        <v>1485</v>
      </c>
      <c r="AL104" s="139">
        <f t="shared" si="2"/>
        <v>9030.8481707660012</v>
      </c>
      <c r="AN104" s="127" t="b">
        <f t="shared" si="3"/>
        <v>1</v>
      </c>
    </row>
    <row r="105" spans="1:40" ht="12.75" hidden="1" customHeight="1">
      <c r="A105" s="127" t="str">
        <f>+VLOOKUP(C105,'code mapping'!A:C,3,0)</f>
        <v>LIC</v>
      </c>
      <c r="B105" s="127" t="s">
        <v>1486</v>
      </c>
      <c r="C105" s="127" t="s">
        <v>820</v>
      </c>
      <c r="D105" s="127" t="s">
        <v>1008</v>
      </c>
      <c r="E105" s="128">
        <v>629598575</v>
      </c>
      <c r="F105" s="128">
        <v>14457343151.91</v>
      </c>
      <c r="G105" s="128">
        <v>22.9627952253704</v>
      </c>
      <c r="H105" s="128">
        <v>14457343151.91</v>
      </c>
      <c r="I105" s="128">
        <v>22.962800000000001</v>
      </c>
      <c r="J105" s="129">
        <v>43190</v>
      </c>
      <c r="K105" s="127" t="s">
        <v>1487</v>
      </c>
      <c r="L105" s="127" t="s">
        <v>1487</v>
      </c>
      <c r="M105" s="127" t="s">
        <v>1488</v>
      </c>
      <c r="N105" s="127" t="s">
        <v>1487</v>
      </c>
      <c r="O105" s="127" t="s">
        <v>879</v>
      </c>
      <c r="P105" s="127" t="s">
        <v>880</v>
      </c>
      <c r="Q105" s="128">
        <v>22.962800000000001</v>
      </c>
      <c r="R105" s="128">
        <v>22.962800000000001</v>
      </c>
      <c r="S105" s="128">
        <v>84378</v>
      </c>
      <c r="T105" s="127" t="s">
        <v>821</v>
      </c>
      <c r="U105" s="127" t="s">
        <v>1013</v>
      </c>
      <c r="V105" s="129">
        <v>43189</v>
      </c>
      <c r="W105" s="128">
        <v>22.959</v>
      </c>
      <c r="X105" s="128">
        <v>22.958993524294399</v>
      </c>
      <c r="Y105" s="128">
        <v>3.8E-3</v>
      </c>
      <c r="Z105" s="128">
        <v>1.6551243521059304E-2</v>
      </c>
      <c r="AA105" s="128">
        <v>6.0411999999999999</v>
      </c>
      <c r="AB105" s="128">
        <v>3.8017010759600002E-3</v>
      </c>
      <c r="AC105" s="128">
        <v>1.65586573816364E-2</v>
      </c>
      <c r="AD105" s="128">
        <v>6.0439000000000007</v>
      </c>
      <c r="AE105" s="127" t="s">
        <v>1489</v>
      </c>
      <c r="AF105" s="127" t="s">
        <v>1490</v>
      </c>
      <c r="AH105" s="127" t="s">
        <v>106</v>
      </c>
      <c r="AL105" s="139">
        <f t="shared" si="2"/>
        <v>1445.734315191</v>
      </c>
      <c r="AN105" s="127" t="b">
        <f t="shared" si="3"/>
        <v>0</v>
      </c>
    </row>
    <row r="106" spans="1:40" ht="12.75" hidden="1" customHeight="1">
      <c r="A106" s="127" t="str">
        <f>+VLOOKUP(C106,'code mapping'!A:C,3,0)</f>
        <v>LIC</v>
      </c>
      <c r="B106" s="127" t="s">
        <v>1491</v>
      </c>
      <c r="C106" s="127" t="s">
        <v>822</v>
      </c>
      <c r="D106" s="127" t="s">
        <v>1492</v>
      </c>
      <c r="E106" s="128">
        <v>873212.90399999986</v>
      </c>
      <c r="F106" s="128">
        <v>9764706.7599999998</v>
      </c>
      <c r="G106" s="128">
        <v>11.182503963546599</v>
      </c>
      <c r="H106" s="128">
        <v>146758577.34999999</v>
      </c>
      <c r="I106" s="128">
        <v>11.182499999999999</v>
      </c>
      <c r="J106" s="129">
        <v>43190</v>
      </c>
      <c r="K106" s="127" t="s">
        <v>1487</v>
      </c>
      <c r="L106" s="127" t="s">
        <v>1493</v>
      </c>
      <c r="M106" s="127" t="s">
        <v>1494</v>
      </c>
      <c r="N106" s="127" t="s">
        <v>1487</v>
      </c>
      <c r="O106" s="127" t="s">
        <v>879</v>
      </c>
      <c r="P106" s="127" t="s">
        <v>880</v>
      </c>
      <c r="Q106" s="128">
        <v>11.182499999999999</v>
      </c>
      <c r="R106" s="128">
        <v>11.182499999999999</v>
      </c>
      <c r="S106" s="128">
        <v>84306</v>
      </c>
      <c r="T106" s="127" t="s">
        <v>823</v>
      </c>
      <c r="U106" s="127" t="s">
        <v>1495</v>
      </c>
      <c r="V106" s="129">
        <v>43189</v>
      </c>
      <c r="W106" s="128">
        <v>11.1805</v>
      </c>
      <c r="X106" s="128">
        <v>11.180516487191099</v>
      </c>
      <c r="Y106" s="128">
        <v>2E-3</v>
      </c>
      <c r="Z106" s="128">
        <v>1.7888287643665301E-2</v>
      </c>
      <c r="AA106" s="128">
        <v>6.5292000000000003</v>
      </c>
      <c r="AB106" s="128">
        <v>1.9874763554800002E-3</v>
      </c>
      <c r="AC106" s="128">
        <v>1.7776248152372397E-2</v>
      </c>
      <c r="AD106" s="128">
        <v>6.4883000000000006</v>
      </c>
      <c r="AE106" s="127" t="s">
        <v>1496</v>
      </c>
      <c r="AF106" s="127" t="s">
        <v>1497</v>
      </c>
      <c r="AH106" s="127" t="s">
        <v>1498</v>
      </c>
      <c r="AL106" s="139">
        <f t="shared" si="2"/>
        <v>14.675857734999999</v>
      </c>
      <c r="AN106" s="127" t="b">
        <f t="shared" si="3"/>
        <v>0</v>
      </c>
    </row>
    <row r="107" spans="1:40" ht="12.75" hidden="1" customHeight="1">
      <c r="A107" s="127" t="str">
        <f>+VLOOKUP(C107,'code mapping'!A:C,3,0)</f>
        <v>LIC</v>
      </c>
      <c r="B107" s="127" t="s">
        <v>1499</v>
      </c>
      <c r="C107" s="127" t="s">
        <v>822</v>
      </c>
      <c r="D107" s="127" t="s">
        <v>1500</v>
      </c>
      <c r="E107" s="128">
        <v>2778077.0359999998</v>
      </c>
      <c r="F107" s="128">
        <v>27780770.390000001</v>
      </c>
      <c r="G107" s="128">
        <v>10.000000010798798</v>
      </c>
      <c r="H107" s="128">
        <v>146758577.34999999</v>
      </c>
      <c r="I107" s="128">
        <v>10</v>
      </c>
      <c r="J107" s="129">
        <v>43190</v>
      </c>
      <c r="K107" s="127" t="s">
        <v>1487</v>
      </c>
      <c r="L107" s="127" t="s">
        <v>1501</v>
      </c>
      <c r="M107" s="127" t="s">
        <v>1494</v>
      </c>
      <c r="N107" s="127" t="s">
        <v>1487</v>
      </c>
      <c r="O107" s="127" t="s">
        <v>879</v>
      </c>
      <c r="P107" s="127" t="s">
        <v>880</v>
      </c>
      <c r="Q107" s="128">
        <v>10</v>
      </c>
      <c r="R107" s="128">
        <v>10</v>
      </c>
      <c r="S107" s="128">
        <v>84308</v>
      </c>
      <c r="T107" s="127" t="s">
        <v>823</v>
      </c>
      <c r="U107" s="127" t="s">
        <v>1502</v>
      </c>
      <c r="V107" s="129">
        <v>43189</v>
      </c>
      <c r="W107" s="128">
        <v>10</v>
      </c>
      <c r="X107" s="128">
        <v>10.0000000143985</v>
      </c>
      <c r="Y107" s="128">
        <v>0</v>
      </c>
      <c r="Z107" s="128">
        <v>0</v>
      </c>
      <c r="AA107" s="128">
        <v>0</v>
      </c>
      <c r="AB107" s="128">
        <v>-3.5996100000000001E-9</v>
      </c>
      <c r="AC107" s="128">
        <v>-3.5996099948171204E-8</v>
      </c>
      <c r="AD107" s="128">
        <v>0</v>
      </c>
      <c r="AE107" s="127" t="s">
        <v>1496</v>
      </c>
      <c r="AF107" s="127" t="s">
        <v>1497</v>
      </c>
      <c r="AH107" s="127" t="s">
        <v>1498</v>
      </c>
      <c r="AL107" s="139">
        <f t="shared" si="2"/>
        <v>14.675857734999999</v>
      </c>
      <c r="AN107" s="127" t="b">
        <f t="shared" si="3"/>
        <v>0</v>
      </c>
    </row>
    <row r="108" spans="1:40" ht="12.75" hidden="1" customHeight="1">
      <c r="A108" s="127" t="str">
        <f>+VLOOKUP(C108,'code mapping'!A:C,3,0)</f>
        <v>LIC</v>
      </c>
      <c r="B108" s="127" t="s">
        <v>1503</v>
      </c>
      <c r="C108" s="127" t="s">
        <v>822</v>
      </c>
      <c r="D108" s="127" t="s">
        <v>1504</v>
      </c>
      <c r="E108" s="128">
        <v>3232546.7910000002</v>
      </c>
      <c r="F108" s="128">
        <v>36152829.509999998</v>
      </c>
      <c r="G108" s="128">
        <v>11.184008104896098</v>
      </c>
      <c r="H108" s="128">
        <v>146758577.34999999</v>
      </c>
      <c r="I108" s="128">
        <v>11.184000000000001</v>
      </c>
      <c r="J108" s="129">
        <v>43190</v>
      </c>
      <c r="K108" s="127" t="s">
        <v>1487</v>
      </c>
      <c r="L108" s="127" t="s">
        <v>1505</v>
      </c>
      <c r="M108" s="127" t="s">
        <v>1494</v>
      </c>
      <c r="N108" s="127" t="s">
        <v>1487</v>
      </c>
      <c r="O108" s="127" t="s">
        <v>879</v>
      </c>
      <c r="P108" s="127" t="s">
        <v>880</v>
      </c>
      <c r="Q108" s="128">
        <v>11.184000000000001</v>
      </c>
      <c r="R108" s="128">
        <v>11.184000000000001</v>
      </c>
      <c r="S108" s="128">
        <v>84307</v>
      </c>
      <c r="T108" s="127" t="s">
        <v>823</v>
      </c>
      <c r="U108" s="127" t="s">
        <v>1506</v>
      </c>
      <c r="V108" s="129">
        <v>43189</v>
      </c>
      <c r="W108" s="128">
        <v>11.182</v>
      </c>
      <c r="X108" s="128">
        <v>11.1820203595005</v>
      </c>
      <c r="Y108" s="128">
        <v>2E-3</v>
      </c>
      <c r="Z108" s="128">
        <v>1.7885888034340901E-2</v>
      </c>
      <c r="AA108" s="128">
        <v>6.5283000000000007</v>
      </c>
      <c r="AB108" s="128">
        <v>1.9877453956399999E-3</v>
      </c>
      <c r="AC108" s="128">
        <v>1.7776263427665501E-2</v>
      </c>
      <c r="AD108" s="128">
        <v>6.4883000000000006</v>
      </c>
      <c r="AE108" s="127" t="s">
        <v>1496</v>
      </c>
      <c r="AF108" s="127" t="s">
        <v>1497</v>
      </c>
      <c r="AH108" s="127" t="s">
        <v>1498</v>
      </c>
      <c r="AL108" s="139">
        <f t="shared" si="2"/>
        <v>14.675857734999999</v>
      </c>
      <c r="AN108" s="127" t="b">
        <f t="shared" si="3"/>
        <v>0</v>
      </c>
    </row>
    <row r="109" spans="1:40" ht="12.75" hidden="1" customHeight="1">
      <c r="A109" s="127" t="str">
        <f>+VLOOKUP(C109,'code mapping'!A:C,3,0)</f>
        <v>LIC</v>
      </c>
      <c r="B109" s="127" t="s">
        <v>1507</v>
      </c>
      <c r="C109" s="127" t="s">
        <v>822</v>
      </c>
      <c r="D109" s="127" t="s">
        <v>1508</v>
      </c>
      <c r="E109" s="128">
        <v>7306027.0639999993</v>
      </c>
      <c r="F109" s="128">
        <v>73060270.689999998</v>
      </c>
      <c r="G109" s="128">
        <v>10.000000006843701</v>
      </c>
      <c r="H109" s="128">
        <v>146758577.34999999</v>
      </c>
      <c r="I109" s="128">
        <v>10</v>
      </c>
      <c r="J109" s="129">
        <v>43190</v>
      </c>
      <c r="K109" s="127" t="s">
        <v>1487</v>
      </c>
      <c r="L109" s="127" t="s">
        <v>1509</v>
      </c>
      <c r="M109" s="127" t="s">
        <v>1494</v>
      </c>
      <c r="N109" s="127" t="s">
        <v>1487</v>
      </c>
      <c r="O109" s="127" t="s">
        <v>879</v>
      </c>
      <c r="P109" s="127" t="s">
        <v>880</v>
      </c>
      <c r="Q109" s="128">
        <v>10</v>
      </c>
      <c r="R109" s="128">
        <v>10</v>
      </c>
      <c r="S109" s="128">
        <v>84309</v>
      </c>
      <c r="T109" s="127" t="s">
        <v>823</v>
      </c>
      <c r="U109" s="127" t="s">
        <v>1510</v>
      </c>
      <c r="V109" s="129">
        <v>43189</v>
      </c>
      <c r="W109" s="128">
        <v>10</v>
      </c>
      <c r="X109" s="128">
        <v>10.000000010949901</v>
      </c>
      <c r="Y109" s="128">
        <v>0</v>
      </c>
      <c r="Z109" s="128">
        <v>0</v>
      </c>
      <c r="AA109" s="128">
        <v>0</v>
      </c>
      <c r="AB109" s="128">
        <v>-4.1061999999999997E-9</v>
      </c>
      <c r="AC109" s="128">
        <v>-4.1061999955037699E-8</v>
      </c>
      <c r="AD109" s="128">
        <v>0</v>
      </c>
      <c r="AE109" s="127" t="s">
        <v>1496</v>
      </c>
      <c r="AF109" s="127" t="s">
        <v>1497</v>
      </c>
      <c r="AH109" s="127" t="s">
        <v>1498</v>
      </c>
      <c r="AL109" s="139">
        <f t="shared" si="2"/>
        <v>14.675857734999999</v>
      </c>
      <c r="AN109" s="127" t="b">
        <f t="shared" si="3"/>
        <v>0</v>
      </c>
    </row>
    <row r="110" spans="1:40" ht="12.75" hidden="1" customHeight="1">
      <c r="B110" s="140">
        <v>43190</v>
      </c>
      <c r="C110" s="127" t="s">
        <v>1511</v>
      </c>
      <c r="D110" s="141">
        <v>0.81185185185313458</v>
      </c>
    </row>
    <row r="112" spans="1:40" ht="12.75" customHeight="1">
      <c r="E112" s="128">
        <v>2814798618.2589984</v>
      </c>
      <c r="F112" s="127">
        <f>+E112*10</f>
        <v>28147986182.589985</v>
      </c>
    </row>
    <row r="115" spans="5:6" ht="12.75" customHeight="1">
      <c r="E115" s="128">
        <f>+SUM(E101:E104)</f>
        <v>32268379.374111999</v>
      </c>
      <c r="F115" s="127">
        <f>+E115*1000</f>
        <v>32268379374.112</v>
      </c>
    </row>
    <row r="116" spans="5:6" ht="12.75" customHeight="1">
      <c r="F116" s="128">
        <f>+F112+F115</f>
        <v>60416365556.701981</v>
      </c>
    </row>
    <row r="119" spans="5:6" ht="12.75" customHeight="1">
      <c r="F119" s="128">
        <f>+F116/10000000</f>
        <v>6041.6365556701985</v>
      </c>
    </row>
  </sheetData>
  <autoFilter ref="A2:AL110" xr:uid="{00000000-0009-0000-0000-000006000000}">
    <filterColumn colId="2">
      <filters>
        <filter val="LERGS3"/>
      </filters>
    </filterColumn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C40"/>
  <sheetViews>
    <sheetView zoomScale="90" zoomScaleNormal="90" workbookViewId="0">
      <selection activeCell="C3" sqref="C3"/>
    </sheetView>
  </sheetViews>
  <sheetFormatPr defaultRowHeight="15"/>
  <cols>
    <col min="1" max="1" width="24.5703125" bestFit="1" customWidth="1"/>
    <col min="2" max="2" width="39" bestFit="1" customWidth="1"/>
    <col min="3" max="3" width="29.28515625" bestFit="1" customWidth="1"/>
  </cols>
  <sheetData>
    <row r="1" spans="1:3">
      <c r="A1" t="s">
        <v>824</v>
      </c>
      <c r="B1" t="s">
        <v>826</v>
      </c>
      <c r="C1" t="s">
        <v>825</v>
      </c>
    </row>
    <row r="2" spans="1:3">
      <c r="A2" s="122" t="s">
        <v>454</v>
      </c>
      <c r="B2" t="s">
        <v>57</v>
      </c>
      <c r="C2" t="s">
        <v>9</v>
      </c>
    </row>
    <row r="3" spans="1:3">
      <c r="A3" t="s">
        <v>589</v>
      </c>
      <c r="B3" t="s">
        <v>590</v>
      </c>
      <c r="C3" t="s">
        <v>25</v>
      </c>
    </row>
    <row r="4" spans="1:3">
      <c r="A4" t="s">
        <v>601</v>
      </c>
      <c r="B4" t="s">
        <v>602</v>
      </c>
      <c r="C4" t="s">
        <v>32</v>
      </c>
    </row>
    <row r="5" spans="1:3">
      <c r="A5" t="s">
        <v>603</v>
      </c>
      <c r="B5" t="s">
        <v>604</v>
      </c>
      <c r="C5" t="s">
        <v>34</v>
      </c>
    </row>
    <row r="6" spans="1:3">
      <c r="A6" t="s">
        <v>607</v>
      </c>
      <c r="B6" t="s">
        <v>608</v>
      </c>
      <c r="C6" t="s">
        <v>43</v>
      </c>
    </row>
    <row r="7" spans="1:3">
      <c r="A7" t="s">
        <v>614</v>
      </c>
      <c r="B7" t="s">
        <v>615</v>
      </c>
      <c r="C7" t="s">
        <v>44</v>
      </c>
    </row>
    <row r="8" spans="1:3">
      <c r="A8" t="s">
        <v>616</v>
      </c>
      <c r="B8" t="s">
        <v>617</v>
      </c>
      <c r="C8" t="s">
        <v>45</v>
      </c>
    </row>
    <row r="9" spans="1:3">
      <c r="A9" t="s">
        <v>618</v>
      </c>
      <c r="B9" t="s">
        <v>619</v>
      </c>
      <c r="C9" t="s">
        <v>39</v>
      </c>
    </row>
    <row r="10" spans="1:3">
      <c r="A10" t="s">
        <v>623</v>
      </c>
      <c r="B10" t="s">
        <v>624</v>
      </c>
      <c r="C10" t="s">
        <v>10</v>
      </c>
    </row>
    <row r="11" spans="1:3">
      <c r="A11" t="s">
        <v>641</v>
      </c>
      <c r="B11" t="s">
        <v>642</v>
      </c>
      <c r="C11" t="s">
        <v>16</v>
      </c>
    </row>
    <row r="12" spans="1:3">
      <c r="A12" t="s">
        <v>700</v>
      </c>
      <c r="B12" t="s">
        <v>56</v>
      </c>
      <c r="C12" t="s">
        <v>8</v>
      </c>
    </row>
    <row r="13" spans="1:3">
      <c r="A13" t="s">
        <v>729</v>
      </c>
      <c r="B13" t="s">
        <v>63</v>
      </c>
      <c r="C13" t="s">
        <v>15</v>
      </c>
    </row>
    <row r="14" spans="1:3">
      <c r="A14" t="s">
        <v>746</v>
      </c>
      <c r="B14" t="s">
        <v>228</v>
      </c>
      <c r="C14" t="s">
        <v>4</v>
      </c>
    </row>
    <row r="15" spans="1:3">
      <c r="A15" t="s">
        <v>750</v>
      </c>
      <c r="B15" t="s">
        <v>751</v>
      </c>
      <c r="C15" t="s">
        <v>42</v>
      </c>
    </row>
    <row r="16" spans="1:3">
      <c r="A16" t="s">
        <v>752</v>
      </c>
      <c r="B16" t="s">
        <v>753</v>
      </c>
      <c r="C16" t="s">
        <v>11</v>
      </c>
    </row>
    <row r="17" spans="1:3" s="119" customFormat="1">
      <c r="A17" s="119" t="s">
        <v>758</v>
      </c>
      <c r="B17" s="119" t="s">
        <v>759</v>
      </c>
      <c r="C17" s="119" t="s">
        <v>33</v>
      </c>
    </row>
    <row r="18" spans="1:3" s="119" customFormat="1">
      <c r="A18" s="119" t="s">
        <v>760</v>
      </c>
      <c r="B18" s="119" t="s">
        <v>761</v>
      </c>
      <c r="C18" s="119" t="s">
        <v>37</v>
      </c>
    </row>
    <row r="19" spans="1:3">
      <c r="A19" t="s">
        <v>762</v>
      </c>
      <c r="B19" t="s">
        <v>226</v>
      </c>
      <c r="C19" t="s">
        <v>5</v>
      </c>
    </row>
    <row r="20" spans="1:3">
      <c r="A20" t="s">
        <v>763</v>
      </c>
      <c r="B20" t="s">
        <v>227</v>
      </c>
      <c r="C20" t="s">
        <v>6</v>
      </c>
    </row>
    <row r="21" spans="1:3">
      <c r="A21" t="s">
        <v>764</v>
      </c>
      <c r="B21" t="s">
        <v>765</v>
      </c>
      <c r="C21" t="s">
        <v>17</v>
      </c>
    </row>
    <row r="22" spans="1:3">
      <c r="A22" t="s">
        <v>766</v>
      </c>
      <c r="B22" t="s">
        <v>767</v>
      </c>
      <c r="C22" t="s">
        <v>14</v>
      </c>
    </row>
    <row r="23" spans="1:3">
      <c r="A23" t="s">
        <v>769</v>
      </c>
      <c r="B23" t="s">
        <v>770</v>
      </c>
      <c r="C23" t="s">
        <v>13</v>
      </c>
    </row>
    <row r="24" spans="1:3">
      <c r="A24" t="s">
        <v>773</v>
      </c>
      <c r="B24" t="s">
        <v>774</v>
      </c>
      <c r="C24" t="s">
        <v>41</v>
      </c>
    </row>
    <row r="25" spans="1:3" s="119" customFormat="1">
      <c r="A25" s="119" t="s">
        <v>776</v>
      </c>
      <c r="B25" s="119" t="s">
        <v>777</v>
      </c>
      <c r="C25" s="119" t="s">
        <v>40</v>
      </c>
    </row>
    <row r="26" spans="1:3">
      <c r="A26" t="s">
        <v>778</v>
      </c>
      <c r="B26" t="s">
        <v>779</v>
      </c>
      <c r="C26" t="s">
        <v>48</v>
      </c>
    </row>
    <row r="27" spans="1:3">
      <c r="A27" t="s">
        <v>783</v>
      </c>
      <c r="B27" t="s">
        <v>55</v>
      </c>
      <c r="C27" t="s">
        <v>7</v>
      </c>
    </row>
    <row r="28" spans="1:3">
      <c r="A28" t="s">
        <v>784</v>
      </c>
      <c r="B28" t="s">
        <v>785</v>
      </c>
      <c r="C28" t="s">
        <v>46</v>
      </c>
    </row>
    <row r="29" spans="1:3">
      <c r="A29" t="s">
        <v>786</v>
      </c>
      <c r="B29" t="s">
        <v>787</v>
      </c>
      <c r="C29" t="s">
        <v>47</v>
      </c>
    </row>
    <row r="30" spans="1:3">
      <c r="A30" t="s">
        <v>788</v>
      </c>
      <c r="B30" t="s">
        <v>789</v>
      </c>
      <c r="C30" t="s">
        <v>3</v>
      </c>
    </row>
    <row r="31" spans="1:3">
      <c r="A31" s="119" t="s">
        <v>796</v>
      </c>
      <c r="B31" s="119" t="s">
        <v>797</v>
      </c>
      <c r="C31" s="118" t="s">
        <v>20</v>
      </c>
    </row>
    <row r="32" spans="1:3">
      <c r="A32" s="119" t="s">
        <v>798</v>
      </c>
      <c r="B32" s="119" t="s">
        <v>799</v>
      </c>
      <c r="C32" s="118" t="s">
        <v>19</v>
      </c>
    </row>
    <row r="33" spans="1:3">
      <c r="A33" s="119" t="s">
        <v>800</v>
      </c>
      <c r="B33" s="119" t="s">
        <v>801</v>
      </c>
      <c r="C33" s="118" t="s">
        <v>18</v>
      </c>
    </row>
    <row r="34" spans="1:3">
      <c r="A34" s="119" t="s">
        <v>802</v>
      </c>
      <c r="B34" s="119" t="s">
        <v>803</v>
      </c>
      <c r="C34" s="118" t="s">
        <v>21</v>
      </c>
    </row>
    <row r="35" spans="1:3">
      <c r="A35" t="s">
        <v>804</v>
      </c>
      <c r="B35" t="s">
        <v>805</v>
      </c>
      <c r="C35" t="s">
        <v>35</v>
      </c>
    </row>
    <row r="36" spans="1:3">
      <c r="A36" t="s">
        <v>806</v>
      </c>
      <c r="B36" t="s">
        <v>807</v>
      </c>
      <c r="C36" t="s">
        <v>36</v>
      </c>
    </row>
    <row r="37" spans="1:3">
      <c r="A37" t="s">
        <v>808</v>
      </c>
      <c r="B37" t="s">
        <v>809</v>
      </c>
      <c r="C37" t="s">
        <v>38</v>
      </c>
    </row>
    <row r="38" spans="1:3">
      <c r="A38" t="s">
        <v>810</v>
      </c>
      <c r="B38" t="s">
        <v>60</v>
      </c>
      <c r="C38" t="s">
        <v>12</v>
      </c>
    </row>
    <row r="39" spans="1:3">
      <c r="A39" t="s">
        <v>820</v>
      </c>
      <c r="B39" t="s">
        <v>821</v>
      </c>
      <c r="C39" t="s">
        <v>453</v>
      </c>
    </row>
    <row r="40" spans="1:3">
      <c r="A40" t="s">
        <v>822</v>
      </c>
      <c r="B40" t="s">
        <v>823</v>
      </c>
      <c r="C40" t="s">
        <v>453</v>
      </c>
    </row>
  </sheetData>
  <autoFilter ref="A1:C3163" xr:uid="{00000000-0009-0000-0000-000007000000}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D97"/>
  <sheetViews>
    <sheetView workbookViewId="0"/>
  </sheetViews>
  <sheetFormatPr defaultRowHeight="15"/>
  <cols>
    <col min="1" max="1" width="12.42578125" bestFit="1" customWidth="1"/>
    <col min="2" max="2" width="41.42578125" bestFit="1" customWidth="1"/>
    <col min="3" max="3" width="13.5703125" bestFit="1" customWidth="1"/>
    <col min="4" max="4" width="39.140625" bestFit="1" customWidth="1"/>
  </cols>
  <sheetData>
    <row r="1" spans="1:4">
      <c r="A1" t="s">
        <v>437</v>
      </c>
      <c r="B1" t="s">
        <v>436</v>
      </c>
      <c r="C1" t="s">
        <v>828</v>
      </c>
      <c r="D1" t="s">
        <v>829</v>
      </c>
    </row>
    <row r="2" spans="1:4">
      <c r="A2" s="214" t="s">
        <v>1711</v>
      </c>
      <c r="B2" s="214" t="s">
        <v>1606</v>
      </c>
    </row>
    <row r="3" spans="1:4">
      <c r="A3" s="214" t="s">
        <v>1712</v>
      </c>
      <c r="B3" s="214" t="s">
        <v>1612</v>
      </c>
    </row>
    <row r="4" spans="1:4">
      <c r="A4" s="214" t="s">
        <v>1713</v>
      </c>
      <c r="B4" s="214" t="s">
        <v>1615</v>
      </c>
    </row>
    <row r="5" spans="1:4">
      <c r="A5" s="214" t="s">
        <v>1714</v>
      </c>
      <c r="B5" s="214" t="s">
        <v>1782</v>
      </c>
    </row>
    <row r="6" spans="1:4">
      <c r="A6" s="214" t="s">
        <v>1715</v>
      </c>
      <c r="B6" s="214" t="s">
        <v>1621</v>
      </c>
    </row>
    <row r="7" spans="1:4">
      <c r="A7" s="214" t="s">
        <v>1716</v>
      </c>
      <c r="B7" s="214" t="s">
        <v>1704</v>
      </c>
    </row>
    <row r="8" spans="1:4">
      <c r="A8" s="214" t="s">
        <v>1717</v>
      </c>
      <c r="B8" s="214" t="s">
        <v>1624</v>
      </c>
    </row>
    <row r="9" spans="1:4">
      <c r="A9" s="214" t="s">
        <v>1718</v>
      </c>
      <c r="B9" s="214" t="s">
        <v>1625</v>
      </c>
    </row>
    <row r="10" spans="1:4">
      <c r="A10" s="214" t="s">
        <v>1719</v>
      </c>
      <c r="B10" s="214" t="s">
        <v>1783</v>
      </c>
    </row>
    <row r="11" spans="1:4">
      <c r="A11" s="214" t="s">
        <v>1720</v>
      </c>
      <c r="B11" s="214" t="s">
        <v>1626</v>
      </c>
    </row>
    <row r="12" spans="1:4">
      <c r="A12" s="214" t="s">
        <v>1721</v>
      </c>
      <c r="B12" s="214" t="s">
        <v>1627</v>
      </c>
    </row>
    <row r="13" spans="1:4">
      <c r="A13" s="214" t="s">
        <v>1722</v>
      </c>
      <c r="B13" s="214" t="s">
        <v>1628</v>
      </c>
    </row>
    <row r="14" spans="1:4">
      <c r="A14" s="214" t="s">
        <v>1723</v>
      </c>
      <c r="B14" s="214" t="s">
        <v>1705</v>
      </c>
    </row>
    <row r="15" spans="1:4">
      <c r="A15" s="214" t="s">
        <v>1724</v>
      </c>
      <c r="B15" s="214" t="s">
        <v>1629</v>
      </c>
    </row>
    <row r="16" spans="1:4">
      <c r="A16" s="214" t="s">
        <v>1725</v>
      </c>
      <c r="B16" s="214" t="s">
        <v>1784</v>
      </c>
    </row>
    <row r="17" spans="1:2">
      <c r="A17" s="214" t="s">
        <v>1726</v>
      </c>
      <c r="B17" s="214" t="s">
        <v>1630</v>
      </c>
    </row>
    <row r="18" spans="1:2">
      <c r="A18" s="214" t="s">
        <v>1727</v>
      </c>
      <c r="B18" s="214" t="s">
        <v>1632</v>
      </c>
    </row>
    <row r="19" spans="1:2">
      <c r="A19" s="214" t="s">
        <v>1728</v>
      </c>
      <c r="B19" s="214" t="s">
        <v>1633</v>
      </c>
    </row>
    <row r="20" spans="1:2">
      <c r="A20" s="214" t="s">
        <v>1729</v>
      </c>
      <c r="B20" s="214" t="s">
        <v>1634</v>
      </c>
    </row>
    <row r="21" spans="1:2">
      <c r="A21" s="214" t="s">
        <v>1730</v>
      </c>
      <c r="B21" s="214" t="s">
        <v>1635</v>
      </c>
    </row>
    <row r="22" spans="1:2">
      <c r="A22" s="214" t="s">
        <v>1731</v>
      </c>
      <c r="B22" s="214" t="s">
        <v>1636</v>
      </c>
    </row>
    <row r="23" spans="1:2">
      <c r="A23" s="214" t="s">
        <v>1732</v>
      </c>
      <c r="B23" s="214" t="s">
        <v>1637</v>
      </c>
    </row>
    <row r="24" spans="1:2">
      <c r="A24" s="214" t="s">
        <v>1733</v>
      </c>
      <c r="B24" s="214" t="s">
        <v>1638</v>
      </c>
    </row>
    <row r="25" spans="1:2">
      <c r="A25" s="214" t="s">
        <v>1734</v>
      </c>
      <c r="B25" s="214" t="s">
        <v>1639</v>
      </c>
    </row>
    <row r="26" spans="1:2">
      <c r="A26" s="214" t="s">
        <v>1735</v>
      </c>
      <c r="B26" s="214" t="s">
        <v>1640</v>
      </c>
    </row>
    <row r="27" spans="1:2">
      <c r="A27" s="214" t="s">
        <v>1736</v>
      </c>
      <c r="B27" s="214" t="s">
        <v>1785</v>
      </c>
    </row>
    <row r="28" spans="1:2">
      <c r="A28" s="214" t="s">
        <v>1737</v>
      </c>
      <c r="B28" s="214" t="s">
        <v>1641</v>
      </c>
    </row>
    <row r="29" spans="1:2">
      <c r="A29" s="214" t="s">
        <v>1738</v>
      </c>
      <c r="B29" s="214" t="s">
        <v>1642</v>
      </c>
    </row>
    <row r="30" spans="1:2">
      <c r="A30" s="214" t="s">
        <v>1739</v>
      </c>
      <c r="B30" s="214" t="s">
        <v>1643</v>
      </c>
    </row>
    <row r="31" spans="1:2">
      <c r="A31" s="214" t="s">
        <v>1740</v>
      </c>
      <c r="B31" s="214" t="s">
        <v>1644</v>
      </c>
    </row>
    <row r="32" spans="1:2">
      <c r="A32" s="214" t="s">
        <v>1741</v>
      </c>
      <c r="B32" s="214" t="s">
        <v>1645</v>
      </c>
    </row>
    <row r="33" spans="1:3">
      <c r="A33" s="214" t="s">
        <v>1742</v>
      </c>
      <c r="B33" s="214" t="s">
        <v>1646</v>
      </c>
    </row>
    <row r="34" spans="1:3">
      <c r="A34" s="214" t="s">
        <v>1743</v>
      </c>
      <c r="B34" s="214" t="s">
        <v>1648</v>
      </c>
    </row>
    <row r="35" spans="1:3">
      <c r="A35" s="214" t="s">
        <v>1744</v>
      </c>
      <c r="B35" s="214" t="s">
        <v>1649</v>
      </c>
    </row>
    <row r="36" spans="1:3">
      <c r="A36" s="214" t="s">
        <v>1745</v>
      </c>
      <c r="B36" s="214" t="s">
        <v>1650</v>
      </c>
    </row>
    <row r="37" spans="1:3">
      <c r="A37" s="214" t="s">
        <v>1746</v>
      </c>
      <c r="B37" s="214" t="s">
        <v>1651</v>
      </c>
      <c r="C37" s="127" t="s">
        <v>515</v>
      </c>
    </row>
    <row r="38" spans="1:3">
      <c r="A38" s="214" t="s">
        <v>1747</v>
      </c>
      <c r="B38" s="214" t="s">
        <v>1652</v>
      </c>
      <c r="C38" s="127" t="s">
        <v>515</v>
      </c>
    </row>
    <row r="39" spans="1:3">
      <c r="A39" s="214" t="s">
        <v>1748</v>
      </c>
      <c r="B39" s="214" t="s">
        <v>1653</v>
      </c>
      <c r="C39" s="127" t="s">
        <v>515</v>
      </c>
    </row>
    <row r="40" spans="1:3">
      <c r="A40" s="214" t="s">
        <v>1749</v>
      </c>
      <c r="B40" s="214" t="s">
        <v>1654</v>
      </c>
      <c r="C40" s="127" t="s">
        <v>515</v>
      </c>
    </row>
    <row r="41" spans="1:3">
      <c r="A41" s="214" t="s">
        <v>1750</v>
      </c>
      <c r="B41" s="214" t="s">
        <v>1655</v>
      </c>
    </row>
    <row r="42" spans="1:3">
      <c r="A42" s="214" t="s">
        <v>1751</v>
      </c>
      <c r="B42" s="214" t="s">
        <v>1786</v>
      </c>
    </row>
    <row r="43" spans="1:3">
      <c r="A43" s="214" t="s">
        <v>1752</v>
      </c>
      <c r="B43" s="214" t="s">
        <v>1656</v>
      </c>
    </row>
    <row r="44" spans="1:3">
      <c r="A44" s="214" t="s">
        <v>1753</v>
      </c>
      <c r="B44" s="214" t="s">
        <v>1657</v>
      </c>
    </row>
    <row r="45" spans="1:3">
      <c r="A45" s="214" t="s">
        <v>1754</v>
      </c>
      <c r="B45" s="214" t="s">
        <v>1658</v>
      </c>
    </row>
    <row r="46" spans="1:3">
      <c r="A46" s="214" t="s">
        <v>1755</v>
      </c>
      <c r="B46" s="214" t="s">
        <v>1659</v>
      </c>
    </row>
    <row r="47" spans="1:3">
      <c r="A47" s="214" t="s">
        <v>1756</v>
      </c>
      <c r="B47" s="214" t="s">
        <v>1660</v>
      </c>
    </row>
    <row r="48" spans="1:3">
      <c r="A48" s="214" t="s">
        <v>1757</v>
      </c>
      <c r="B48" s="214" t="s">
        <v>1667</v>
      </c>
      <c r="C48">
        <v>5.2</v>
      </c>
    </row>
    <row r="49" spans="1:4">
      <c r="A49" s="214" t="s">
        <v>1758</v>
      </c>
      <c r="B49" s="214" t="s">
        <v>1787</v>
      </c>
      <c r="C49">
        <v>5.2</v>
      </c>
    </row>
    <row r="50" spans="1:4">
      <c r="A50" s="214" t="s">
        <v>1759</v>
      </c>
      <c r="B50" s="214" t="s">
        <v>1668</v>
      </c>
      <c r="C50">
        <v>5.5</v>
      </c>
    </row>
    <row r="51" spans="1:4">
      <c r="A51" s="214" t="s">
        <v>1760</v>
      </c>
      <c r="B51" s="214" t="s">
        <v>1702</v>
      </c>
      <c r="C51">
        <v>6.3</v>
      </c>
      <c r="D51">
        <v>6.1</v>
      </c>
    </row>
    <row r="52" spans="1:4">
      <c r="A52" s="214" t="s">
        <v>1761</v>
      </c>
      <c r="B52" s="214" t="s">
        <v>1788</v>
      </c>
      <c r="C52">
        <v>6.3</v>
      </c>
    </row>
    <row r="53" spans="1:4">
      <c r="A53" s="214" t="s">
        <v>1762</v>
      </c>
      <c r="B53" s="214" t="s">
        <v>1676</v>
      </c>
      <c r="C53">
        <v>6.3</v>
      </c>
    </row>
    <row r="54" spans="1:4">
      <c r="A54" s="214" t="s">
        <v>1763</v>
      </c>
      <c r="B54" s="214" t="s">
        <v>1677</v>
      </c>
      <c r="C54">
        <v>6.3</v>
      </c>
    </row>
    <row r="55" spans="1:4">
      <c r="A55" s="214" t="s">
        <v>1764</v>
      </c>
      <c r="B55" s="214" t="s">
        <v>1678</v>
      </c>
      <c r="C55">
        <v>6.3</v>
      </c>
    </row>
    <row r="56" spans="1:4">
      <c r="A56" s="214" t="s">
        <v>1765</v>
      </c>
      <c r="B56" s="214" t="s">
        <v>1679</v>
      </c>
      <c r="C56">
        <v>6.3</v>
      </c>
    </row>
    <row r="57" spans="1:4">
      <c r="A57" s="214" t="s">
        <v>1766</v>
      </c>
      <c r="B57" s="214" t="s">
        <v>1680</v>
      </c>
      <c r="C57">
        <v>6.3</v>
      </c>
    </row>
    <row r="58" spans="1:4">
      <c r="A58" s="214" t="s">
        <v>1767</v>
      </c>
      <c r="B58" s="214" t="s">
        <v>1682</v>
      </c>
      <c r="C58">
        <v>6.3</v>
      </c>
      <c r="D58">
        <v>6.1</v>
      </c>
    </row>
    <row r="59" spans="1:4">
      <c r="A59" s="214" t="s">
        <v>1768</v>
      </c>
      <c r="B59" s="214" t="s">
        <v>1683</v>
      </c>
      <c r="C59">
        <v>6.3</v>
      </c>
      <c r="D59">
        <v>6.1</v>
      </c>
    </row>
    <row r="60" spans="1:4">
      <c r="A60" s="214" t="s">
        <v>1769</v>
      </c>
      <c r="B60" s="214" t="s">
        <v>1684</v>
      </c>
      <c r="C60">
        <v>6.3</v>
      </c>
    </row>
    <row r="61" spans="1:4">
      <c r="A61" s="214" t="s">
        <v>1770</v>
      </c>
      <c r="B61" s="214" t="s">
        <v>1685</v>
      </c>
      <c r="C61">
        <v>6.3</v>
      </c>
    </row>
    <row r="62" spans="1:4">
      <c r="A62" s="214" t="s">
        <v>1771</v>
      </c>
      <c r="B62" s="214" t="s">
        <v>1686</v>
      </c>
      <c r="C62">
        <v>6.3</v>
      </c>
    </row>
    <row r="63" spans="1:4">
      <c r="A63" s="214" t="s">
        <v>1772</v>
      </c>
      <c r="B63" s="214" t="s">
        <v>1687</v>
      </c>
      <c r="C63">
        <v>6.3</v>
      </c>
    </row>
    <row r="64" spans="1:4">
      <c r="A64" s="214" t="s">
        <v>1773</v>
      </c>
      <c r="B64" s="214" t="s">
        <v>1688</v>
      </c>
      <c r="C64">
        <v>6.3</v>
      </c>
      <c r="D64">
        <v>6.2</v>
      </c>
    </row>
    <row r="65" spans="1:3">
      <c r="A65" s="214" t="s">
        <v>1774</v>
      </c>
      <c r="B65" s="214" t="s">
        <v>1689</v>
      </c>
      <c r="C65">
        <v>6.3</v>
      </c>
    </row>
    <row r="66" spans="1:3">
      <c r="A66" s="214" t="s">
        <v>1775</v>
      </c>
      <c r="B66" s="214" t="s">
        <v>1690</v>
      </c>
      <c r="C66">
        <v>6.3</v>
      </c>
    </row>
    <row r="67" spans="1:3">
      <c r="A67" s="214" t="s">
        <v>1776</v>
      </c>
      <c r="B67" s="214" t="s">
        <v>1789</v>
      </c>
      <c r="C67">
        <v>6.3</v>
      </c>
    </row>
    <row r="68" spans="1:3">
      <c r="A68" s="214" t="s">
        <v>1777</v>
      </c>
      <c r="B68" s="214" t="s">
        <v>1691</v>
      </c>
      <c r="C68">
        <v>6.3</v>
      </c>
    </row>
    <row r="69" spans="1:3">
      <c r="A69" s="214" t="s">
        <v>1778</v>
      </c>
      <c r="B69" s="214" t="s">
        <v>1692</v>
      </c>
      <c r="C69">
        <v>6.3</v>
      </c>
    </row>
    <row r="70" spans="1:3">
      <c r="A70" s="214" t="s">
        <v>1779</v>
      </c>
      <c r="B70" s="214" t="s">
        <v>1693</v>
      </c>
      <c r="C70">
        <v>6.3</v>
      </c>
    </row>
    <row r="71" spans="1:3">
      <c r="A71" s="214" t="s">
        <v>1780</v>
      </c>
      <c r="B71" s="214" t="s">
        <v>1694</v>
      </c>
      <c r="C71">
        <v>6.3</v>
      </c>
    </row>
    <row r="72" spans="1:3">
      <c r="A72" s="214" t="s">
        <v>1781</v>
      </c>
      <c r="B72" s="214" t="s">
        <v>1695</v>
      </c>
      <c r="C72">
        <v>6.3</v>
      </c>
    </row>
    <row r="73" spans="1:3">
      <c r="A73" s="214" t="s">
        <v>1790</v>
      </c>
      <c r="B73" s="214" t="s">
        <v>1611</v>
      </c>
    </row>
    <row r="74" spans="1:3">
      <c r="A74" s="214" t="s">
        <v>1791</v>
      </c>
      <c r="B74" s="214" t="s">
        <v>1792</v>
      </c>
    </row>
    <row r="75" spans="1:3">
      <c r="A75" s="214" t="s">
        <v>1793</v>
      </c>
      <c r="B75" s="214" t="s">
        <v>1613</v>
      </c>
    </row>
    <row r="76" spans="1:3">
      <c r="A76" s="214" t="s">
        <v>1794</v>
      </c>
      <c r="B76" s="214" t="s">
        <v>1620</v>
      </c>
    </row>
    <row r="77" spans="1:3">
      <c r="A77" s="214" t="s">
        <v>1795</v>
      </c>
      <c r="B77" s="214" t="s">
        <v>1631</v>
      </c>
    </row>
    <row r="78" spans="1:3">
      <c r="A78" s="214" t="s">
        <v>1796</v>
      </c>
      <c r="B78" s="214" t="s">
        <v>1797</v>
      </c>
    </row>
    <row r="79" spans="1:3">
      <c r="A79" s="214" t="s">
        <v>1798</v>
      </c>
      <c r="B79" s="214" t="s">
        <v>1647</v>
      </c>
    </row>
    <row r="80" spans="1:3">
      <c r="A80" s="214" t="s">
        <v>1799</v>
      </c>
      <c r="B80" s="214" t="s">
        <v>1800</v>
      </c>
    </row>
    <row r="81" spans="1:4">
      <c r="A81" s="214" t="s">
        <v>1801</v>
      </c>
      <c r="B81" s="214" t="s">
        <v>1802</v>
      </c>
    </row>
    <row r="82" spans="1:4">
      <c r="A82" s="214" t="s">
        <v>1803</v>
      </c>
      <c r="B82" s="214" t="s">
        <v>1665</v>
      </c>
      <c r="C82">
        <v>5.2</v>
      </c>
    </row>
    <row r="83" spans="1:4">
      <c r="A83" s="214" t="s">
        <v>1804</v>
      </c>
      <c r="B83" s="214" t="s">
        <v>1623</v>
      </c>
    </row>
    <row r="84" spans="1:4">
      <c r="A84" s="214" t="s">
        <v>1805</v>
      </c>
      <c r="B84" s="214" t="s">
        <v>1672</v>
      </c>
      <c r="C84">
        <v>6.3</v>
      </c>
      <c r="D84">
        <v>6.1</v>
      </c>
    </row>
    <row r="85" spans="1:4">
      <c r="A85" s="214" t="s">
        <v>1806</v>
      </c>
      <c r="B85" s="214" t="s">
        <v>1673</v>
      </c>
      <c r="C85">
        <v>6.3</v>
      </c>
      <c r="D85">
        <v>6.1</v>
      </c>
    </row>
    <row r="86" spans="1:4">
      <c r="A86" s="214" t="s">
        <v>1807</v>
      </c>
      <c r="B86" s="214" t="s">
        <v>1674</v>
      </c>
      <c r="C86">
        <v>6.3</v>
      </c>
      <c r="D86">
        <v>6.1</v>
      </c>
    </row>
    <row r="87" spans="1:4">
      <c r="A87" s="214" t="s">
        <v>1808</v>
      </c>
      <c r="B87" s="214" t="s">
        <v>1675</v>
      </c>
      <c r="C87">
        <v>6.3</v>
      </c>
      <c r="D87">
        <v>6.1</v>
      </c>
    </row>
    <row r="88" spans="1:4">
      <c r="A88" s="214" t="s">
        <v>1809</v>
      </c>
      <c r="B88" s="214" t="s">
        <v>1681</v>
      </c>
      <c r="C88">
        <v>6.3</v>
      </c>
      <c r="D88">
        <v>6.1</v>
      </c>
    </row>
    <row r="89" spans="1:4">
      <c r="A89" s="212" t="s">
        <v>1822</v>
      </c>
      <c r="B89" s="212" t="s">
        <v>1664</v>
      </c>
      <c r="C89">
        <v>5.2</v>
      </c>
    </row>
    <row r="90" spans="1:4">
      <c r="A90" s="212" t="s">
        <v>1823</v>
      </c>
      <c r="B90" s="212" t="s">
        <v>1701</v>
      </c>
      <c r="C90">
        <v>5.2</v>
      </c>
    </row>
    <row r="91" spans="1:4">
      <c r="A91" s="212" t="s">
        <v>1824</v>
      </c>
      <c r="B91" s="212" t="s">
        <v>1670</v>
      </c>
      <c r="C91">
        <v>5.3</v>
      </c>
    </row>
    <row r="92" spans="1:4">
      <c r="A92" s="212" t="s">
        <v>1825</v>
      </c>
      <c r="B92" s="212" t="s">
        <v>1671</v>
      </c>
      <c r="C92">
        <v>5.3</v>
      </c>
    </row>
    <row r="93" spans="1:4">
      <c r="A93" s="212" t="s">
        <v>1832</v>
      </c>
      <c r="B93" s="212" t="s">
        <v>1663</v>
      </c>
      <c r="C93">
        <v>5.0999999999999996</v>
      </c>
    </row>
    <row r="94" spans="1:4">
      <c r="A94" s="212" t="s">
        <v>1833</v>
      </c>
      <c r="B94" s="212" t="s">
        <v>1666</v>
      </c>
      <c r="C94">
        <v>5.3</v>
      </c>
    </row>
    <row r="95" spans="1:4">
      <c r="A95" s="212" t="s">
        <v>1834</v>
      </c>
      <c r="B95" s="212" t="s">
        <v>1706</v>
      </c>
      <c r="C95">
        <v>5.3</v>
      </c>
    </row>
    <row r="96" spans="1:4">
      <c r="A96" s="212" t="s">
        <v>1835</v>
      </c>
      <c r="B96" s="212" t="s">
        <v>1669</v>
      </c>
      <c r="C96">
        <v>5.3</v>
      </c>
    </row>
    <row r="97" spans="1:3">
      <c r="A97" s="212" t="s">
        <v>1836</v>
      </c>
      <c r="B97" s="212" t="s">
        <v>1707</v>
      </c>
      <c r="C97">
        <v>5.3</v>
      </c>
    </row>
  </sheetData>
  <autoFilter ref="A1:D88" xr:uid="{00000000-0009-0000-0000-000008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D185"/>
  <sheetViews>
    <sheetView workbookViewId="0">
      <selection activeCell="C38" sqref="C38"/>
    </sheetView>
  </sheetViews>
  <sheetFormatPr defaultRowHeight="15"/>
  <cols>
    <col min="1" max="1" width="8.42578125" bestFit="1" customWidth="1"/>
    <col min="2" max="2" width="31.140625" bestFit="1" customWidth="1"/>
    <col min="3" max="3" width="13.5703125" bestFit="1" customWidth="1"/>
    <col min="4" max="4" width="41.42578125" bestFit="1" customWidth="1"/>
  </cols>
  <sheetData>
    <row r="1" spans="1:4">
      <c r="A1" t="s">
        <v>437</v>
      </c>
      <c r="B1" t="s">
        <v>436</v>
      </c>
      <c r="C1" t="s">
        <v>828</v>
      </c>
      <c r="D1" t="s">
        <v>829</v>
      </c>
    </row>
    <row r="2" spans="1:4">
      <c r="A2">
        <v>412120</v>
      </c>
      <c r="B2" t="str">
        <f>+VLOOKUP(A2,'TB Mar18'!L:N,3,0)</f>
        <v>R/L G/P - Corp Bonds/Debenture</v>
      </c>
      <c r="C2">
        <v>5.3</v>
      </c>
    </row>
    <row r="3" spans="1:4">
      <c r="A3">
        <v>412130</v>
      </c>
      <c r="B3" t="str">
        <f>+VLOOKUP(A3,'TB Mar18'!L:N,3,0)</f>
        <v>R/L G/P - Government Bonds</v>
      </c>
      <c r="C3">
        <v>5.3</v>
      </c>
    </row>
    <row r="4" spans="1:4">
      <c r="A4">
        <v>412135</v>
      </c>
      <c r="B4" t="str">
        <f>+VLOOKUP(A4,'TB Mar18'!L:N,3,0)</f>
        <v>R/L G/P - SDLs</v>
      </c>
      <c r="C4">
        <v>5.3</v>
      </c>
    </row>
    <row r="5" spans="1:4">
      <c r="A5">
        <v>415102</v>
      </c>
      <c r="B5" t="str">
        <f>+VLOOKUP(A5,'TB Mar18'!L:N,3,0)</f>
        <v>Profit on Sale-Mutual Fd Units</v>
      </c>
      <c r="C5">
        <v>5.3</v>
      </c>
    </row>
    <row r="6" spans="1:4">
      <c r="A6">
        <v>427304</v>
      </c>
      <c r="B6" t="str">
        <f>+VLOOKUP(A6,'TB Mar18'!L:N,3,0)</f>
        <v>R/L Gain - Inter Sch Govt Bond</v>
      </c>
      <c r="C6">
        <v>5.4</v>
      </c>
    </row>
    <row r="7" spans="1:4">
      <c r="A7">
        <v>432120</v>
      </c>
      <c r="B7" t="str">
        <f>+VLOOKUP(A7,'TB Mar18'!L:N,3,0)</f>
        <v>UR/L G/P - Corp Bond/Debenture</v>
      </c>
      <c r="C7" t="s">
        <v>375</v>
      </c>
    </row>
    <row r="8" spans="1:4">
      <c r="A8">
        <v>432130</v>
      </c>
      <c r="B8" t="str">
        <f>+VLOOKUP(A8,'TB Mar18'!L:N,3,0)</f>
        <v>UR/L G/P - Government Bonds</v>
      </c>
      <c r="C8" t="s">
        <v>375</v>
      </c>
    </row>
    <row r="9" spans="1:4">
      <c r="A9">
        <v>432135</v>
      </c>
      <c r="B9" t="str">
        <f>+VLOOKUP(A9,'TB Mar18'!L:N,3,0)</f>
        <v>UR/L G/P-SDLs</v>
      </c>
      <c r="C9" t="s">
        <v>375</v>
      </c>
    </row>
    <row r="10" spans="1:4">
      <c r="A10">
        <v>452111</v>
      </c>
      <c r="B10" t="str">
        <f>+VLOOKUP(A10,'TB Mar18'!L:N,3,0)</f>
        <v>Interest Income - CCIL Margin</v>
      </c>
      <c r="C10">
        <v>5.2</v>
      </c>
    </row>
    <row r="11" spans="1:4">
      <c r="A11">
        <v>452120</v>
      </c>
      <c r="B11" t="str">
        <f>+VLOOKUP(A11,'TB Mar18'!L:N,3,0)</f>
        <v>Int Income - Corporate Bonds</v>
      </c>
      <c r="C11">
        <v>5.2</v>
      </c>
    </row>
    <row r="12" spans="1:4">
      <c r="A12">
        <v>452130</v>
      </c>
      <c r="B12" t="str">
        <f>+VLOOKUP(A12,'TB Mar18'!L:N,3,0)</f>
        <v>Int Income - Government Bonds</v>
      </c>
      <c r="C12">
        <v>5.2</v>
      </c>
    </row>
    <row r="13" spans="1:4">
      <c r="A13">
        <v>452135</v>
      </c>
      <c r="B13" t="str">
        <f>+VLOOKUP(A13,'TB Mar18'!L:N,3,0)</f>
        <v>Int Income - State Dev Loans</v>
      </c>
      <c r="C13">
        <v>5.2</v>
      </c>
    </row>
    <row r="14" spans="1:4">
      <c r="A14">
        <v>452228</v>
      </c>
      <c r="B14" t="str">
        <f>+VLOOKUP(A14,'TB Mar18'!L:N,3,0)</f>
        <v>Amort. Income - CBLO</v>
      </c>
      <c r="C14">
        <v>5.2</v>
      </c>
    </row>
    <row r="15" spans="1:4">
      <c r="A15">
        <v>452230</v>
      </c>
      <c r="B15" t="str">
        <f>+VLOOKUP(A15,'TB Mar18'!L:N,3,0)</f>
        <v>Int Income - Repo Deposits</v>
      </c>
      <c r="C15">
        <v>5.2</v>
      </c>
    </row>
    <row r="16" spans="1:4">
      <c r="A16">
        <v>455103</v>
      </c>
      <c r="B16" t="str">
        <f>+VLOOKUP(A16,'TB Mar18'!L:N,3,0)</f>
        <v>Load Income</v>
      </c>
      <c r="C16">
        <v>5.5</v>
      </c>
    </row>
    <row r="17" spans="1:4">
      <c r="A17">
        <v>460000</v>
      </c>
      <c r="B17" t="str">
        <f>+VLOOKUP(A17,'TB Mar18'!L:N,3,0)</f>
        <v>Other Income</v>
      </c>
      <c r="C17">
        <v>5.5</v>
      </c>
    </row>
    <row r="18" spans="1:4">
      <c r="A18">
        <v>460101</v>
      </c>
      <c r="B18" t="str">
        <f>+VLOOKUP(A18,'TB Mar18'!L:N,3,0)</f>
        <v>Interplan Adjustment- RG</v>
      </c>
      <c r="C18">
        <v>5.5</v>
      </c>
    </row>
    <row r="19" spans="1:4">
      <c r="A19">
        <v>460102</v>
      </c>
      <c r="B19" t="str">
        <f>+VLOOKUP(A19,'TB Mar18'!L:N,3,0)</f>
        <v>Interplan Adjustment- RD</v>
      </c>
      <c r="C19">
        <v>5.5</v>
      </c>
    </row>
    <row r="20" spans="1:4">
      <c r="A20">
        <v>460143</v>
      </c>
      <c r="B20" t="str">
        <f>+VLOOKUP(A20,'TB Mar18'!L:N,3,0)</f>
        <v>Interplan Adjustment- GDP</v>
      </c>
      <c r="C20">
        <v>5.5</v>
      </c>
    </row>
    <row r="21" spans="1:4">
      <c r="A21">
        <v>460144</v>
      </c>
      <c r="B21" t="str">
        <f>+VLOOKUP(A21,'TB Mar18'!L:N,3,0)</f>
        <v>Interplan Adjustment- DDP</v>
      </c>
      <c r="C21">
        <v>5.5</v>
      </c>
    </row>
    <row r="22" spans="1:4">
      <c r="A22">
        <v>512120</v>
      </c>
      <c r="B22" t="str">
        <f>+VLOOKUP(A22,'TB Mar18'!L:N,3,0)</f>
        <v>R/L L/P - Corp Bond/Debenture</v>
      </c>
      <c r="C22">
        <v>5.3</v>
      </c>
    </row>
    <row r="23" spans="1:4">
      <c r="A23">
        <v>512130</v>
      </c>
      <c r="B23" t="str">
        <f>+VLOOKUP(A23,'TB Mar18'!L:N,3,0)</f>
        <v>R/L L/P - Government Bonds</v>
      </c>
      <c r="C23">
        <v>5.3</v>
      </c>
    </row>
    <row r="24" spans="1:4">
      <c r="A24">
        <v>527304</v>
      </c>
      <c r="B24" t="str">
        <f>+VLOOKUP(A24,'TB Mar18'!L:N,3,0)</f>
        <v>R/L Loss - Inter Sch Govt Bond</v>
      </c>
      <c r="C24">
        <v>5.4</v>
      </c>
    </row>
    <row r="25" spans="1:4">
      <c r="A25">
        <v>553007</v>
      </c>
      <c r="B25" t="str">
        <f>+VLOOKUP(A25,'TB Mar18'!L:N,3,0)</f>
        <v>SEBI Fees</v>
      </c>
      <c r="C25">
        <v>6.3</v>
      </c>
    </row>
    <row r="26" spans="1:4">
      <c r="A26">
        <v>553105</v>
      </c>
      <c r="B26" t="str">
        <f>+VLOOKUP(A26,'TB Mar18'!L:N,3,0)</f>
        <v>Audit Fee</v>
      </c>
      <c r="C26">
        <v>6.3</v>
      </c>
    </row>
    <row r="27" spans="1:4">
      <c r="A27">
        <v>553107</v>
      </c>
      <c r="B27" t="str">
        <f>+VLOOKUP(A27,'TB Mar18'!L:N,3,0)</f>
        <v>Custody Fee</v>
      </c>
      <c r="C27">
        <v>6.3</v>
      </c>
    </row>
    <row r="28" spans="1:4">
      <c r="A28">
        <v>553111</v>
      </c>
      <c r="B28" t="str">
        <f>+VLOOKUP(A28,'TB Mar18'!L:N,3,0)</f>
        <v>Expense Allocation Account</v>
      </c>
      <c r="C28">
        <v>6.3</v>
      </c>
    </row>
    <row r="29" spans="1:4">
      <c r="A29">
        <v>553131</v>
      </c>
      <c r="B29" t="str">
        <f>+VLOOKUP(A29,'TB Mar18'!L:N,3,0)</f>
        <v>Trustee Fee</v>
      </c>
      <c r="C29">
        <v>6.3</v>
      </c>
      <c r="D29">
        <v>6.2</v>
      </c>
    </row>
    <row r="30" spans="1:4">
      <c r="A30">
        <v>553141</v>
      </c>
      <c r="B30" t="str">
        <f>+VLOOKUP(A30,'TB Mar18'!L:N,3,0)</f>
        <v>Bank Charges</v>
      </c>
      <c r="C30">
        <v>6.3</v>
      </c>
    </row>
    <row r="31" spans="1:4">
      <c r="A31">
        <v>553171</v>
      </c>
      <c r="B31" t="str">
        <f>+VLOOKUP(A31,'TB Mar18'!L:N,3,0)</f>
        <v>Investor Education Fund Exps</v>
      </c>
      <c r="C31">
        <v>6.3</v>
      </c>
    </row>
    <row r="32" spans="1:4">
      <c r="A32">
        <v>553172</v>
      </c>
      <c r="B32" t="str">
        <f>+VLOOKUP(A32,'TB Mar18'!L:N,3,0)</f>
        <v>Service Tax on Management Fees</v>
      </c>
      <c r="C32">
        <v>6.3</v>
      </c>
      <c r="D32">
        <v>6.1</v>
      </c>
    </row>
    <row r="33" spans="1:4">
      <c r="A33">
        <v>553176</v>
      </c>
      <c r="B33" t="str">
        <f>+VLOOKUP(A33,'TB Mar18'!L:N,3,0)</f>
        <v>CCIL Expenses</v>
      </c>
      <c r="C33">
        <v>6.3</v>
      </c>
    </row>
    <row r="34" spans="1:4">
      <c r="A34">
        <v>553180</v>
      </c>
      <c r="B34" t="str">
        <f>+VLOOKUP(A34,'TB Mar18'!L:N,3,0)</f>
        <v>Out of Pocket Expenses - R&amp;T</v>
      </c>
      <c r="C34">
        <v>6.3</v>
      </c>
    </row>
    <row r="35" spans="1:4">
      <c r="A35">
        <v>553190</v>
      </c>
      <c r="B35" t="str">
        <f>+VLOOKUP(A35,'TB Mar18'!L:N,3,0)</f>
        <v>Other Expenses</v>
      </c>
      <c r="C35">
        <v>6.3</v>
      </c>
    </row>
    <row r="36" spans="1:4">
      <c r="A36">
        <v>553191</v>
      </c>
      <c r="B36" t="str">
        <f>+VLOOKUP(A36,'TB Mar18'!L:N,3,0)</f>
        <v>Other Expenses-RG</v>
      </c>
      <c r="C36">
        <v>6.3</v>
      </c>
    </row>
    <row r="37" spans="1:4">
      <c r="A37">
        <v>553192</v>
      </c>
      <c r="B37" t="str">
        <f>+VLOOKUP(A37,'TB Mar18'!L:N,3,0)</f>
        <v>Other Expenses-RD</v>
      </c>
      <c r="C37">
        <v>6.3</v>
      </c>
    </row>
    <row r="38" spans="1:4">
      <c r="A38">
        <v>553202</v>
      </c>
      <c r="B38" t="str">
        <f>+VLOOKUP(A38,'TB Mar18'!L:N,3,0)</f>
        <v>Other Exp - Brok - Indirect</v>
      </c>
      <c r="C38">
        <v>6.3</v>
      </c>
    </row>
    <row r="39" spans="1:4">
      <c r="A39">
        <v>553208</v>
      </c>
      <c r="B39" t="str">
        <f>+VLOOKUP(A39,'TB Mar18'!L:N,3,0)</f>
        <v>Brokerage/Dist Exps</v>
      </c>
      <c r="C39">
        <v>6.3</v>
      </c>
    </row>
    <row r="40" spans="1:4">
      <c r="A40">
        <v>553213</v>
      </c>
      <c r="B40" t="str">
        <f>+VLOOKUP(A40,'TB Mar18'!L:N,3,0)</f>
        <v>Internal Audit Fee</v>
      </c>
      <c r="C40">
        <v>6.3</v>
      </c>
    </row>
    <row r="41" spans="1:4">
      <c r="A41">
        <v>553329</v>
      </c>
      <c r="B41" t="str">
        <f>+VLOOKUP(A41,'TB Mar18'!L:N,3,0)</f>
        <v>Other Expenses-GDP</v>
      </c>
      <c r="C41">
        <v>6.3</v>
      </c>
    </row>
    <row r="42" spans="1:4">
      <c r="A42">
        <v>553330</v>
      </c>
      <c r="B42" t="str">
        <f>+VLOOKUP(A42,'TB Mar18'!L:N,3,0)</f>
        <v>Other Expenses-DDP</v>
      </c>
      <c r="C42">
        <v>6.3</v>
      </c>
    </row>
    <row r="43" spans="1:4">
      <c r="A43">
        <v>554526</v>
      </c>
      <c r="B43" t="str">
        <f>+VLOOKUP(A43,'TB Mar18'!L:N,3,0)</f>
        <v>Inv Educ Fund Expense - Amfi</v>
      </c>
      <c r="C43">
        <v>6.3</v>
      </c>
    </row>
    <row r="44" spans="1:4">
      <c r="A44">
        <v>554527</v>
      </c>
      <c r="B44" t="str">
        <f>+VLOOKUP(A44,'TB Mar18'!L:N,3,0)</f>
        <v>Transaction Processing Charges</v>
      </c>
      <c r="C44">
        <v>6.3</v>
      </c>
    </row>
    <row r="45" spans="1:4">
      <c r="A45">
        <v>555157</v>
      </c>
      <c r="B45" t="str">
        <f>+VLOOKUP(A45,'TB Mar18'!L:N,3,0)</f>
        <v>Client Servicing Expenes</v>
      </c>
      <c r="C45">
        <v>6.3</v>
      </c>
    </row>
    <row r="46" spans="1:4">
      <c r="A46">
        <v>555276</v>
      </c>
      <c r="B46" t="str">
        <f>+VLOOKUP(A46,'TB Mar18'!L:N,3,0)</f>
        <v>CGST on Reclassify of Exp</v>
      </c>
      <c r="C46">
        <v>6.3</v>
      </c>
    </row>
    <row r="47" spans="1:4">
      <c r="A47">
        <v>555277</v>
      </c>
      <c r="B47" t="str">
        <f>+VLOOKUP(A47,'TB Mar18'!L:N,3,0)</f>
        <v>SGST on Reclassify of Exp</v>
      </c>
      <c r="C47">
        <v>6.3</v>
      </c>
    </row>
    <row r="48" spans="1:4">
      <c r="A48">
        <v>555597</v>
      </c>
      <c r="B48" t="str">
        <f>+VLOOKUP(A48,'TB Mar18'!L:N,3,0)</f>
        <v>CGST on Mfees</v>
      </c>
      <c r="C48">
        <v>6.3</v>
      </c>
      <c r="D48">
        <v>6.1</v>
      </c>
    </row>
    <row r="49" spans="1:4">
      <c r="A49">
        <v>555598</v>
      </c>
      <c r="B49" t="str">
        <f>+VLOOKUP(A49,'TB Mar18'!L:N,3,0)</f>
        <v>SGST on Mfees</v>
      </c>
      <c r="C49">
        <v>6.3</v>
      </c>
      <c r="D49">
        <v>6.1</v>
      </c>
    </row>
    <row r="50" spans="1:4">
      <c r="A50">
        <v>555599</v>
      </c>
      <c r="B50" t="str">
        <f>+VLOOKUP(A50,'TB Mar18'!L:N,3,0)</f>
        <v>CGST on Mfees -GDP</v>
      </c>
      <c r="C50">
        <v>6.3</v>
      </c>
      <c r="D50">
        <v>6.1</v>
      </c>
    </row>
    <row r="51" spans="1:4">
      <c r="A51">
        <v>555600</v>
      </c>
      <c r="B51" t="str">
        <f>+VLOOKUP(A51,'TB Mar18'!L:N,3,0)</f>
        <v>SGST on Mfees -GDP</v>
      </c>
      <c r="C51">
        <v>6.3</v>
      </c>
      <c r="D51">
        <v>6.1</v>
      </c>
    </row>
    <row r="52" spans="1:4">
      <c r="A52">
        <v>556421</v>
      </c>
      <c r="B52" t="str">
        <f>+VLOOKUP(A52,'TB Mar18'!L:N,3,0)</f>
        <v>Operating Expenses</v>
      </c>
      <c r="C52">
        <v>6.3</v>
      </c>
    </row>
    <row r="53" spans="1:4">
      <c r="A53">
        <v>555100</v>
      </c>
      <c r="B53" t="str">
        <f>+VLOOKUP(A53,'TB Mar18'!L:N,3,0)</f>
        <v>Management Fee</v>
      </c>
      <c r="C53">
        <v>6.3</v>
      </c>
      <c r="D53">
        <v>6.1</v>
      </c>
    </row>
    <row r="54" spans="1:4">
      <c r="A54">
        <v>555191</v>
      </c>
      <c r="B54" t="str">
        <f>+VLOOKUP(A54,'TB Mar18'!L:N,3,0)</f>
        <v>Management Fees-RG</v>
      </c>
      <c r="C54">
        <v>6.3</v>
      </c>
      <c r="D54">
        <v>6.1</v>
      </c>
    </row>
    <row r="55" spans="1:4">
      <c r="A55">
        <v>555192</v>
      </c>
      <c r="B55" t="str">
        <f>+VLOOKUP(A55,'TB Mar18'!L:N,3,0)</f>
        <v>Management Fees-RD</v>
      </c>
      <c r="C55">
        <v>6.3</v>
      </c>
      <c r="D55">
        <v>6.1</v>
      </c>
    </row>
    <row r="56" spans="1:4">
      <c r="A56">
        <v>555274</v>
      </c>
      <c r="B56" t="str">
        <f>+VLOOKUP(A56,'TB Mar18'!L:N,3,0)</f>
        <v>Management Fee-Reclassfication</v>
      </c>
      <c r="C56">
        <v>6.3</v>
      </c>
      <c r="D56">
        <v>6.1</v>
      </c>
    </row>
    <row r="57" spans="1:4">
      <c r="A57">
        <v>555329</v>
      </c>
      <c r="B57" t="str">
        <f>+VLOOKUP(A57,'TB Mar18'!L:N,3,0)</f>
        <v>Management Fees-GDP</v>
      </c>
      <c r="C57">
        <v>6.3</v>
      </c>
      <c r="D57">
        <v>6.1</v>
      </c>
    </row>
    <row r="58" spans="1:4">
      <c r="A58">
        <v>555330</v>
      </c>
      <c r="B58" t="str">
        <f>+VLOOKUP(A58,'TB Mar18'!L:N,3,0)</f>
        <v>Management Fees-DDP</v>
      </c>
      <c r="C58">
        <v>6.3</v>
      </c>
      <c r="D58">
        <v>6.1</v>
      </c>
    </row>
    <row r="59" spans="1:4">
      <c r="A59">
        <v>553143</v>
      </c>
      <c r="B59" t="str">
        <f>+VLOOKUP(A59,'TB Mar18'!L:N,3,0)</f>
        <v>Dividend Distribution - RD</v>
      </c>
      <c r="C59" t="s">
        <v>835</v>
      </c>
    </row>
    <row r="60" spans="1:4">
      <c r="A60">
        <v>556143</v>
      </c>
      <c r="B60" t="str">
        <f>+VLOOKUP(A60,'TB Mar18'!L:N,3,0)</f>
        <v>DDT Expense-RD</v>
      </c>
      <c r="C60" t="s">
        <v>835</v>
      </c>
    </row>
    <row r="61" spans="1:4">
      <c r="A61">
        <v>411100</v>
      </c>
      <c r="B61" t="str">
        <f>+VLOOKUP(A61,'TB Mar18'!L:N,3,0)</f>
        <v>R/L G/P - Equities</v>
      </c>
      <c r="C61">
        <v>5.3</v>
      </c>
    </row>
    <row r="62" spans="1:4">
      <c r="A62">
        <v>431100</v>
      </c>
      <c r="B62" t="str">
        <f>+VLOOKUP(A62,'TB Mar18'!L:N,3,0)</f>
        <v>UR/L G/P - Equities</v>
      </c>
      <c r="C62" t="s">
        <v>375</v>
      </c>
    </row>
    <row r="63" spans="1:4">
      <c r="A63">
        <v>451100</v>
      </c>
      <c r="B63" t="str">
        <f>+VLOOKUP(A63,'TB Mar18'!L:N,3,0)</f>
        <v>Dividend Income - Equities</v>
      </c>
      <c r="C63">
        <v>5.0999999999999996</v>
      </c>
    </row>
    <row r="64" spans="1:4">
      <c r="A64">
        <v>511100</v>
      </c>
      <c r="B64" t="str">
        <f>+VLOOKUP(A64,'TB Mar18'!L:N,3,0)</f>
        <v>R/L L/P - Equities</v>
      </c>
      <c r="C64">
        <v>5.3</v>
      </c>
    </row>
    <row r="65" spans="1:4">
      <c r="A65">
        <v>555275</v>
      </c>
      <c r="B65" t="str">
        <f>+VLOOKUP(A65,'TB Mar18'!L:N,3,0)</f>
        <v>Brokerage_Indirect_Reclassify</v>
      </c>
      <c r="C65">
        <v>6.3</v>
      </c>
    </row>
    <row r="66" spans="1:4">
      <c r="A66">
        <v>554346</v>
      </c>
      <c r="B66" t="str">
        <f>+VLOOKUP(A66,'TB Mar18'!L:N,3,0)</f>
        <v>Dividend Distribution-DDP</v>
      </c>
      <c r="C66" t="s">
        <v>835</v>
      </c>
    </row>
    <row r="67" spans="1:4">
      <c r="A67">
        <v>556346</v>
      </c>
      <c r="B67" t="str">
        <f>+VLOOKUP(A67,'TB Mar18'!L:N,3,0)</f>
        <v>DDT Expense-DDP</v>
      </c>
      <c r="C67" t="s">
        <v>835</v>
      </c>
    </row>
    <row r="68" spans="1:4">
      <c r="A68">
        <v>432145</v>
      </c>
      <c r="B68" t="str">
        <f>+VLOOKUP(A68,'TB Mar18'!L:N,3,0)</f>
        <v>UR/L G/P-ZCB</v>
      </c>
      <c r="C68" t="s">
        <v>375</v>
      </c>
    </row>
    <row r="69" spans="1:4">
      <c r="A69">
        <v>452145</v>
      </c>
      <c r="B69" t="str">
        <f>+VLOOKUP(A69,'TB Mar18'!L:N,3,0)</f>
        <v>Amort. Income - ZCB</v>
      </c>
      <c r="C69">
        <v>5.2</v>
      </c>
    </row>
    <row r="70" spans="1:4">
      <c r="A70">
        <v>553273</v>
      </c>
      <c r="B70" t="str">
        <f>+VLOOKUP(A70,'TB Mar18'!L:N,3,0)</f>
        <v>Other Expenses - G</v>
      </c>
      <c r="C70">
        <v>6.3</v>
      </c>
    </row>
    <row r="71" spans="1:4">
      <c r="A71">
        <v>555190</v>
      </c>
      <c r="B71" t="str">
        <f>+VLOOKUP(A71,'TB Mar18'!L:N,3,0)</f>
        <v>Management Fees-G</v>
      </c>
      <c r="C71">
        <v>6.3</v>
      </c>
      <c r="D71">
        <v>6.1</v>
      </c>
    </row>
    <row r="72" spans="1:4">
      <c r="A72">
        <v>412110</v>
      </c>
      <c r="B72" t="str">
        <f>+VLOOKUP(A72,'TB Mar18'!L:N,3,0)</f>
        <v>R/L G/P - Treasury Bills</v>
      </c>
      <c r="C72">
        <v>5.3</v>
      </c>
    </row>
    <row r="73" spans="1:4">
      <c r="A73">
        <v>427313</v>
      </c>
      <c r="B73" t="str">
        <f>+VLOOKUP(A73,'TB Mar18'!L:N,3,0)</f>
        <v>R/L Gain - Inter SchemeT Bills</v>
      </c>
      <c r="C73">
        <v>5.4</v>
      </c>
    </row>
    <row r="74" spans="1:4">
      <c r="A74">
        <v>452110</v>
      </c>
      <c r="B74" t="str">
        <f>+VLOOKUP(A74,'TB Mar18'!L:N,3,0)</f>
        <v>Amort Income -Treasury Bills</v>
      </c>
      <c r="C74">
        <v>5.2</v>
      </c>
    </row>
    <row r="75" spans="1:4">
      <c r="A75">
        <v>460100</v>
      </c>
      <c r="B75" t="str">
        <f>+VLOOKUP(A75,'TB Mar18'!L:N,3,0)</f>
        <v>Interplan Adjustment</v>
      </c>
      <c r="C75">
        <v>5.5</v>
      </c>
    </row>
    <row r="76" spans="1:4">
      <c r="A76">
        <v>460746</v>
      </c>
      <c r="B76" t="str">
        <f>+VLOOKUP(A76,'TB Mar18'!L:N,3,0)</f>
        <v>Interplan Adjustment-PFD</v>
      </c>
      <c r="C76">
        <v>5.5</v>
      </c>
    </row>
    <row r="77" spans="1:4">
      <c r="A77">
        <v>460747</v>
      </c>
      <c r="B77" t="str">
        <f>+VLOOKUP(A77,'TB Mar18'!L:N,3,0)</f>
        <v>Interplan Adjustment-PFG</v>
      </c>
      <c r="C77">
        <v>5.5</v>
      </c>
    </row>
    <row r="78" spans="1:4">
      <c r="A78">
        <v>553439</v>
      </c>
      <c r="B78" t="str">
        <f>+VLOOKUP(A78,'TB Mar18'!L:N,3,0)</f>
        <v>Other Exp-PF Plan-Dividend</v>
      </c>
      <c r="C78">
        <v>6.3</v>
      </c>
    </row>
    <row r="79" spans="1:4">
      <c r="A79">
        <v>553440</v>
      </c>
      <c r="B79" t="str">
        <f>+VLOOKUP(A79,'TB Mar18'!L:N,3,0)</f>
        <v>Other Exp-PF Plan-Growth</v>
      </c>
      <c r="C79">
        <v>6.3</v>
      </c>
    </row>
    <row r="80" spans="1:4">
      <c r="A80">
        <v>553900</v>
      </c>
      <c r="B80" t="str">
        <f>+VLOOKUP(A80,'TB Mar18'!L:N,3,0)</f>
        <v>Exp-Additional TER</v>
      </c>
      <c r="C80">
        <v>6.3</v>
      </c>
    </row>
    <row r="81" spans="1:4">
      <c r="A81">
        <v>555836</v>
      </c>
      <c r="B81" t="str">
        <f>+VLOOKUP(A81,'TB Mar18'!L:N,3,0)</f>
        <v>Mgt Fees-PF Plan-Dividend</v>
      </c>
      <c r="C81">
        <v>6.3</v>
      </c>
      <c r="D81">
        <v>6.1</v>
      </c>
    </row>
    <row r="82" spans="1:4">
      <c r="A82">
        <v>555837</v>
      </c>
      <c r="B82" t="str">
        <f>+VLOOKUP(A82,'TB Mar18'!L:N,3,0)</f>
        <v>Mgt Fees-PF Plan-Growth</v>
      </c>
      <c r="C82">
        <v>6.3</v>
      </c>
      <c r="D82">
        <v>6.1</v>
      </c>
    </row>
    <row r="83" spans="1:4">
      <c r="A83">
        <v>412190</v>
      </c>
      <c r="B83" t="str">
        <f>+VLOOKUP(A83,'TB Mar18'!L:N,3,0)</f>
        <v>R/L G/P - Cert. of Deposits</v>
      </c>
      <c r="C83">
        <v>5.3</v>
      </c>
    </row>
    <row r="84" spans="1:4">
      <c r="A84">
        <v>412228</v>
      </c>
      <c r="B84" t="str">
        <f>+VLOOKUP(A84,'TB Mar18'!L:N,3,0)</f>
        <v>R/L G/P - CBLO</v>
      </c>
      <c r="C84">
        <v>5.3</v>
      </c>
    </row>
    <row r="85" spans="1:4">
      <c r="A85">
        <v>427302</v>
      </c>
      <c r="B85" t="str">
        <f>+VLOOKUP(A85,'TB Mar18'!L:N,3,0)</f>
        <v>R/L Gain - Inter Sch Bond/Deb</v>
      </c>
      <c r="C85">
        <v>5.4</v>
      </c>
    </row>
    <row r="86" spans="1:4">
      <c r="A86">
        <v>427311</v>
      </c>
      <c r="B86" t="str">
        <f>+VLOOKUP(A86,'TB Mar18'!L:N,3,0)</f>
        <v>R/L Gain - Inter Scheme CP</v>
      </c>
      <c r="C86">
        <v>5.4</v>
      </c>
    </row>
    <row r="87" spans="1:4">
      <c r="A87">
        <v>432110</v>
      </c>
      <c r="B87" t="str">
        <f>+VLOOKUP(A87,'TB Mar18'!L:N,3,0)</f>
        <v>UR/L G/P - Treasury Bills</v>
      </c>
      <c r="C87" t="s">
        <v>375</v>
      </c>
    </row>
    <row r="88" spans="1:4">
      <c r="A88">
        <v>432180</v>
      </c>
      <c r="B88" t="str">
        <f>+VLOOKUP(A88,'TB Mar18'!L:N,3,0)</f>
        <v>UR/L G/P - Commercial Paper</v>
      </c>
      <c r="C88" t="s">
        <v>375</v>
      </c>
    </row>
    <row r="89" spans="1:4">
      <c r="A89">
        <v>452180</v>
      </c>
      <c r="B89" t="str">
        <f>+VLOOKUP(A89,'TB Mar18'!L:N,3,0)</f>
        <v>Amort. Income - CP</v>
      </c>
      <c r="C89">
        <v>5.2</v>
      </c>
    </row>
    <row r="90" spans="1:4">
      <c r="A90">
        <v>452181</v>
      </c>
      <c r="B90" t="str">
        <f>+VLOOKUP(A90,'TB Mar18'!L:N,3,0)</f>
        <v>Amort. Income - CD</v>
      </c>
      <c r="C90">
        <v>5.2</v>
      </c>
    </row>
    <row r="91" spans="1:4">
      <c r="A91">
        <v>460112</v>
      </c>
      <c r="B91" t="str">
        <f>+VLOOKUP(A91,'TB Mar18'!L:N,3,0)</f>
        <v>Interplan Adjustment- RDD</v>
      </c>
      <c r="C91">
        <v>5.5</v>
      </c>
    </row>
    <row r="92" spans="1:4">
      <c r="A92">
        <v>460114</v>
      </c>
      <c r="B92" t="str">
        <f>+VLOOKUP(A92,'TB Mar18'!L:N,3,0)</f>
        <v>Interplan Adjustment- RWD</v>
      </c>
      <c r="C92">
        <v>5.5</v>
      </c>
    </row>
    <row r="93" spans="1:4">
      <c r="A93">
        <v>460128</v>
      </c>
      <c r="B93" t="str">
        <f>+VLOOKUP(A93,'TB Mar18'!L:N,3,0)</f>
        <v>Interplan Adjustment- RMD</v>
      </c>
      <c r="C93">
        <v>5.5</v>
      </c>
    </row>
    <row r="94" spans="1:4">
      <c r="A94">
        <v>460146</v>
      </c>
      <c r="B94" t="str">
        <f>+VLOOKUP(A94,'TB Mar18'!L:N,3,0)</f>
        <v>Interplan Adjustment- MDP</v>
      </c>
      <c r="C94">
        <v>5.5</v>
      </c>
    </row>
    <row r="95" spans="1:4">
      <c r="A95">
        <v>460164</v>
      </c>
      <c r="B95" t="str">
        <f>+VLOOKUP(A95,'TB Mar18'!L:N,3,0)</f>
        <v>Interplan Adjustment- DPD</v>
      </c>
      <c r="C95">
        <v>5.5</v>
      </c>
    </row>
    <row r="96" spans="1:4">
      <c r="A96">
        <v>460166</v>
      </c>
      <c r="B96" t="str">
        <f>+VLOOKUP(A96,'TB Mar18'!L:N,3,0)</f>
        <v>Interplan Adjustment- WDP</v>
      </c>
      <c r="C96">
        <v>5.5</v>
      </c>
    </row>
    <row r="97" spans="1:4">
      <c r="A97">
        <v>512110</v>
      </c>
      <c r="B97" t="str">
        <f>+VLOOKUP(A97,'TB Mar18'!L:N,3,0)</f>
        <v>R/L L/P - Treasury Bills</v>
      </c>
      <c r="C97">
        <v>5.3</v>
      </c>
    </row>
    <row r="98" spans="1:4">
      <c r="A98">
        <v>527302</v>
      </c>
      <c r="B98" t="str">
        <f>+VLOOKUP(A98,'TB Mar18'!L:N,3,0)</f>
        <v>R/L Loss - Inter Sch Bond/Deb</v>
      </c>
      <c r="C98">
        <v>5.4</v>
      </c>
    </row>
    <row r="99" spans="1:4">
      <c r="A99">
        <v>527311</v>
      </c>
      <c r="B99" t="str">
        <f>+VLOOKUP(A99,'TB Mar18'!L:N,3,0)</f>
        <v>R/L Loss - Inter Scheme CP</v>
      </c>
      <c r="C99">
        <v>5.4</v>
      </c>
    </row>
    <row r="100" spans="1:4">
      <c r="A100">
        <v>527313</v>
      </c>
      <c r="B100" t="str">
        <f>+VLOOKUP(A100,'TB Mar18'!L:N,3,0)</f>
        <v>R/L Loss - Inter SchemeT Bills</v>
      </c>
      <c r="C100">
        <v>5.4</v>
      </c>
    </row>
    <row r="101" spans="1:4">
      <c r="A101">
        <v>553197</v>
      </c>
      <c r="B101" t="str">
        <f>+VLOOKUP(A101,'TB Mar18'!L:N,3,0)</f>
        <v>Misc Expenses</v>
      </c>
      <c r="C101">
        <v>6.3</v>
      </c>
    </row>
    <row r="102" spans="1:4">
      <c r="A102">
        <v>553255</v>
      </c>
      <c r="B102" t="str">
        <f>+VLOOKUP(A102,'TB Mar18'!L:N,3,0)</f>
        <v>Other Expenses - RDD</v>
      </c>
      <c r="C102">
        <v>6.3</v>
      </c>
    </row>
    <row r="103" spans="1:4">
      <c r="A103">
        <v>553257</v>
      </c>
      <c r="B103" t="str">
        <f>+VLOOKUP(A103,'TB Mar18'!L:N,3,0)</f>
        <v>Other Expenses - RWD</v>
      </c>
      <c r="C103">
        <v>6.3</v>
      </c>
    </row>
    <row r="104" spans="1:4">
      <c r="A104">
        <v>553271</v>
      </c>
      <c r="B104" t="str">
        <f>+VLOOKUP(A104,'TB Mar18'!L:N,3,0)</f>
        <v>Other Expenses - RMD</v>
      </c>
      <c r="C104">
        <v>6.3</v>
      </c>
    </row>
    <row r="105" spans="1:4">
      <c r="A105">
        <v>553332</v>
      </c>
      <c r="B105" t="str">
        <f>+VLOOKUP(A105,'TB Mar18'!L:N,3,0)</f>
        <v>Other Expenses-MDP</v>
      </c>
      <c r="C105">
        <v>6.3</v>
      </c>
    </row>
    <row r="106" spans="1:4">
      <c r="A106">
        <v>553350</v>
      </c>
      <c r="B106" t="str">
        <f>+VLOOKUP(A106,'TB Mar18'!L:N,3,0)</f>
        <v>Other Expenses-DPD</v>
      </c>
      <c r="C106">
        <v>6.3</v>
      </c>
    </row>
    <row r="107" spans="1:4">
      <c r="A107">
        <v>553352</v>
      </c>
      <c r="B107" t="str">
        <f>+VLOOKUP(A107,'TB Mar18'!L:N,3,0)</f>
        <v>Other Expenses-WDP</v>
      </c>
      <c r="C107">
        <v>6.3</v>
      </c>
    </row>
    <row r="108" spans="1:4">
      <c r="A108">
        <v>555255</v>
      </c>
      <c r="B108" t="str">
        <f>+VLOOKUP(A108,'TB Mar18'!L:N,3,0)</f>
        <v>Management Fees - RDD</v>
      </c>
      <c r="C108">
        <v>6.3</v>
      </c>
      <c r="D108">
        <v>6.1</v>
      </c>
    </row>
    <row r="109" spans="1:4">
      <c r="A109">
        <v>555257</v>
      </c>
      <c r="B109" t="str">
        <f>+VLOOKUP(A109,'TB Mar18'!L:N,3,0)</f>
        <v>Management Fees - RWD</v>
      </c>
      <c r="C109">
        <v>6.3</v>
      </c>
      <c r="D109">
        <v>6.1</v>
      </c>
    </row>
    <row r="110" spans="1:4">
      <c r="A110">
        <v>555271</v>
      </c>
      <c r="B110" t="str">
        <f>+VLOOKUP(A110,'TB Mar18'!L:N,3,0)</f>
        <v>Management Fees - RMD</v>
      </c>
      <c r="C110">
        <v>6.3</v>
      </c>
      <c r="D110">
        <v>6.1</v>
      </c>
    </row>
    <row r="111" spans="1:4">
      <c r="A111">
        <v>555332</v>
      </c>
      <c r="B111" t="str">
        <f>+VLOOKUP(A111,'TB Mar18'!L:N,3,0)</f>
        <v>Management Fees-MDP</v>
      </c>
      <c r="C111">
        <v>6.3</v>
      </c>
      <c r="D111">
        <v>6.1</v>
      </c>
    </row>
    <row r="112" spans="1:4">
      <c r="A112">
        <v>555350</v>
      </c>
      <c r="B112" t="str">
        <f>+VLOOKUP(A112,'TB Mar18'!L:N,3,0)</f>
        <v>Management Fees-DPD</v>
      </c>
      <c r="C112">
        <v>6.3</v>
      </c>
      <c r="D112">
        <v>6.1</v>
      </c>
    </row>
    <row r="113" spans="1:4">
      <c r="A113">
        <v>555352</v>
      </c>
      <c r="B113" t="str">
        <f>+VLOOKUP(A113,'TB Mar18'!L:N,3,0)</f>
        <v>Management Fees-WDP</v>
      </c>
      <c r="C113">
        <v>6.3</v>
      </c>
      <c r="D113">
        <v>6.1</v>
      </c>
    </row>
    <row r="114" spans="1:4">
      <c r="A114">
        <v>553303</v>
      </c>
      <c r="B114" t="str">
        <f>+VLOOKUP(A114,'TB Mar18'!L:N,3,0)</f>
        <v>Dividend Dist - RWD</v>
      </c>
      <c r="C114" t="s">
        <v>835</v>
      </c>
    </row>
    <row r="115" spans="1:4">
      <c r="A115">
        <v>553304</v>
      </c>
      <c r="B115" t="str">
        <f>+VLOOKUP(A115,'TB Mar18'!L:N,3,0)</f>
        <v>Dividend Dist - RDD</v>
      </c>
      <c r="C115" t="s">
        <v>835</v>
      </c>
    </row>
    <row r="116" spans="1:4">
      <c r="A116">
        <v>553306</v>
      </c>
      <c r="B116" t="str">
        <f>+VLOOKUP(A116,'TB Mar18'!L:N,3,0)</f>
        <v>Dividend Dist - RMD</v>
      </c>
      <c r="C116" t="s">
        <v>835</v>
      </c>
    </row>
    <row r="117" spans="1:4">
      <c r="A117">
        <v>554348</v>
      </c>
      <c r="B117" t="str">
        <f>+VLOOKUP(A117,'TB Mar18'!L:N,3,0)</f>
        <v>Dividend Distribution-MDP</v>
      </c>
      <c r="C117" t="s">
        <v>835</v>
      </c>
    </row>
    <row r="118" spans="1:4">
      <c r="A118">
        <v>554366</v>
      </c>
      <c r="B118" t="str">
        <f>+VLOOKUP(A118,'TB Mar18'!L:N,3,0)</f>
        <v>Dividend Distribution-DPD</v>
      </c>
      <c r="C118" t="s">
        <v>835</v>
      </c>
    </row>
    <row r="119" spans="1:4">
      <c r="A119">
        <v>554368</v>
      </c>
      <c r="B119" t="str">
        <f>+VLOOKUP(A119,'TB Mar18'!L:N,3,0)</f>
        <v>Dividend Distribution-WDP</v>
      </c>
      <c r="C119" t="s">
        <v>835</v>
      </c>
    </row>
    <row r="120" spans="1:4">
      <c r="A120">
        <v>556303</v>
      </c>
      <c r="B120" t="str">
        <f>+VLOOKUP(A120,'TB Mar18'!L:N,3,0)</f>
        <v>DDT Expense-RWD</v>
      </c>
      <c r="C120" t="s">
        <v>835</v>
      </c>
    </row>
    <row r="121" spans="1:4">
      <c r="A121">
        <v>556304</v>
      </c>
      <c r="B121" t="str">
        <f>+VLOOKUP(A121,'TB Mar18'!L:N,3,0)</f>
        <v>DDT Expense-RDD</v>
      </c>
      <c r="C121" t="s">
        <v>835</v>
      </c>
    </row>
    <row r="122" spans="1:4">
      <c r="A122">
        <v>556306</v>
      </c>
      <c r="B122" t="str">
        <f>+VLOOKUP(A122,'TB Mar18'!L:N,3,0)</f>
        <v>DDT Expense-RMD</v>
      </c>
      <c r="C122" t="s">
        <v>835</v>
      </c>
    </row>
    <row r="123" spans="1:4">
      <c r="A123">
        <v>556348</v>
      </c>
      <c r="B123" t="str">
        <f>+VLOOKUP(A123,'TB Mar18'!L:N,3,0)</f>
        <v>DDT Expense-MDP</v>
      </c>
      <c r="C123" t="s">
        <v>835</v>
      </c>
    </row>
    <row r="124" spans="1:4">
      <c r="A124">
        <v>556366</v>
      </c>
      <c r="B124" t="str">
        <f>+VLOOKUP(A124,'TB Mar18'!L:N,3,0)</f>
        <v>DDT Expense-DPD</v>
      </c>
      <c r="C124" t="s">
        <v>835</v>
      </c>
    </row>
    <row r="125" spans="1:4">
      <c r="A125">
        <v>556368</v>
      </c>
      <c r="B125" t="str">
        <f>+VLOOKUP(A125,'TB Mar18'!L:N,3,0)</f>
        <v>DDT Expense-WDP</v>
      </c>
      <c r="C125" t="s">
        <v>835</v>
      </c>
    </row>
    <row r="126" spans="1:4">
      <c r="A126">
        <v>411120</v>
      </c>
      <c r="B126" t="str">
        <f>+VLOOKUP(A126,'TB Mar18'!L:N,3,0)</f>
        <v>R/L G/P - Rights</v>
      </c>
      <c r="C126">
        <v>5.3</v>
      </c>
    </row>
    <row r="127" spans="1:4">
      <c r="A127">
        <v>431120</v>
      </c>
      <c r="B127" t="e">
        <f>+VLOOKUP(A127,'TB Mar18'!L:N,3,0)</f>
        <v>#N/A</v>
      </c>
      <c r="C127" t="s">
        <v>375</v>
      </c>
    </row>
    <row r="128" spans="1:4">
      <c r="A128">
        <v>452233</v>
      </c>
      <c r="B128" t="str">
        <f>+VLOOKUP(A128,'TB Mar18'!L:N,3,0)</f>
        <v>Misc Income</v>
      </c>
      <c r="C128">
        <v>5.5</v>
      </c>
    </row>
    <row r="129" spans="1:4">
      <c r="A129">
        <v>460129</v>
      </c>
      <c r="B129" t="str">
        <f>+VLOOKUP(A129,'TB Mar18'!L:N,3,0)</f>
        <v>Interplan Adjustment- RQD</v>
      </c>
      <c r="C129">
        <v>5.5</v>
      </c>
    </row>
    <row r="130" spans="1:4">
      <c r="A130">
        <v>460147</v>
      </c>
      <c r="B130" t="str">
        <f>+VLOOKUP(A130,'TB Mar18'!L:N,3,0)</f>
        <v>Interplan Adjustment- QDP</v>
      </c>
      <c r="C130">
        <v>5.5</v>
      </c>
    </row>
    <row r="131" spans="1:4">
      <c r="A131">
        <v>460149</v>
      </c>
      <c r="B131" t="str">
        <f>+VLOOKUP(A131,'TB Mar18'!L:N,3,0)</f>
        <v>Interplan Adjustment- YDP</v>
      </c>
      <c r="C131">
        <v>5.5</v>
      </c>
    </row>
    <row r="132" spans="1:4">
      <c r="A132">
        <v>460247</v>
      </c>
      <c r="B132" t="str">
        <f>+VLOOKUP(A132,'TB Mar18'!L:N,3,0)</f>
        <v>Interplan Adjustment-RAD</v>
      </c>
      <c r="C132">
        <v>5.5</v>
      </c>
    </row>
    <row r="133" spans="1:4">
      <c r="A133">
        <v>512135</v>
      </c>
      <c r="B133" t="str">
        <f>+VLOOKUP(A133,'TB Mar18'!L:N,3,0)</f>
        <v>R/L L/P - SDLs</v>
      </c>
      <c r="C133">
        <v>5.3</v>
      </c>
    </row>
    <row r="134" spans="1:4">
      <c r="A134">
        <v>553147</v>
      </c>
      <c r="B134" t="str">
        <f>+VLOOKUP(A134,'TB Mar18'!L:N,3,0)</f>
        <v>Marketing Fees</v>
      </c>
      <c r="C134">
        <v>6.3</v>
      </c>
    </row>
    <row r="135" spans="1:4">
      <c r="A135">
        <v>553272</v>
      </c>
      <c r="B135" t="str">
        <f>+VLOOKUP(A135,'TB Mar18'!L:N,3,0)</f>
        <v>Other Expenses - RQD</v>
      </c>
      <c r="C135">
        <v>6.3</v>
      </c>
    </row>
    <row r="136" spans="1:4">
      <c r="A136">
        <v>553333</v>
      </c>
      <c r="B136" t="str">
        <f>+VLOOKUP(A136,'TB Mar18'!L:N,3,0)</f>
        <v>Other Expenses-QDP</v>
      </c>
      <c r="C136">
        <v>6.3</v>
      </c>
    </row>
    <row r="137" spans="1:4">
      <c r="A137">
        <v>553335</v>
      </c>
      <c r="B137" t="str">
        <f>+VLOOKUP(A137,'TB Mar18'!L:N,3,0)</f>
        <v>Other Expenses-YDP</v>
      </c>
      <c r="C137">
        <v>6.3</v>
      </c>
    </row>
    <row r="138" spans="1:4">
      <c r="A138">
        <v>553355</v>
      </c>
      <c r="B138" t="str">
        <f>+VLOOKUP(A138,'TB Mar18'!L:N,3,0)</f>
        <v>Other Fees-Regular Annual Div</v>
      </c>
      <c r="C138">
        <v>6.3</v>
      </c>
    </row>
    <row r="139" spans="1:4">
      <c r="A139">
        <v>555272</v>
      </c>
      <c r="B139" t="str">
        <f>+VLOOKUP(A139,'TB Mar18'!L:N,3,0)</f>
        <v>Management Fees - RQD</v>
      </c>
      <c r="C139">
        <v>6.3</v>
      </c>
      <c r="D139">
        <v>6.1</v>
      </c>
    </row>
    <row r="140" spans="1:4">
      <c r="A140">
        <v>555361</v>
      </c>
      <c r="B140" t="str">
        <f>+VLOOKUP(A140,'TB Mar18'!L:N,3,0)</f>
        <v>Management Fees-Reg Annual Div</v>
      </c>
      <c r="C140">
        <v>6.3</v>
      </c>
      <c r="D140">
        <v>6.1</v>
      </c>
    </row>
    <row r="141" spans="1:4">
      <c r="A141">
        <v>555333</v>
      </c>
      <c r="B141" t="str">
        <f>+VLOOKUP(A141,'TB Mar18'!L:N,3,0)</f>
        <v>Management Fees-QDP</v>
      </c>
      <c r="C141">
        <v>6.3</v>
      </c>
      <c r="D141">
        <v>6.1</v>
      </c>
    </row>
    <row r="142" spans="1:4">
      <c r="A142">
        <v>555335</v>
      </c>
      <c r="B142" t="str">
        <f>+VLOOKUP(A142,'TB Mar18'!L:N,3,0)</f>
        <v>Management Fees-YDP</v>
      </c>
      <c r="C142">
        <v>6.3</v>
      </c>
      <c r="D142">
        <v>6.1</v>
      </c>
    </row>
    <row r="143" spans="1:4">
      <c r="A143">
        <v>553308</v>
      </c>
      <c r="B143" t="str">
        <f>+VLOOKUP(A143,'TB Mar18'!L:N,3,0)</f>
        <v>Dividend Dist - RQD</v>
      </c>
      <c r="C143" t="s">
        <v>835</v>
      </c>
    </row>
    <row r="144" spans="1:4">
      <c r="A144">
        <v>554349</v>
      </c>
      <c r="B144" t="str">
        <f>+VLOOKUP(A144,'TB Mar18'!L:N,3,0)</f>
        <v>Dividend Distribution-QDP</v>
      </c>
      <c r="C144" t="s">
        <v>835</v>
      </c>
    </row>
    <row r="145" spans="1:4">
      <c r="A145">
        <v>554351</v>
      </c>
      <c r="B145" t="str">
        <f>+VLOOKUP(A145,'TB Mar18'!L:N,3,0)</f>
        <v>Dividend Distribution-YDP</v>
      </c>
      <c r="C145" t="s">
        <v>375</v>
      </c>
    </row>
    <row r="146" spans="1:4">
      <c r="A146">
        <v>554492</v>
      </c>
      <c r="B146" t="str">
        <f>+VLOOKUP(A146,'TB Mar18'!L:N,3,0)</f>
        <v>Dividend Distribution-RAD</v>
      </c>
      <c r="C146" t="s">
        <v>835</v>
      </c>
    </row>
    <row r="147" spans="1:4">
      <c r="A147">
        <v>556308</v>
      </c>
      <c r="B147" t="str">
        <f>+VLOOKUP(A147,'TB Mar18'!L:N,3,0)</f>
        <v>DDT Expense-RQD</v>
      </c>
      <c r="C147" t="s">
        <v>835</v>
      </c>
    </row>
    <row r="148" spans="1:4">
      <c r="A148">
        <v>556349</v>
      </c>
      <c r="B148" t="str">
        <f>+VLOOKUP(A148,'TB Mar18'!L:N,3,0)</f>
        <v>DDT Expense-QDP</v>
      </c>
      <c r="C148" t="s">
        <v>835</v>
      </c>
    </row>
    <row r="149" spans="1:4">
      <c r="A149">
        <v>556351</v>
      </c>
      <c r="B149" t="str">
        <f>+VLOOKUP(A149,'TB Mar18'!L:N,3,0)</f>
        <v>DDT Expense-YDP</v>
      </c>
      <c r="C149" t="s">
        <v>835</v>
      </c>
    </row>
    <row r="150" spans="1:4">
      <c r="A150">
        <v>556390</v>
      </c>
      <c r="B150" t="str">
        <f>+VLOOKUP(A150,'TB Mar18'!L:N,3,0)</f>
        <v>DDT Expense-RAD</v>
      </c>
      <c r="C150" t="s">
        <v>835</v>
      </c>
    </row>
    <row r="151" spans="1:4">
      <c r="A151">
        <v>412180</v>
      </c>
      <c r="B151" t="str">
        <f>+VLOOKUP(A151,'TB Mar18'!L:N,3,0)</f>
        <v>R/L G/P - Commercial Paper</v>
      </c>
      <c r="C151">
        <v>5.3</v>
      </c>
    </row>
    <row r="152" spans="1:4">
      <c r="A152">
        <v>414120</v>
      </c>
      <c r="B152" t="str">
        <f>+VLOOKUP(A152,'TB Mar18'!L:N,3,0)</f>
        <v>Gain on Redemption - Debenture</v>
      </c>
      <c r="C152">
        <v>5.3</v>
      </c>
    </row>
    <row r="153" spans="1:4">
      <c r="A153">
        <v>427310</v>
      </c>
      <c r="B153" t="str">
        <f>+VLOOKUP(A153,'TB Mar18'!L:N,3,0)</f>
        <v>R/L Gain - Inter Scheme CD</v>
      </c>
      <c r="C153">
        <v>5.4</v>
      </c>
    </row>
    <row r="154" spans="1:4">
      <c r="A154">
        <v>432190</v>
      </c>
      <c r="B154" t="str">
        <f>+VLOOKUP(A154,'TB Mar18'!L:N,3,0)</f>
        <v>UR/L G/P - Cert. of Deposits</v>
      </c>
      <c r="C154" t="s">
        <v>375</v>
      </c>
    </row>
    <row r="155" spans="1:4">
      <c r="A155">
        <v>553139</v>
      </c>
      <c r="B155" t="str">
        <f>+VLOOKUP(A155,'TB Mar18'!L:N,3,0)</f>
        <v>Interest Expense</v>
      </c>
      <c r="C155">
        <v>6.3</v>
      </c>
    </row>
    <row r="156" spans="1:4">
      <c r="A156">
        <v>512228</v>
      </c>
      <c r="B156" t="str">
        <f>+VLOOKUP(A156,'TB Mar18'!L:N,3,0)</f>
        <v>R/L L/P - CBLO</v>
      </c>
      <c r="C156">
        <v>5.3</v>
      </c>
    </row>
    <row r="157" spans="1:4">
      <c r="A157">
        <v>527310</v>
      </c>
      <c r="B157" t="str">
        <f>+VLOOKUP(A157,'TB Mar18'!L:N,3,0)</f>
        <v>R/L Loss - Inter Scheme CD</v>
      </c>
      <c r="C157">
        <v>5.4</v>
      </c>
    </row>
    <row r="158" spans="1:4">
      <c r="A158">
        <v>555156</v>
      </c>
      <c r="B158" t="str">
        <f>+VLOOKUP(A158,'TB Mar18'!L:N,3,0)</f>
        <v>Int On Borrowing From Bank</v>
      </c>
      <c r="C158">
        <v>6.3</v>
      </c>
    </row>
    <row r="159" spans="1:4">
      <c r="A159">
        <v>555605</v>
      </c>
      <c r="B159" t="str">
        <f>+VLOOKUP(A159,'TB Mar18'!L:N,3,0)</f>
        <v>CGST on Mfees -Regular</v>
      </c>
      <c r="C159">
        <v>6.3</v>
      </c>
      <c r="D159">
        <v>6.1</v>
      </c>
    </row>
    <row r="160" spans="1:4">
      <c r="A160">
        <v>555606</v>
      </c>
      <c r="B160" t="str">
        <f>+VLOOKUP(A160,'TB Mar18'!L:N,3,0)</f>
        <v>SGST on Mfees -Regular</v>
      </c>
      <c r="C160">
        <v>6.3</v>
      </c>
      <c r="D160">
        <v>6.1</v>
      </c>
    </row>
    <row r="161" spans="1:4">
      <c r="A161">
        <v>555521</v>
      </c>
      <c r="B161" t="str">
        <f>+VLOOKUP(A161,'TB Mar18'!L:N,3,0)</f>
        <v>Management Fees-Regular</v>
      </c>
      <c r="C161">
        <v>6.3</v>
      </c>
      <c r="D161">
        <v>6.1</v>
      </c>
    </row>
    <row r="162" spans="1:4">
      <c r="A162">
        <v>435100</v>
      </c>
      <c r="B162" t="str">
        <f>+VLOOKUP(A162,'TB Mar18'!L:N,3,0)</f>
        <v>UR/L G/P - Fund of Funds</v>
      </c>
      <c r="C162" t="s">
        <v>375</v>
      </c>
    </row>
    <row r="163" spans="1:4">
      <c r="A163">
        <v>522229</v>
      </c>
      <c r="B163" t="str">
        <f>+VLOOKUP(A163,'TB Mar18'!L:N,3,0)</f>
        <v>Loss On Sale  Mutual Fund Unit</v>
      </c>
      <c r="C163">
        <v>5.3</v>
      </c>
    </row>
    <row r="164" spans="1:4">
      <c r="A164">
        <v>452223</v>
      </c>
      <c r="B164" t="str">
        <f>+VLOOKUP(A164,'TB Mar18'!L:N,3,0)</f>
        <v>Int Income - Fixed Deposit</v>
      </c>
      <c r="C164">
        <v>5.2</v>
      </c>
    </row>
    <row r="165" spans="1:4">
      <c r="A165">
        <v>553135</v>
      </c>
      <c r="B165" t="str">
        <f>+VLOOKUP(A165,'TB Mar18'!L:N,3,0)</f>
        <v>Listing Expenses</v>
      </c>
      <c r="C165">
        <v>6.3</v>
      </c>
    </row>
    <row r="166" spans="1:4">
      <c r="A166">
        <v>555619</v>
      </c>
      <c r="B166" t="str">
        <f>+VLOOKUP(A166,'TB Mar18'!L:N,3,0)</f>
        <v>CGST on Mfees -G</v>
      </c>
      <c r="C166">
        <v>6.3</v>
      </c>
      <c r="D166">
        <v>6.1</v>
      </c>
    </row>
    <row r="167" spans="1:4">
      <c r="A167">
        <v>555620</v>
      </c>
      <c r="B167" t="str">
        <f>+VLOOKUP(A167,'TB Mar18'!L:N,3,0)</f>
        <v>SGST on Mfees -G</v>
      </c>
      <c r="C167">
        <v>6.3</v>
      </c>
      <c r="D167">
        <v>6.1</v>
      </c>
    </row>
    <row r="168" spans="1:4">
      <c r="A168">
        <v>555839</v>
      </c>
      <c r="B168" t="str">
        <f>+VLOOKUP(A168,'TB Mar18'!L:N,3,0)</f>
        <v>CGST on Mfees -DDP</v>
      </c>
      <c r="C168">
        <v>6.3</v>
      </c>
      <c r="D168">
        <v>6.1</v>
      </c>
    </row>
    <row r="169" spans="1:4">
      <c r="A169">
        <v>555840</v>
      </c>
      <c r="B169" t="str">
        <f>+VLOOKUP(A169,'TB Mar18'!L:N,3,0)</f>
        <v>SGST on Mfees -DDP</v>
      </c>
      <c r="C169">
        <v>6.3</v>
      </c>
      <c r="D169">
        <v>6.1</v>
      </c>
    </row>
    <row r="170" spans="1:4">
      <c r="A170">
        <v>512180</v>
      </c>
      <c r="B170" t="str">
        <f>+VLOOKUP(A170,'TB Mar18'!L:N,3,0)</f>
        <v>R/L L/P - Commercial Paper</v>
      </c>
      <c r="C170">
        <v>5.3</v>
      </c>
    </row>
    <row r="171" spans="1:4">
      <c r="A171">
        <v>512190</v>
      </c>
      <c r="B171" t="str">
        <f>+VLOOKUP(A171,'TB Mar18'!L:N,3,0)</f>
        <v>R/L L/P - Cert. of Deposits</v>
      </c>
      <c r="C171">
        <v>5.3</v>
      </c>
    </row>
    <row r="172" spans="1:4">
      <c r="A172">
        <v>460226</v>
      </c>
      <c r="B172" t="e">
        <f>+VLOOKUP(A172,'TB Mar18'!L:N,3,0)</f>
        <v>#N/A</v>
      </c>
      <c r="C172">
        <v>5.5</v>
      </c>
    </row>
    <row r="173" spans="1:4">
      <c r="A173">
        <v>460227</v>
      </c>
      <c r="B173" t="e">
        <f>+VLOOKUP(A173,'TB Mar18'!L:N,3,0)</f>
        <v>#N/A</v>
      </c>
      <c r="C173">
        <v>5.5</v>
      </c>
    </row>
    <row r="174" spans="1:4">
      <c r="A174">
        <v>460278</v>
      </c>
      <c r="B174" t="e">
        <f>+VLOOKUP(A174,'TB Mar18'!L:N,3,0)</f>
        <v>#N/A</v>
      </c>
      <c r="C174">
        <v>5.5</v>
      </c>
    </row>
    <row r="175" spans="1:4">
      <c r="A175">
        <v>460279</v>
      </c>
      <c r="B175" t="e">
        <f>+VLOOKUP(A175,'TB Mar18'!L:N,3,0)</f>
        <v>#N/A</v>
      </c>
      <c r="C175">
        <v>5.5</v>
      </c>
    </row>
    <row r="176" spans="1:4">
      <c r="A176">
        <v>553381</v>
      </c>
      <c r="B176" t="e">
        <f>+VLOOKUP(A176,'TB Mar18'!L:N,3,0)</f>
        <v>#N/A</v>
      </c>
      <c r="C176">
        <v>6.3</v>
      </c>
    </row>
    <row r="177" spans="1:4">
      <c r="A177">
        <v>553382</v>
      </c>
      <c r="B177" t="e">
        <f>+VLOOKUP(A177,'TB Mar18'!L:N,3,0)</f>
        <v>#N/A</v>
      </c>
      <c r="C177">
        <v>6.3</v>
      </c>
    </row>
    <row r="178" spans="1:4">
      <c r="A178">
        <v>553383</v>
      </c>
      <c r="B178" t="e">
        <f>+VLOOKUP(A178,'TB Mar18'!L:N,3,0)</f>
        <v>#N/A</v>
      </c>
      <c r="C178">
        <v>6.3</v>
      </c>
    </row>
    <row r="179" spans="1:4">
      <c r="A179">
        <v>553384</v>
      </c>
      <c r="B179" t="e">
        <f>+VLOOKUP(A179,'TB Mar18'!L:N,3,0)</f>
        <v>#N/A</v>
      </c>
      <c r="C179">
        <v>6.3</v>
      </c>
    </row>
    <row r="180" spans="1:4">
      <c r="A180">
        <v>553385</v>
      </c>
      <c r="B180" t="e">
        <f>+VLOOKUP(A180,'TB Mar18'!L:N,3,0)</f>
        <v>#N/A</v>
      </c>
      <c r="C180">
        <v>6.3</v>
      </c>
    </row>
    <row r="181" spans="1:4">
      <c r="A181">
        <v>553386</v>
      </c>
      <c r="B181" t="e">
        <f>+VLOOKUP(A181,'TB Mar18'!L:N,3,0)</f>
        <v>#N/A</v>
      </c>
      <c r="C181">
        <v>6.3</v>
      </c>
    </row>
    <row r="182" spans="1:4">
      <c r="A182">
        <v>555355</v>
      </c>
      <c r="B182" t="e">
        <f>+VLOOKUP(A182,'TB Mar18'!L:N,3,0)</f>
        <v>#N/A</v>
      </c>
      <c r="C182">
        <v>6.3</v>
      </c>
      <c r="D182">
        <v>6.1</v>
      </c>
    </row>
    <row r="183" spans="1:4">
      <c r="A183">
        <v>555356</v>
      </c>
      <c r="B183" t="e">
        <f>+VLOOKUP(A183,'TB Mar18'!L:N,3,0)</f>
        <v>#N/A</v>
      </c>
      <c r="C183">
        <v>6.3</v>
      </c>
      <c r="D183">
        <v>6.1</v>
      </c>
    </row>
    <row r="184" spans="1:4">
      <c r="A184">
        <v>555514</v>
      </c>
      <c r="B184" t="e">
        <f>+VLOOKUP(A184,'TB Mar18'!L:N,3,0)</f>
        <v>#N/A</v>
      </c>
      <c r="C184">
        <v>6.3</v>
      </c>
      <c r="D184">
        <v>6.1</v>
      </c>
    </row>
    <row r="185" spans="1:4">
      <c r="A185">
        <v>555515</v>
      </c>
      <c r="B185" t="e">
        <f>+VLOOKUP(A185,'TB Mar18'!L:N,3,0)</f>
        <v>#N/A</v>
      </c>
      <c r="C185">
        <v>6.3</v>
      </c>
      <c r="D185">
        <v>6.1</v>
      </c>
    </row>
  </sheetData>
  <autoFilter ref="A1:D185" xr:uid="{00000000-0009-0000-0000-000009000000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D1:Z41"/>
  <sheetViews>
    <sheetView topLeftCell="A7" workbookViewId="0">
      <selection activeCell="H35" sqref="H35"/>
    </sheetView>
  </sheetViews>
  <sheetFormatPr defaultRowHeight="15"/>
  <cols>
    <col min="4" max="4" width="11.42578125" bestFit="1" customWidth="1"/>
    <col min="5" max="5" width="16.42578125" bestFit="1" customWidth="1"/>
    <col min="6" max="6" width="13.85546875" bestFit="1" customWidth="1"/>
    <col min="8" max="8" width="27.85546875" bestFit="1" customWidth="1"/>
    <col min="10" max="10" width="13.85546875" bestFit="1" customWidth="1"/>
    <col min="12" max="12" width="30.28515625" bestFit="1" customWidth="1"/>
    <col min="14" max="14" width="13.42578125" bestFit="1" customWidth="1"/>
    <col min="16" max="16" width="19.5703125" bestFit="1" customWidth="1"/>
    <col min="17" max="17" width="20" bestFit="1" customWidth="1"/>
    <col min="19" max="19" width="12.7109375" style="149" bestFit="1" customWidth="1"/>
    <col min="20" max="20" width="9.140625" style="149"/>
    <col min="21" max="21" width="11.140625" style="149" bestFit="1" customWidth="1"/>
    <col min="24" max="24" width="11" bestFit="1" customWidth="1"/>
    <col min="26" max="26" width="9.28515625" bestFit="1" customWidth="1"/>
  </cols>
  <sheetData>
    <row r="1" spans="4:26">
      <c r="D1" s="144"/>
      <c r="E1" s="159" t="s">
        <v>1599</v>
      </c>
      <c r="F1" s="159"/>
      <c r="G1" s="131"/>
      <c r="H1" s="159" t="s">
        <v>1598</v>
      </c>
      <c r="I1" s="159"/>
      <c r="J1" s="159"/>
      <c r="K1" s="131"/>
      <c r="L1" s="159" t="s">
        <v>1597</v>
      </c>
      <c r="M1" s="159"/>
      <c r="N1" s="159"/>
      <c r="O1" s="131"/>
      <c r="P1" s="159" t="s">
        <v>1600</v>
      </c>
      <c r="Q1" s="159" t="s">
        <v>1603</v>
      </c>
      <c r="R1" s="131"/>
      <c r="S1" s="161" t="s">
        <v>1604</v>
      </c>
      <c r="T1" s="160"/>
      <c r="U1" s="161" t="s">
        <v>1605</v>
      </c>
    </row>
    <row r="2" spans="4:26">
      <c r="D2" s="131"/>
      <c r="E2" s="131">
        <v>6.1</v>
      </c>
      <c r="F2" s="131">
        <v>6.3</v>
      </c>
      <c r="G2" s="131"/>
      <c r="H2" s="131">
        <v>6.1</v>
      </c>
      <c r="I2" s="131"/>
      <c r="J2" s="131">
        <v>6.3</v>
      </c>
      <c r="K2" s="131"/>
      <c r="L2" s="131">
        <v>6.1</v>
      </c>
      <c r="M2" s="131"/>
      <c r="N2" s="131">
        <v>6.3</v>
      </c>
      <c r="O2" s="131"/>
      <c r="P2" s="131"/>
      <c r="Q2" s="131"/>
      <c r="R2" s="131"/>
      <c r="S2" s="160"/>
      <c r="T2" s="160"/>
      <c r="U2" s="160"/>
    </row>
    <row r="3" spans="4:26">
      <c r="D3" s="131"/>
      <c r="E3" s="131" t="s">
        <v>1595</v>
      </c>
      <c r="F3" s="131" t="s">
        <v>1596</v>
      </c>
      <c r="G3" s="131"/>
      <c r="H3" s="131" t="s">
        <v>1595</v>
      </c>
      <c r="I3" s="131"/>
      <c r="J3" s="131" t="s">
        <v>1596</v>
      </c>
      <c r="K3" s="131"/>
      <c r="L3" s="131" t="s">
        <v>1595</v>
      </c>
      <c r="M3" s="131"/>
      <c r="N3" s="131" t="s">
        <v>1596</v>
      </c>
      <c r="O3" s="131"/>
      <c r="P3" s="131"/>
      <c r="Q3" s="131"/>
      <c r="R3" s="131"/>
      <c r="T3" s="160"/>
    </row>
    <row r="4" spans="4:26">
      <c r="D4" s="131" t="s">
        <v>3</v>
      </c>
      <c r="E4" s="164">
        <f>+SUMIFS('TB Mar18'!$AB:$AB,'TB Mar18'!$D:$D,'Exp ratio'!$D4&amp;'Exp ratio'!$E$2)*10000000</f>
        <v>40798625.450000003</v>
      </c>
      <c r="F4" s="164">
        <f>+SUMIFS('TB Mar18'!$AB:$AB,'TB Mar18'!$E:$E,'Exp ratio'!$D4&amp;'Exp ratio'!$F$2)*10000000</f>
        <v>65490421.729999989</v>
      </c>
      <c r="G4" s="131"/>
      <c r="H4" s="164">
        <f>(+HLOOKUP($D4,'Sep 2017 HY'!$3:$93,91,0))*10000000</f>
        <v>16990667.299999997</v>
      </c>
      <c r="I4" s="131"/>
      <c r="J4" s="164">
        <f>(+HLOOKUP($D4,'Sep 2017 HY'!$3:$95,93,0))*10000000</f>
        <v>32584374.479999997</v>
      </c>
      <c r="K4" s="131"/>
      <c r="L4" s="164">
        <f t="shared" ref="L4:L28" si="0">+E4-H4</f>
        <v>23807958.150000006</v>
      </c>
      <c r="M4" s="164"/>
      <c r="N4" s="164">
        <f>+F4-J4</f>
        <v>32906047.249999993</v>
      </c>
      <c r="O4" s="131"/>
      <c r="P4" s="164">
        <f>+VLOOKUP($D4,AAUM!$A:$C,3,0)</f>
        <v>2521970228.2699256</v>
      </c>
      <c r="Q4" s="131">
        <f>+VLOOKUP($D4,AAUM!$A:$B,2,0)</f>
        <v>182</v>
      </c>
      <c r="R4" s="131"/>
      <c r="S4" s="220">
        <f t="shared" ref="S4:S28" si="1">+L4/P4/Q4*365</f>
        <v>1.8932312809109748E-2</v>
      </c>
      <c r="T4" s="220"/>
      <c r="U4" s="220">
        <f t="shared" ref="U4:U28" si="2">+N4/P4/Q4*365</f>
        <v>2.6167199048455374E-2</v>
      </c>
      <c r="X4" s="149"/>
      <c r="Z4" s="149"/>
    </row>
    <row r="5" spans="4:26">
      <c r="D5" s="131" t="s">
        <v>4</v>
      </c>
      <c r="E5" s="164">
        <f>+SUMIFS('TB Mar18'!$AB:$AB,'TB Mar18'!$D:$D,'Exp ratio'!$D5&amp;'Exp ratio'!$E$2)*10000000</f>
        <v>28132370.649999995</v>
      </c>
      <c r="F5" s="164">
        <f>+SUMIFS('TB Mar18'!$AB:$AB,'TB Mar18'!$E:$E,'Exp ratio'!$D5&amp;'Exp ratio'!$F$2)*10000000</f>
        <v>63995435.969999999</v>
      </c>
      <c r="G5" s="131"/>
      <c r="H5" s="164">
        <f>(+HLOOKUP($D5,'Sep 2017 HY'!$3:$93,91,0))*10000000</f>
        <v>14125215.600000003</v>
      </c>
      <c r="I5" s="131"/>
      <c r="J5" s="164">
        <f>(+HLOOKUP($D5,'Sep 2017 HY'!$3:$95,93,0))*10000000</f>
        <v>24341704.440000001</v>
      </c>
      <c r="K5" s="131"/>
      <c r="L5" s="164">
        <f t="shared" si="0"/>
        <v>14007155.049999991</v>
      </c>
      <c r="M5" s="164"/>
      <c r="N5" s="164">
        <f t="shared" ref="N5:N28" si="3">+F5-J5</f>
        <v>39653731.530000001</v>
      </c>
      <c r="O5" s="131"/>
      <c r="P5" s="164">
        <f>+VLOOKUP($D5,AAUM!$A:$C,3,0)</f>
        <v>2946610729.9341707</v>
      </c>
      <c r="Q5" s="131">
        <f>+VLOOKUP($D5,AAUM!$A:$B,2,0)</f>
        <v>182</v>
      </c>
      <c r="R5" s="131"/>
      <c r="S5" s="220">
        <f t="shared" si="1"/>
        <v>9.5334182438859758E-3</v>
      </c>
      <c r="T5" s="220"/>
      <c r="U5" s="220">
        <f t="shared" si="2"/>
        <v>2.6988750124976937E-2</v>
      </c>
      <c r="Z5" s="149"/>
    </row>
    <row r="6" spans="4:26">
      <c r="D6" s="131" t="s">
        <v>5</v>
      </c>
      <c r="E6" s="164">
        <f>+SUMIFS('TB Mar18'!$AB:$AB,'TB Mar18'!$D:$D,'Exp ratio'!$D6&amp;'Exp ratio'!$E$2)*10000000</f>
        <v>67694955.229999989</v>
      </c>
      <c r="F6" s="164">
        <f>+SUMIFS('TB Mar18'!$AB:$AB,'TB Mar18'!$E:$E,'Exp ratio'!$D6&amp;'Exp ratio'!$F$2)*10000000</f>
        <v>92582487.190000027</v>
      </c>
      <c r="G6" s="131"/>
      <c r="H6" s="164">
        <f>(+HLOOKUP($D6,'Sep 2017 HY'!$3:$93,91,0))*10000000</f>
        <v>31695761.749999993</v>
      </c>
      <c r="I6" s="131"/>
      <c r="J6" s="164">
        <f>(+HLOOKUP($D6,'Sep 2017 HY'!$3:$95,93,0))*10000000</f>
        <v>48006256.779999994</v>
      </c>
      <c r="K6" s="131"/>
      <c r="L6" s="164">
        <f t="shared" si="0"/>
        <v>35999193.479999997</v>
      </c>
      <c r="M6" s="164"/>
      <c r="N6" s="164">
        <f t="shared" si="3"/>
        <v>44576230.410000034</v>
      </c>
      <c r="O6" s="131"/>
      <c r="P6" s="164">
        <f>+VLOOKUP($D6,AAUM!$A:$C,3,0)</f>
        <v>3624352750.6105213</v>
      </c>
      <c r="Q6" s="131">
        <f>+VLOOKUP($D6,AAUM!$A:$B,2,0)</f>
        <v>182</v>
      </c>
      <c r="R6" s="131"/>
      <c r="S6" s="220">
        <f t="shared" si="1"/>
        <v>1.9919745591598991E-2</v>
      </c>
      <c r="T6" s="220"/>
      <c r="U6" s="220">
        <f t="shared" si="2"/>
        <v>2.4665751739494226E-2</v>
      </c>
      <c r="Z6" s="149"/>
    </row>
    <row r="7" spans="4:26">
      <c r="D7" s="131" t="s">
        <v>6</v>
      </c>
      <c r="E7" s="164">
        <f>+SUMIFS('TB Mar18'!$AB:$AB,'TB Mar18'!$D:$D,'Exp ratio'!$D7&amp;'Exp ratio'!$E$2)*10000000</f>
        <v>42810280.450000003</v>
      </c>
      <c r="F7" s="164">
        <f>+SUMIFS('TB Mar18'!$AB:$AB,'TB Mar18'!$E:$E,'Exp ratio'!$D7&amp;'Exp ratio'!$F$2)*10000000</f>
        <v>62680610.079999991</v>
      </c>
      <c r="G7" s="131"/>
      <c r="H7" s="164">
        <f>(+HLOOKUP($D7,'Sep 2017 HY'!$3:$93,91,0))*10000000</f>
        <v>19694111.370000001</v>
      </c>
      <c r="I7" s="131"/>
      <c r="J7" s="164">
        <f>(+HLOOKUP($D7,'Sep 2017 HY'!$3:$95,93,0))*10000000</f>
        <v>30400798.27</v>
      </c>
      <c r="K7" s="131"/>
      <c r="L7" s="164">
        <f t="shared" si="0"/>
        <v>23116169.080000002</v>
      </c>
      <c r="M7" s="164"/>
      <c r="N7" s="164">
        <f t="shared" si="3"/>
        <v>32279811.809999991</v>
      </c>
      <c r="O7" s="131"/>
      <c r="P7" s="164">
        <f>+VLOOKUP($D7,AAUM!$A:$C,3,0)</f>
        <v>2333071627.7121568</v>
      </c>
      <c r="Q7" s="131">
        <f>+VLOOKUP($D7,AAUM!$A:$B,2,0)</f>
        <v>182</v>
      </c>
      <c r="R7" s="131"/>
      <c r="S7" s="220">
        <f t="shared" si="1"/>
        <v>1.9870521559375621E-2</v>
      </c>
      <c r="T7" s="220"/>
      <c r="U7" s="220">
        <f t="shared" si="2"/>
        <v>2.7747534389603649E-2</v>
      </c>
      <c r="Z7" s="149"/>
    </row>
    <row r="8" spans="4:26">
      <c r="D8" s="131" t="s">
        <v>7</v>
      </c>
      <c r="E8" s="164">
        <f>+SUMIFS('TB Mar18'!$AB:$AB,'TB Mar18'!$D:$D,'Exp ratio'!$D8&amp;'Exp ratio'!$E$2)*10000000</f>
        <v>22107100.869999997</v>
      </c>
      <c r="F8" s="164">
        <f>+SUMIFS('TB Mar18'!$AB:$AB,'TB Mar18'!$E:$E,'Exp ratio'!$D8&amp;'Exp ratio'!$F$2)*10000000</f>
        <v>37293684.539999999</v>
      </c>
      <c r="G8" s="131"/>
      <c r="H8" s="164">
        <f>(+HLOOKUP($D8,'Sep 2017 HY'!$3:$93,91,0))*10000000</f>
        <v>9409090.1699999999</v>
      </c>
      <c r="I8" s="131"/>
      <c r="J8" s="164">
        <f>(+HLOOKUP($D8,'Sep 2017 HY'!$3:$95,93,0))*10000000</f>
        <v>16159893.060000001</v>
      </c>
      <c r="K8" s="131"/>
      <c r="L8" s="164">
        <f t="shared" si="0"/>
        <v>12698010.699999997</v>
      </c>
      <c r="M8" s="164"/>
      <c r="N8" s="164">
        <f t="shared" si="3"/>
        <v>21133791.479999997</v>
      </c>
      <c r="O8" s="131"/>
      <c r="P8" s="164">
        <f>+VLOOKUP($D8,AAUM!$A:$C,3,0)</f>
        <v>1454064983.1481011</v>
      </c>
      <c r="Q8" s="131">
        <f>+VLOOKUP($D8,AAUM!$A:$B,2,0)</f>
        <v>182</v>
      </c>
      <c r="R8" s="131"/>
      <c r="S8" s="220">
        <f t="shared" si="1"/>
        <v>1.7513516235310278E-2</v>
      </c>
      <c r="T8" s="220"/>
      <c r="U8" s="220">
        <f t="shared" si="2"/>
        <v>2.9148424028233182E-2</v>
      </c>
      <c r="Z8" s="149"/>
    </row>
    <row r="9" spans="4:26">
      <c r="D9" s="131" t="s">
        <v>8</v>
      </c>
      <c r="E9" s="164">
        <f>+SUMIFS('TB Mar18'!$AB:$AB,'TB Mar18'!$D:$D,'Exp ratio'!$D9&amp;'Exp ratio'!$E$2)*10000000</f>
        <v>23138549.539999999</v>
      </c>
      <c r="F9" s="164">
        <f>+SUMIFS('TB Mar18'!$AB:$AB,'TB Mar18'!$E:$E,'Exp ratio'!$D9&amp;'Exp ratio'!$F$2)*10000000</f>
        <v>30777244.210000008</v>
      </c>
      <c r="G9" s="131"/>
      <c r="H9" s="164">
        <f>(+HLOOKUP($D9,'Sep 2017 HY'!$3:$93,91,0))*10000000</f>
        <v>11411397.110000003</v>
      </c>
      <c r="I9" s="131"/>
      <c r="J9" s="164">
        <f>(+HLOOKUP($D9,'Sep 2017 HY'!$3:$95,93,0))*10000000</f>
        <v>15915505.670000006</v>
      </c>
      <c r="K9" s="131"/>
      <c r="L9" s="164">
        <f t="shared" si="0"/>
        <v>11727152.429999996</v>
      </c>
      <c r="M9" s="164"/>
      <c r="N9" s="164">
        <f t="shared" si="3"/>
        <v>14861738.540000003</v>
      </c>
      <c r="O9" s="131"/>
      <c r="P9" s="164">
        <f>+VLOOKUP($D9,AAUM!$A:$C,3,0)</f>
        <v>1103424731.7520921</v>
      </c>
      <c r="Q9" s="131">
        <f>+VLOOKUP($D9,AAUM!$A:$B,2,0)</f>
        <v>182</v>
      </c>
      <c r="R9" s="131"/>
      <c r="S9" s="220">
        <f t="shared" si="1"/>
        <v>2.1314312690922644E-2</v>
      </c>
      <c r="T9" s="220"/>
      <c r="U9" s="220">
        <f t="shared" si="2"/>
        <v>2.7011479919196064E-2</v>
      </c>
      <c r="Z9" s="149"/>
    </row>
    <row r="10" spans="4:26">
      <c r="D10" s="131" t="s">
        <v>9</v>
      </c>
      <c r="E10" s="164">
        <f>+SUMIFS('TB Mar18'!$AB:$AB,'TB Mar18'!$D:$D,'Exp ratio'!$D10&amp;'Exp ratio'!$E$2)*10000000</f>
        <v>34752823.629999995</v>
      </c>
      <c r="F10" s="164">
        <f>+SUMIFS('TB Mar18'!$AB:$AB,'TB Mar18'!$E:$E,'Exp ratio'!$D10&amp;'Exp ratio'!$F$2)*10000000</f>
        <v>51915238.519999996</v>
      </c>
      <c r="G10" s="131"/>
      <c r="H10" s="164">
        <f>(+HLOOKUP($D10,'Sep 2017 HY'!$3:$93,91,0))*10000000</f>
        <v>21006820.230000004</v>
      </c>
      <c r="I10" s="131"/>
      <c r="J10" s="164">
        <f>(+HLOOKUP($D10,'Sep 2017 HY'!$3:$95,93,0))*10000000</f>
        <v>31008678.100000005</v>
      </c>
      <c r="K10" s="131"/>
      <c r="L10" s="164">
        <f t="shared" si="0"/>
        <v>13746003.399999991</v>
      </c>
      <c r="M10" s="164"/>
      <c r="N10" s="164">
        <f t="shared" si="3"/>
        <v>20906560.419999991</v>
      </c>
      <c r="O10" s="131"/>
      <c r="P10" s="164">
        <f>+VLOOKUP($D10,AAUM!$A:$C,3,0)</f>
        <v>4327555630.2728567</v>
      </c>
      <c r="Q10" s="131">
        <f>+VLOOKUP($D10,AAUM!$A:$B,2,0)</f>
        <v>182</v>
      </c>
      <c r="R10" s="131"/>
      <c r="S10" s="220">
        <f t="shared" si="1"/>
        <v>6.3702322157024741E-3</v>
      </c>
      <c r="T10" s="220"/>
      <c r="U10" s="220">
        <f t="shared" si="2"/>
        <v>9.6886084508762925E-3</v>
      </c>
      <c r="Z10" s="149"/>
    </row>
    <row r="11" spans="4:26">
      <c r="D11" s="131" t="s">
        <v>10</v>
      </c>
      <c r="E11" s="164">
        <f>+SUMIFS('TB Mar18'!$AB:$AB,'TB Mar18'!$D:$D,'Exp ratio'!$D11&amp;'Exp ratio'!$E$2)*10000000</f>
        <v>16224559.869999999</v>
      </c>
      <c r="F11" s="164">
        <f>+SUMIFS('TB Mar18'!$AB:$AB,'TB Mar18'!$E:$E,'Exp ratio'!$D11&amp;'Exp ratio'!$F$2)*10000000</f>
        <v>21279809.73</v>
      </c>
      <c r="G11" s="131"/>
      <c r="H11" s="164">
        <f>(+HLOOKUP($D11,'Sep 2017 HY'!$3:$93,91,0))*10000000</f>
        <v>8979230.879999999</v>
      </c>
      <c r="I11" s="131"/>
      <c r="J11" s="164">
        <f>(+HLOOKUP($D11,'Sep 2017 HY'!$3:$95,93,0))*10000000</f>
        <v>12167809.309999999</v>
      </c>
      <c r="K11" s="131"/>
      <c r="L11" s="164">
        <f t="shared" si="0"/>
        <v>7245328.9900000002</v>
      </c>
      <c r="M11" s="164"/>
      <c r="N11" s="164">
        <f t="shared" si="3"/>
        <v>9112000.4200000018</v>
      </c>
      <c r="O11" s="131"/>
      <c r="P11" s="164">
        <f>+VLOOKUP($D11,AAUM!$A:$C,3,0)</f>
        <v>818503765.3648901</v>
      </c>
      <c r="Q11" s="131">
        <f>+VLOOKUP($D11,AAUM!$A:$B,2,0)</f>
        <v>182</v>
      </c>
      <c r="R11" s="131"/>
      <c r="S11" s="220">
        <f t="shared" si="1"/>
        <v>1.775247481417187E-2</v>
      </c>
      <c r="T11" s="220"/>
      <c r="U11" s="220">
        <f t="shared" si="2"/>
        <v>2.2326185351422331E-2</v>
      </c>
      <c r="Z11" s="149"/>
    </row>
    <row r="12" spans="4:26">
      <c r="D12" s="131" t="s">
        <v>11</v>
      </c>
      <c r="E12" s="164">
        <f>+SUMIFS('TB Mar18'!$AB:$AB,'TB Mar18'!$D:$D,'Exp ratio'!$D12&amp;'Exp ratio'!$E$2)*10000000</f>
        <v>2653558.81</v>
      </c>
      <c r="F12" s="164">
        <f>+SUMIFS('TB Mar18'!$AB:$AB,'TB Mar18'!$E:$E,'Exp ratio'!$D12&amp;'Exp ratio'!$F$2)*10000000</f>
        <v>4260762.62</v>
      </c>
      <c r="G12" s="131"/>
      <c r="H12" s="164">
        <f>(+HLOOKUP($D12,'Sep 2017 HY'!$3:$93,91,0))*10000000</f>
        <v>1239484.0099999998</v>
      </c>
      <c r="I12" s="131"/>
      <c r="J12" s="164">
        <f>(+HLOOKUP($D12,'Sep 2017 HY'!$3:$95,93,0))*10000000</f>
        <v>2038491.2599999995</v>
      </c>
      <c r="K12" s="131"/>
      <c r="L12" s="164">
        <f t="shared" si="0"/>
        <v>1414074.8000000003</v>
      </c>
      <c r="M12" s="164"/>
      <c r="N12" s="164">
        <f t="shared" si="3"/>
        <v>2222271.3600000003</v>
      </c>
      <c r="O12" s="131"/>
      <c r="P12" s="164">
        <f>+VLOOKUP($D12,AAUM!$A:$C,3,0)</f>
        <v>191293860.22100201</v>
      </c>
      <c r="Q12" s="131">
        <f>+VLOOKUP($D12,AAUM!$A:$B,2,0)</f>
        <v>182</v>
      </c>
      <c r="R12" s="131"/>
      <c r="S12" s="220">
        <f t="shared" si="1"/>
        <v>1.4824936035489596E-2</v>
      </c>
      <c r="T12" s="220"/>
      <c r="U12" s="220">
        <f t="shared" si="2"/>
        <v>2.3297940650311051E-2</v>
      </c>
      <c r="Z12" s="149"/>
    </row>
    <row r="13" spans="4:26">
      <c r="D13" s="131" t="s">
        <v>12</v>
      </c>
      <c r="E13" s="164">
        <f>+SUMIFS('TB Mar18'!$AB:$AB,'TB Mar18'!$D:$D,'Exp ratio'!$D13&amp;'Exp ratio'!$E$2)*10000000</f>
        <v>88140341.710000023</v>
      </c>
      <c r="F13" s="164">
        <f>+SUMIFS('TB Mar18'!$AB:$AB,'TB Mar18'!$E:$E,'Exp ratio'!$D13&amp;'Exp ratio'!$F$2)*10000000</f>
        <v>187974137.02000001</v>
      </c>
      <c r="G13" s="131"/>
      <c r="H13" s="164">
        <f>(+HLOOKUP($D13,'Sep 2017 HY'!$3:$93,91,0))*10000000</f>
        <v>40139185.440000013</v>
      </c>
      <c r="I13" s="131"/>
      <c r="J13" s="164">
        <f>(+HLOOKUP($D13,'Sep 2017 HY'!$3:$95,93,0))*10000000</f>
        <v>89060772.660000011</v>
      </c>
      <c r="K13" s="131"/>
      <c r="L13" s="164">
        <f t="shared" si="0"/>
        <v>48001156.270000011</v>
      </c>
      <c r="M13" s="164"/>
      <c r="N13" s="164">
        <f t="shared" si="3"/>
        <v>98913364.359999999</v>
      </c>
      <c r="O13" s="131"/>
      <c r="P13" s="164">
        <f>+VLOOKUP($D13,AAUM!$A:$C,3,0)</f>
        <v>141874217118.95782</v>
      </c>
      <c r="Q13" s="131">
        <f>+VLOOKUP($D13,AAUM!$A:$B,2,0)</f>
        <v>182</v>
      </c>
      <c r="R13" s="131"/>
      <c r="S13" s="220">
        <f t="shared" si="1"/>
        <v>6.7853100522240477E-4</v>
      </c>
      <c r="T13" s="220"/>
      <c r="U13" s="220">
        <f t="shared" si="2"/>
        <v>1.3982118299735026E-3</v>
      </c>
      <c r="Z13" s="149"/>
    </row>
    <row r="14" spans="4:26">
      <c r="D14" s="131" t="s">
        <v>13</v>
      </c>
      <c r="E14" s="164">
        <f>+SUMIFS('TB Mar18'!$AB:$AB,'TB Mar18'!$D:$D,'Exp ratio'!$D14&amp;'Exp ratio'!$E$2)*10000000</f>
        <v>1600708.76</v>
      </c>
      <c r="F14" s="164">
        <f>+SUMIFS('TB Mar18'!$AB:$AB,'TB Mar18'!$E:$E,'Exp ratio'!$D14&amp;'Exp ratio'!$F$2)*10000000</f>
        <v>2659344.2499999995</v>
      </c>
      <c r="G14" s="131"/>
      <c r="H14" s="164">
        <f>(+HLOOKUP($D14,'Sep 2017 HY'!$3:$93,91,0))*10000000</f>
        <v>712978.23</v>
      </c>
      <c r="I14" s="131"/>
      <c r="J14" s="164">
        <f>(+HLOOKUP($D14,'Sep 2017 HY'!$3:$95,93,0))*10000000</f>
        <v>1308734.4200000002</v>
      </c>
      <c r="K14" s="131"/>
      <c r="L14" s="164">
        <f t="shared" si="0"/>
        <v>887730.53</v>
      </c>
      <c r="M14" s="164"/>
      <c r="N14" s="164">
        <f t="shared" si="3"/>
        <v>1350609.8299999994</v>
      </c>
      <c r="O14" s="131"/>
      <c r="P14" s="164">
        <f>+VLOOKUP($D14,AAUM!$A:$C,3,0)</f>
        <v>145330806.54182142</v>
      </c>
      <c r="Q14" s="131">
        <f>+VLOOKUP($D14,AAUM!$A:$B,2,0)</f>
        <v>182</v>
      </c>
      <c r="R14" s="131"/>
      <c r="S14" s="220">
        <f t="shared" si="1"/>
        <v>1.2250249913547425E-2</v>
      </c>
      <c r="T14" s="220"/>
      <c r="U14" s="220">
        <f t="shared" si="2"/>
        <v>1.8637759313283719E-2</v>
      </c>
      <c r="Z14" s="149"/>
    </row>
    <row r="15" spans="4:26">
      <c r="D15" s="131" t="s">
        <v>14</v>
      </c>
      <c r="E15" s="164">
        <f>+SUMIFS('TB Mar18'!$AB:$AB,'TB Mar18'!$D:$D,'Exp ratio'!$D15&amp;'Exp ratio'!$E$2)*10000000</f>
        <v>1068890.7199999997</v>
      </c>
      <c r="F15" s="164">
        <f>+SUMIFS('TB Mar18'!$AB:$AB,'TB Mar18'!$E:$E,'Exp ratio'!$D15&amp;'Exp ratio'!$F$2)*10000000</f>
        <v>2185605.3800000004</v>
      </c>
      <c r="G15" s="131"/>
      <c r="H15" s="164">
        <f>(+HLOOKUP($D15,'Sep 2017 HY'!$3:$93,91,0))*10000000</f>
        <v>397495.33</v>
      </c>
      <c r="I15" s="131"/>
      <c r="J15" s="164">
        <f>(+HLOOKUP($D15,'Sep 2017 HY'!$3:$95,93,0))*10000000</f>
        <v>1023755.6000000002</v>
      </c>
      <c r="K15" s="131"/>
      <c r="L15" s="164">
        <f t="shared" si="0"/>
        <v>671395.38999999966</v>
      </c>
      <c r="M15" s="164"/>
      <c r="N15" s="164">
        <f t="shared" si="3"/>
        <v>1161849.7800000003</v>
      </c>
      <c r="O15" s="131"/>
      <c r="P15" s="164">
        <f>+VLOOKUP($D15,AAUM!$A:$C,3,0)</f>
        <v>222139322.94498587</v>
      </c>
      <c r="Q15" s="131">
        <f>+VLOOKUP($D15,AAUM!$A:$B,2,0)</f>
        <v>182</v>
      </c>
      <c r="R15" s="131"/>
      <c r="S15" s="220">
        <f t="shared" si="1"/>
        <v>6.061420138535327E-3</v>
      </c>
      <c r="T15" s="220"/>
      <c r="U15" s="220">
        <f t="shared" si="2"/>
        <v>1.0489288069798699E-2</v>
      </c>
      <c r="Z15" s="149"/>
    </row>
    <row r="16" spans="4:26">
      <c r="D16" s="131" t="s">
        <v>15</v>
      </c>
      <c r="E16" s="164">
        <f>+SUMIFS('TB Mar18'!$AB:$AB,'TB Mar18'!$D:$D,'Exp ratio'!$D16&amp;'Exp ratio'!$E$2)*10000000</f>
        <v>95113888.200000003</v>
      </c>
      <c r="F16" s="164">
        <f>+SUMIFS('TB Mar18'!$AB:$AB,'TB Mar18'!$E:$E,'Exp ratio'!$D16&amp;'Exp ratio'!$F$2)*10000000</f>
        <v>170251978.22999999</v>
      </c>
      <c r="G16" s="131"/>
      <c r="H16" s="164">
        <f>(+HLOOKUP($D16,'Sep 2017 HY'!$3:$93,91,0))*10000000</f>
        <v>52351294.670000002</v>
      </c>
      <c r="I16" s="131"/>
      <c r="J16" s="164">
        <f>(+HLOOKUP($D16,'Sep 2017 HY'!$3:$95,93,0))*10000000</f>
        <v>100870345.80999999</v>
      </c>
      <c r="K16" s="131"/>
      <c r="L16" s="164">
        <f t="shared" si="0"/>
        <v>42762593.530000001</v>
      </c>
      <c r="M16" s="164"/>
      <c r="N16" s="164">
        <f t="shared" si="3"/>
        <v>69381632.420000002</v>
      </c>
      <c r="O16" s="131"/>
      <c r="P16" s="164">
        <f>+VLOOKUP($D16,AAUM!$A:$C,3,0)</f>
        <v>31256183882.702068</v>
      </c>
      <c r="Q16" s="131">
        <f>+VLOOKUP($D16,AAUM!$A:$B,2,0)</f>
        <v>182</v>
      </c>
      <c r="R16" s="131"/>
      <c r="S16" s="220">
        <f t="shared" si="1"/>
        <v>2.7437817325029123E-3</v>
      </c>
      <c r="T16" s="220"/>
      <c r="U16" s="220">
        <f t="shared" si="2"/>
        <v>4.4517425135048357E-3</v>
      </c>
      <c r="Z16" s="149"/>
    </row>
    <row r="17" spans="4:26">
      <c r="D17" s="131" t="s">
        <v>16</v>
      </c>
      <c r="E17" s="164">
        <f>+SUMIFS('TB Mar18'!$AB:$AB,'TB Mar18'!$D:$D,'Exp ratio'!$D17&amp;'Exp ratio'!$E$2)*10000000</f>
        <v>15580572.190000001</v>
      </c>
      <c r="F17" s="164">
        <f>+SUMIFS('TB Mar18'!$AB:$AB,'TB Mar18'!$E:$E,'Exp ratio'!$D17&amp;'Exp ratio'!$F$2)*10000000</f>
        <v>25662741.829999994</v>
      </c>
      <c r="G17" s="131"/>
      <c r="H17" s="164">
        <f>(+HLOOKUP($D17,'Sep 2017 HY'!$3:$93,91,0))*10000000</f>
        <v>10266037.949999997</v>
      </c>
      <c r="I17" s="131"/>
      <c r="J17" s="164">
        <f>(+HLOOKUP($D17,'Sep 2017 HY'!$3:$95,93,0))*10000000</f>
        <v>15746419.309999997</v>
      </c>
      <c r="K17" s="131"/>
      <c r="L17" s="164">
        <f t="shared" si="0"/>
        <v>5314534.2400000039</v>
      </c>
      <c r="M17" s="164"/>
      <c r="N17" s="164">
        <f t="shared" si="3"/>
        <v>9916322.5199999977</v>
      </c>
      <c r="O17" s="131"/>
      <c r="P17" s="164">
        <f>+VLOOKUP($D17,AAUM!$A:$C,3,0)</f>
        <v>2242294375.1683488</v>
      </c>
      <c r="Q17" s="131">
        <f>+VLOOKUP($D17,AAUM!$A:$B,2,0)</f>
        <v>182</v>
      </c>
      <c r="R17" s="131"/>
      <c r="S17" s="220">
        <f t="shared" si="1"/>
        <v>4.7532872291945229E-3</v>
      </c>
      <c r="T17" s="220"/>
      <c r="U17" s="220">
        <f t="shared" si="2"/>
        <v>8.8690987895281674E-3</v>
      </c>
      <c r="Z17" s="149"/>
    </row>
    <row r="18" spans="4:26">
      <c r="D18" s="131" t="s">
        <v>17</v>
      </c>
      <c r="E18" s="164">
        <f>+SUMIFS('TB Mar18'!$AB:$AB,'TB Mar18'!$D:$D,'Exp ratio'!$D18&amp;'Exp ratio'!$E$2)*10000000</f>
        <v>11568101.98</v>
      </c>
      <c r="F18" s="164">
        <f>+SUMIFS('TB Mar18'!$AB:$AB,'TB Mar18'!$E:$E,'Exp ratio'!$D18&amp;'Exp ratio'!$F$2)*10000000</f>
        <v>18223966.260000002</v>
      </c>
      <c r="G18" s="131"/>
      <c r="H18" s="164">
        <f>(+HLOOKUP($D18,'Sep 2017 HY'!$3:$93,91,0))*10000000</f>
        <v>5290526.9799999995</v>
      </c>
      <c r="I18" s="131"/>
      <c r="J18" s="164">
        <f>(+HLOOKUP($D18,'Sep 2017 HY'!$3:$95,93,0))*10000000</f>
        <v>8678293.120000001</v>
      </c>
      <c r="K18" s="131"/>
      <c r="L18" s="164">
        <f t="shared" si="0"/>
        <v>6277575.0000000009</v>
      </c>
      <c r="M18" s="164"/>
      <c r="N18" s="164">
        <f t="shared" si="3"/>
        <v>9545673.1400000006</v>
      </c>
      <c r="O18" s="131"/>
      <c r="P18" s="164">
        <f>+VLOOKUP($D18,AAUM!$A:$C,3,0)</f>
        <v>700319098.16970813</v>
      </c>
      <c r="Q18" s="131">
        <f>+VLOOKUP($D18,AAUM!$A:$B,2,0)</f>
        <v>182</v>
      </c>
      <c r="R18" s="131"/>
      <c r="S18" s="220">
        <f t="shared" si="1"/>
        <v>1.7977008199880375E-2</v>
      </c>
      <c r="T18" s="220"/>
      <c r="U18" s="220">
        <f t="shared" si="2"/>
        <v>2.7335817463137891E-2</v>
      </c>
      <c r="Z18" s="149"/>
    </row>
    <row r="19" spans="4:26">
      <c r="D19" s="131" t="s">
        <v>25</v>
      </c>
      <c r="E19" s="164">
        <f>+SUMIFS('TB Mar18'!$AB:$AB,'TB Mar18'!$D:$D,'Exp ratio'!$D19&amp;'Exp ratio'!$E$2)*10000000</f>
        <v>3956403.2399999998</v>
      </c>
      <c r="F19" s="164">
        <f>+SUMIFS('TB Mar18'!$AB:$AB,'TB Mar18'!$E:$E,'Exp ratio'!$D19&amp;'Exp ratio'!$F$2)*10000000</f>
        <v>4797179.22</v>
      </c>
      <c r="G19" s="131"/>
      <c r="H19" s="164">
        <f>(+HLOOKUP($D19,'Sep 2017 HY'!$3:$93,91,0))*10000000</f>
        <v>1970506.65</v>
      </c>
      <c r="I19" s="131"/>
      <c r="J19" s="164">
        <f>(+HLOOKUP($D19,'Sep 2017 HY'!$3:$95,93,0))*10000000</f>
        <v>2378770.1799999997</v>
      </c>
      <c r="K19" s="131"/>
      <c r="L19" s="164">
        <f t="shared" si="0"/>
        <v>1985896.5899999999</v>
      </c>
      <c r="M19" s="164"/>
      <c r="N19" s="164">
        <f t="shared" si="3"/>
        <v>2418409.04</v>
      </c>
      <c r="O19" s="131"/>
      <c r="P19" s="164">
        <f>+VLOOKUP($D19,AAUM!$A:$C,3,0)</f>
        <v>193708817.91626367</v>
      </c>
      <c r="Q19" s="131">
        <f>+VLOOKUP($D19,AAUM!$A:$B,2,0)</f>
        <v>182</v>
      </c>
      <c r="R19" s="131"/>
      <c r="S19" s="220">
        <f t="shared" si="1"/>
        <v>2.056026536410395E-2</v>
      </c>
      <c r="T19" s="220"/>
      <c r="U19" s="220">
        <f t="shared" si="2"/>
        <v>2.5038127298132821E-2</v>
      </c>
      <c r="Z19" s="149"/>
    </row>
    <row r="20" spans="4:26">
      <c r="D20" s="131" t="s">
        <v>39</v>
      </c>
      <c r="E20" s="164">
        <f>+SUMIFS('TB Mar18'!$AB:$AB,'TB Mar18'!$D:$D,'Exp ratio'!$D20&amp;'Exp ratio'!$E$2)*10000000</f>
        <v>858097.78</v>
      </c>
      <c r="F20" s="164">
        <f>+SUMIFS('TB Mar18'!$AB:$AB,'TB Mar18'!$E:$E,'Exp ratio'!$D20&amp;'Exp ratio'!$F$2)*10000000</f>
        <v>2007723.7999999998</v>
      </c>
      <c r="G20" s="131"/>
      <c r="H20" s="164">
        <f>(+HLOOKUP($D20,'Sep 2017 HY'!$3:$93,91,0))*10000000</f>
        <v>229191.7</v>
      </c>
      <c r="I20" s="131"/>
      <c r="J20" s="164">
        <f>(+HLOOKUP($D20,'Sep 2017 HY'!$3:$95,93,0))*10000000</f>
        <v>1021692.9400000002</v>
      </c>
      <c r="K20" s="131"/>
      <c r="L20" s="164">
        <f t="shared" si="0"/>
        <v>628906.08000000007</v>
      </c>
      <c r="M20" s="164"/>
      <c r="N20" s="164">
        <f t="shared" si="3"/>
        <v>986030.85999999964</v>
      </c>
      <c r="O20" s="131"/>
      <c r="P20" s="164">
        <f>+VLOOKUP($D20,AAUM!$A:$C,3,0)</f>
        <v>716207119.24115372</v>
      </c>
      <c r="Q20" s="131">
        <f>+VLOOKUP($D20,AAUM!$A:$B,2,0)</f>
        <v>182</v>
      </c>
      <c r="R20" s="131"/>
      <c r="S20" s="220">
        <f t="shared" si="1"/>
        <v>1.7610376300761224E-3</v>
      </c>
      <c r="T20" s="220"/>
      <c r="U20" s="220">
        <f t="shared" si="2"/>
        <v>2.7610441433104285E-3</v>
      </c>
      <c r="Z20" s="149"/>
    </row>
    <row r="21" spans="4:26">
      <c r="D21" s="131" t="s">
        <v>41</v>
      </c>
      <c r="E21" s="164">
        <f>+SUMIFS('TB Mar18'!$AB:$AB,'TB Mar18'!$D:$D,'Exp ratio'!$D21&amp;'Exp ratio'!$E$2)*10000000</f>
        <v>20435730.140000001</v>
      </c>
      <c r="F21" s="164">
        <f>+SUMIFS('TB Mar18'!$AB:$AB,'TB Mar18'!$E:$E,'Exp ratio'!$D21&amp;'Exp ratio'!$F$2)*10000000</f>
        <v>55056985.740000002</v>
      </c>
      <c r="G21" s="131"/>
      <c r="H21" s="164">
        <f>(+HLOOKUP($D21,'Sep 2017 HY'!$3:$93,91,0))*10000000</f>
        <v>10576558.269999998</v>
      </c>
      <c r="I21" s="131"/>
      <c r="J21" s="164">
        <f>(+HLOOKUP($D21,'Sep 2017 HY'!$3:$95,93,0))*10000000</f>
        <v>21962153.099999994</v>
      </c>
      <c r="K21" s="131"/>
      <c r="L21" s="164">
        <f t="shared" si="0"/>
        <v>9859171.8700000029</v>
      </c>
      <c r="M21" s="164"/>
      <c r="N21" s="164">
        <f t="shared" si="3"/>
        <v>33094832.640000008</v>
      </c>
      <c r="O21" s="131"/>
      <c r="P21" s="164">
        <f>+VLOOKUP($D21,AAUM!$A:$C,3,0)</f>
        <v>2495089985.5608234</v>
      </c>
      <c r="Q21" s="131">
        <f>+VLOOKUP($D21,AAUM!$A:$B,2,0)</f>
        <v>182</v>
      </c>
      <c r="R21" s="131"/>
      <c r="S21" s="220">
        <f t="shared" si="1"/>
        <v>7.9245699066708038E-3</v>
      </c>
      <c r="T21" s="220"/>
      <c r="U21" s="220">
        <f t="shared" si="2"/>
        <v>2.6600846223532839E-2</v>
      </c>
      <c r="Z21" s="149"/>
    </row>
    <row r="22" spans="4:26">
      <c r="D22" s="131" t="s">
        <v>42</v>
      </c>
      <c r="E22" s="164">
        <f>+SUMIFS('TB Mar18'!$AB:$AB,'TB Mar18'!$D:$D,'Exp ratio'!$D22&amp;'Exp ratio'!$E$2)*10000000</f>
        <v>12308016.320000002</v>
      </c>
      <c r="F22" s="164">
        <f>+SUMIFS('TB Mar18'!$AB:$AB,'TB Mar18'!$E:$E,'Exp ratio'!$D22&amp;'Exp ratio'!$F$2)*10000000</f>
        <v>22311121.729999997</v>
      </c>
      <c r="G22" s="131"/>
      <c r="H22" s="164">
        <f>(+HLOOKUP($D22,'Sep 2017 HY'!$3:$93,91,0))*10000000</f>
        <v>5714724.8100000005</v>
      </c>
      <c r="I22" s="131"/>
      <c r="J22" s="164">
        <f>(+HLOOKUP($D22,'Sep 2017 HY'!$3:$95,93,0))*10000000</f>
        <v>10688318.709999999</v>
      </c>
      <c r="K22" s="131"/>
      <c r="L22" s="164">
        <f t="shared" si="0"/>
        <v>6593291.5100000016</v>
      </c>
      <c r="M22" s="164"/>
      <c r="N22" s="164">
        <f t="shared" si="3"/>
        <v>11622803.019999998</v>
      </c>
      <c r="O22" s="131"/>
      <c r="P22" s="164">
        <f>+VLOOKUP($D22,AAUM!$A:$C,3,0)</f>
        <v>775191581.02039552</v>
      </c>
      <c r="Q22" s="131">
        <f>+VLOOKUP($D22,AAUM!$A:$B,2,0)</f>
        <v>182</v>
      </c>
      <c r="R22" s="131"/>
      <c r="S22" s="220">
        <f t="shared" si="1"/>
        <v>1.7057473559017766E-2</v>
      </c>
      <c r="T22" s="220"/>
      <c r="U22" s="220">
        <f t="shared" si="2"/>
        <v>3.0069299210360827E-2</v>
      </c>
      <c r="Z22" s="149"/>
    </row>
    <row r="23" spans="4:26">
      <c r="D23" s="131" t="s">
        <v>43</v>
      </c>
      <c r="E23" s="164">
        <f>+SUMIFS('TB Mar18'!$AB:$AB,'TB Mar18'!$D:$D,'Exp ratio'!$D23&amp;'Exp ratio'!$E$2)*10000000</f>
        <v>6286876.6100000022</v>
      </c>
      <c r="F23" s="164">
        <f>+SUMIFS('TB Mar18'!$AB:$AB,'TB Mar18'!$E:$E,'Exp ratio'!$D23&amp;'Exp ratio'!$F$2)*10000000</f>
        <v>10656308.230000002</v>
      </c>
      <c r="G23" s="131"/>
      <c r="H23" s="164">
        <f>(+HLOOKUP($D23,'Sep 2017 HY'!$3:$93,91,0))*10000000</f>
        <v>3071835.9200000004</v>
      </c>
      <c r="I23" s="131"/>
      <c r="J23" s="164">
        <f>(+HLOOKUP($D23,'Sep 2017 HY'!$3:$95,93,0))*10000000</f>
        <v>5158231.43</v>
      </c>
      <c r="K23" s="131"/>
      <c r="L23" s="164">
        <f t="shared" si="0"/>
        <v>3215040.6900000018</v>
      </c>
      <c r="M23" s="164"/>
      <c r="N23" s="164">
        <f t="shared" si="3"/>
        <v>5498076.8000000026</v>
      </c>
      <c r="O23" s="131"/>
      <c r="P23" s="164">
        <f>+VLOOKUP($D23,AAUM!$A:$C,3,0)</f>
        <v>529892867.18637371</v>
      </c>
      <c r="Q23" s="131">
        <f>+VLOOKUP($D23,AAUM!$A:$B,2,0)</f>
        <v>182</v>
      </c>
      <c r="R23" s="131"/>
      <c r="S23" s="220">
        <f t="shared" si="1"/>
        <v>1.2168018929887706E-2</v>
      </c>
      <c r="T23" s="220"/>
      <c r="U23" s="220">
        <f t="shared" si="2"/>
        <v>2.080866434706816E-2</v>
      </c>
      <c r="Z23" s="149"/>
    </row>
    <row r="24" spans="4:26">
      <c r="D24" s="131" t="s">
        <v>44</v>
      </c>
      <c r="E24" s="164">
        <f>+SUMIFS('TB Mar18'!$AB:$AB,'TB Mar18'!$D:$D,'Exp ratio'!$D24&amp;'Exp ratio'!$E$2)*10000000</f>
        <v>4324623.17</v>
      </c>
      <c r="F24" s="164">
        <f>+SUMIFS('TB Mar18'!$AB:$AB,'TB Mar18'!$E:$E,'Exp ratio'!$D24&amp;'Exp ratio'!$F$2)*10000000</f>
        <v>6939011.6300000008</v>
      </c>
      <c r="G24" s="131"/>
      <c r="H24" s="164">
        <f>(+HLOOKUP($D24,'Sep 2017 HY'!$3:$93,91,0))*10000000</f>
        <v>2093344.55</v>
      </c>
      <c r="I24" s="131"/>
      <c r="J24" s="164">
        <f>(+HLOOKUP($D24,'Sep 2017 HY'!$3:$95,93,0))*10000000</f>
        <v>3369099.9</v>
      </c>
      <c r="K24" s="131"/>
      <c r="L24" s="164">
        <f t="shared" si="0"/>
        <v>2231278.62</v>
      </c>
      <c r="M24" s="164"/>
      <c r="N24" s="164">
        <f t="shared" si="3"/>
        <v>3569911.7300000009</v>
      </c>
      <c r="O24" s="131"/>
      <c r="P24" s="164">
        <f>+VLOOKUP($D24,AAUM!$A:$C,3,0)</f>
        <v>331643233.02159327</v>
      </c>
      <c r="Q24" s="131">
        <f>+VLOOKUP($D24,AAUM!$A:$B,2,0)</f>
        <v>182</v>
      </c>
      <c r="R24" s="131"/>
      <c r="S24" s="220">
        <f t="shared" si="1"/>
        <v>1.3492863918456638E-2</v>
      </c>
      <c r="T24" s="220"/>
      <c r="U24" s="220">
        <f t="shared" si="2"/>
        <v>2.158777157726368E-2</v>
      </c>
      <c r="Z24" s="149"/>
    </row>
    <row r="25" spans="4:26">
      <c r="D25" s="131" t="s">
        <v>45</v>
      </c>
      <c r="E25" s="164">
        <f>+SUMIFS('TB Mar18'!$AB:$AB,'TB Mar18'!$D:$D,'Exp ratio'!$D25&amp;'Exp ratio'!$E$2)*10000000</f>
        <v>3216093.54</v>
      </c>
      <c r="F25" s="164">
        <f>+SUMIFS('TB Mar18'!$AB:$AB,'TB Mar18'!$E:$E,'Exp ratio'!$D25&amp;'Exp ratio'!$F$2)*10000000</f>
        <v>5131600.49</v>
      </c>
      <c r="G25" s="131"/>
      <c r="H25" s="164">
        <f>(+HLOOKUP($D25,'Sep 2017 HY'!$3:$93,91,0))*10000000</f>
        <v>1572948.44</v>
      </c>
      <c r="I25" s="131"/>
      <c r="J25" s="164">
        <f>(+HLOOKUP($D25,'Sep 2017 HY'!$3:$95,93,0))*10000000</f>
        <v>2483964.08</v>
      </c>
      <c r="K25" s="131"/>
      <c r="L25" s="164">
        <f t="shared" si="0"/>
        <v>1643145.1</v>
      </c>
      <c r="M25" s="164"/>
      <c r="N25" s="164">
        <f t="shared" si="3"/>
        <v>2647636.41</v>
      </c>
      <c r="O25" s="131"/>
      <c r="P25" s="164">
        <f>+VLOOKUP($D25,AAUM!$A:$C,3,0)</f>
        <v>249811311.20571426</v>
      </c>
      <c r="Q25" s="131">
        <f>+VLOOKUP($D25,AAUM!$A:$B,2,0)</f>
        <v>182</v>
      </c>
      <c r="R25" s="131"/>
      <c r="S25" s="220">
        <f t="shared" si="1"/>
        <v>1.3191230028277608E-2</v>
      </c>
      <c r="T25" s="220"/>
      <c r="U25" s="220">
        <f t="shared" si="2"/>
        <v>2.1255323656780595E-2</v>
      </c>
      <c r="Z25" s="149"/>
    </row>
    <row r="26" spans="4:26">
      <c r="D26" s="131" t="s">
        <v>46</v>
      </c>
      <c r="E26" s="164">
        <f>+SUMIFS('TB Mar18'!$AB:$AB,'TB Mar18'!$D:$D,'Exp ratio'!$D26&amp;'Exp ratio'!$E$2)*10000000</f>
        <v>1927721.98</v>
      </c>
      <c r="F26" s="164">
        <f>+SUMIFS('TB Mar18'!$AB:$AB,'TB Mar18'!$E:$E,'Exp ratio'!$D26&amp;'Exp ratio'!$F$2)*10000000</f>
        <v>4706117.1799999988</v>
      </c>
      <c r="G26" s="131"/>
      <c r="H26" s="164">
        <f>(+HLOOKUP($D26,'Sep 2017 HY'!$3:$93,91,0))*10000000</f>
        <v>742516.01</v>
      </c>
      <c r="I26" s="131"/>
      <c r="J26" s="164">
        <f>(+HLOOKUP($D26,'Sep 2017 HY'!$3:$95,93,0))*10000000</f>
        <v>2118051.4899999998</v>
      </c>
      <c r="K26" s="131"/>
      <c r="L26" s="164">
        <f t="shared" si="0"/>
        <v>1185205.97</v>
      </c>
      <c r="M26" s="164"/>
      <c r="N26" s="164">
        <f t="shared" si="3"/>
        <v>2588065.689999999</v>
      </c>
      <c r="O26" s="131"/>
      <c r="P26" s="164">
        <f>+VLOOKUP($D26,AAUM!$A:$C,3,0)</f>
        <v>4508340736.2290096</v>
      </c>
      <c r="Q26" s="131">
        <f>+VLOOKUP($D26,AAUM!$A:$B,2,0)</f>
        <v>182</v>
      </c>
      <c r="R26" s="131"/>
      <c r="S26" s="220">
        <f t="shared" si="1"/>
        <v>5.2722813109784105E-4</v>
      </c>
      <c r="T26" s="220"/>
      <c r="U26" s="220">
        <f t="shared" si="2"/>
        <v>1.151277559711536E-3</v>
      </c>
      <c r="Z26" s="149"/>
    </row>
    <row r="27" spans="4:26">
      <c r="D27" s="131" t="s">
        <v>47</v>
      </c>
      <c r="E27" s="164">
        <f>+SUMIFS('TB Mar18'!$AB:$AB,'TB Mar18'!$D:$D,'Exp ratio'!$D27&amp;'Exp ratio'!$E$2)*10000000</f>
        <v>1230847.46</v>
      </c>
      <c r="F27" s="164">
        <f>+SUMIFS('TB Mar18'!$AB:$AB,'TB Mar18'!$E:$E,'Exp ratio'!$D27&amp;'Exp ratio'!$F$2)*10000000</f>
        <v>3393907.68</v>
      </c>
      <c r="G27" s="131"/>
      <c r="H27" s="164">
        <f>(+HLOOKUP($D27,'Sep 2017 HY'!$3:$93,91,0))*10000000</f>
        <v>480000</v>
      </c>
      <c r="I27" s="131"/>
      <c r="J27" s="164">
        <f>(+HLOOKUP($D27,'Sep 2017 HY'!$3:$95,93,0))*10000000</f>
        <v>1534228.2600000005</v>
      </c>
      <c r="K27" s="131"/>
      <c r="L27" s="164">
        <f t="shared" si="0"/>
        <v>750847.46</v>
      </c>
      <c r="M27" s="164"/>
      <c r="N27" s="164">
        <f t="shared" si="3"/>
        <v>1859679.4199999997</v>
      </c>
      <c r="O27" s="131"/>
      <c r="P27" s="164">
        <f>+VLOOKUP($D27,AAUM!$A:$C,3,0)</f>
        <v>3328473011.7814832</v>
      </c>
      <c r="Q27" s="131">
        <f>+VLOOKUP($D27,AAUM!$A:$B,2,0)</f>
        <v>182</v>
      </c>
      <c r="R27" s="131"/>
      <c r="S27" s="220">
        <f t="shared" si="1"/>
        <v>4.5240578792872711E-4</v>
      </c>
      <c r="T27" s="220"/>
      <c r="U27" s="220">
        <f t="shared" si="2"/>
        <v>1.1205068647364648E-3</v>
      </c>
      <c r="Z27" s="149"/>
    </row>
    <row r="28" spans="4:26">
      <c r="D28" s="131" t="s">
        <v>48</v>
      </c>
      <c r="E28" s="164">
        <f>+SUMIFS('TB Mar18'!$AB:$AB,'TB Mar18'!$D:$D,'Exp ratio'!$D28&amp;'Exp ratio'!$E$2)*10000000</f>
        <v>4694423.4799999986</v>
      </c>
      <c r="F28" s="164">
        <f>+SUMIFS('TB Mar18'!$AB:$AB,'TB Mar18'!$E:$E,'Exp ratio'!$D28&amp;'Exp ratio'!$F$2)*10000000</f>
        <v>7496892.1299999999</v>
      </c>
      <c r="G28" s="131"/>
      <c r="H28" s="164">
        <f>(+HLOOKUP($D28,'Sep 2017 HY'!$3:$93,91,0))*10000000</f>
        <v>1549509.8599999999</v>
      </c>
      <c r="I28" s="131"/>
      <c r="J28" s="164">
        <f>(+HLOOKUP($D28,'Sep 2017 HY'!$3:$95,93,0))*10000000</f>
        <v>3421139.7099999995</v>
      </c>
      <c r="K28" s="131"/>
      <c r="L28" s="164">
        <f t="shared" si="0"/>
        <v>3144913.6199999987</v>
      </c>
      <c r="M28" s="164"/>
      <c r="N28" s="164">
        <f t="shared" si="3"/>
        <v>4075752.4200000004</v>
      </c>
      <c r="O28" s="131"/>
      <c r="P28" s="164">
        <f>+VLOOKUP($D28,AAUM!$A:$C,3,0)</f>
        <v>2925277525.0863719</v>
      </c>
      <c r="Q28" s="131">
        <f>+VLOOKUP($D28,AAUM!$A:$B,2,0)</f>
        <v>182</v>
      </c>
      <c r="R28" s="131"/>
      <c r="S28" s="220">
        <f t="shared" si="1"/>
        <v>2.1560713235160857E-3</v>
      </c>
      <c r="T28" s="220"/>
      <c r="U28" s="220">
        <f t="shared" si="2"/>
        <v>2.7942302957476121E-3</v>
      </c>
      <c r="Z28" s="149"/>
    </row>
    <row r="29" spans="4:26">
      <c r="E29" s="149"/>
      <c r="F29" s="149"/>
      <c r="H29" s="149"/>
      <c r="J29" s="149"/>
      <c r="L29" s="149"/>
      <c r="N29" s="149"/>
    </row>
    <row r="30" spans="4:26" ht="15.75">
      <c r="D30" s="162" t="s">
        <v>1708</v>
      </c>
      <c r="E30" s="131"/>
      <c r="F30" s="131"/>
      <c r="G30" s="131"/>
      <c r="H30" s="160"/>
      <c r="I30" s="131"/>
      <c r="J30" s="160"/>
      <c r="K30" s="131"/>
      <c r="L30" s="160"/>
      <c r="M30" s="131"/>
      <c r="N30" s="160"/>
      <c r="O30" s="131"/>
      <c r="P30" s="131"/>
      <c r="Q30" s="131"/>
      <c r="R30" s="131"/>
      <c r="S30" s="160"/>
      <c r="T30" s="160"/>
      <c r="U30" s="160"/>
    </row>
    <row r="31" spans="4:26">
      <c r="D31" s="131"/>
      <c r="E31" s="131" t="s">
        <v>1595</v>
      </c>
      <c r="F31" s="131" t="s">
        <v>1596</v>
      </c>
      <c r="G31" s="131"/>
      <c r="H31" s="160"/>
      <c r="I31" s="131"/>
      <c r="J31" s="160"/>
      <c r="K31" s="131"/>
      <c r="L31" s="160"/>
      <c r="M31" s="131"/>
      <c r="N31" s="160"/>
      <c r="O31" s="131"/>
      <c r="P31" s="131"/>
      <c r="Q31" s="131"/>
      <c r="R31" s="131"/>
      <c r="S31" s="160"/>
      <c r="T31" s="160"/>
      <c r="U31" s="160"/>
    </row>
    <row r="32" spans="4:26" s="208" customFormat="1">
      <c r="D32" s="163" t="s">
        <v>18</v>
      </c>
      <c r="E32" s="223">
        <f>+SUMIFS('TB Mar18'!$AB:$AB,'TB Mar18'!$D:$D,'Exp ratio'!$D32&amp;'Exp ratio'!$E$2)*10000000</f>
        <v>114950.38000000002</v>
      </c>
      <c r="F32" s="223">
        <f>+SUMIFS('TB Mar18'!$AB:$AB,'TB Mar18'!$E:$E,'Exp ratio'!$D32&amp;'Exp ratio'!$F$2)*10000000</f>
        <v>161823.06</v>
      </c>
      <c r="G32" s="222"/>
      <c r="H32" s="223">
        <f>(+HLOOKUP($D32,'Sep 2017 HY'!$3:$93,91,0))*10000000</f>
        <v>0</v>
      </c>
      <c r="I32" s="222"/>
      <c r="J32" s="223">
        <f>(+HLOOKUP($D32,'Sep 2017 HY'!$3:$95,93,0))*10000000</f>
        <v>124220.73000000003</v>
      </c>
      <c r="K32" s="222"/>
      <c r="L32" s="223">
        <f t="shared" ref="L32:L41" si="4">+E32-H32</f>
        <v>114950.38000000002</v>
      </c>
      <c r="M32" s="223"/>
      <c r="N32" s="223">
        <f t="shared" ref="N32:N41" si="5">+F32-J32</f>
        <v>37602.329999999973</v>
      </c>
      <c r="O32" s="222"/>
      <c r="P32" s="223">
        <f>+VLOOKUP($D32,AAUM!$A:$C,3,0)</f>
        <v>47039879.653898261</v>
      </c>
      <c r="Q32" s="222">
        <f>+VLOOKUP($D32,AAUM!$A:$B,2,0)</f>
        <v>59</v>
      </c>
      <c r="R32" s="222"/>
      <c r="S32" s="333">
        <f t="shared" ref="S32:S41" si="6">+L32/P32/Q32*365</f>
        <v>1.5117677001130009E-2</v>
      </c>
      <c r="T32" s="333"/>
      <c r="U32" s="333">
        <f t="shared" ref="U32:U41" si="7">+N32/P32/Q32*365</f>
        <v>4.9452631598947338E-3</v>
      </c>
    </row>
    <row r="33" spans="4:21" s="208" customFormat="1">
      <c r="D33" s="163" t="s">
        <v>19</v>
      </c>
      <c r="E33" s="223">
        <f>+SUMIFS('TB Mar18'!$AB:$AB,'TB Mar18'!$D:$D,'Exp ratio'!$D33&amp;'Exp ratio'!$E$2)*10000000</f>
        <v>320853.95</v>
      </c>
      <c r="F33" s="223">
        <f>+SUMIFS('TB Mar18'!$AB:$AB,'TB Mar18'!$E:$E,'Exp ratio'!$D33&amp;'Exp ratio'!$F$2)*10000000</f>
        <v>460398.13</v>
      </c>
      <c r="G33" s="222"/>
      <c r="H33" s="223">
        <f>(+HLOOKUP($D33,'Sep 2017 HY'!$3:$93,91,0))*10000000</f>
        <v>0</v>
      </c>
      <c r="I33" s="222"/>
      <c r="J33" s="223">
        <f>(+HLOOKUP($D33,'Sep 2017 HY'!$3:$95,93,0))*10000000</f>
        <v>360150.14999999991</v>
      </c>
      <c r="K33" s="222"/>
      <c r="L33" s="223">
        <f t="shared" si="4"/>
        <v>320853.95</v>
      </c>
      <c r="M33" s="223"/>
      <c r="N33" s="223">
        <f t="shared" si="5"/>
        <v>100247.9800000001</v>
      </c>
      <c r="O33" s="222"/>
      <c r="P33" s="223">
        <f>+VLOOKUP($D33,AAUM!$A:$C,3,0)</f>
        <v>150440112.17465505</v>
      </c>
      <c r="Q33" s="222">
        <f>+VLOOKUP($D33,AAUM!$A:$B,2,0)</f>
        <v>58</v>
      </c>
      <c r="R33" s="222"/>
      <c r="S33" s="333">
        <f t="shared" si="6"/>
        <v>1.342173353868387E-2</v>
      </c>
      <c r="T33" s="333"/>
      <c r="U33" s="333">
        <f t="shared" si="7"/>
        <v>4.1935019822922897E-3</v>
      </c>
    </row>
    <row r="34" spans="4:21" s="208" customFormat="1">
      <c r="D34" s="163" t="s">
        <v>20</v>
      </c>
      <c r="E34" s="223">
        <f>+SUMIFS('TB Mar18'!$AB:$AB,'TB Mar18'!$D:$D,'Exp ratio'!$D34&amp;'Exp ratio'!$E$2)*10000000</f>
        <v>154050.18000000002</v>
      </c>
      <c r="F34" s="223">
        <f>+SUMIFS('TB Mar18'!$AB:$AB,'TB Mar18'!$E:$E,'Exp ratio'!$D34&amp;'Exp ratio'!$F$2)*10000000</f>
        <v>184909.26999999993</v>
      </c>
      <c r="G34" s="222"/>
      <c r="H34" s="223">
        <f>(+HLOOKUP($D34,'Sep 2017 HY'!$3:$93,91,0))*10000000</f>
        <v>29855.309999999998</v>
      </c>
      <c r="I34" s="222"/>
      <c r="J34" s="223">
        <f>(+HLOOKUP($D34,'Sep 2017 HY'!$3:$95,93,0))*10000000</f>
        <v>140580.06999999998</v>
      </c>
      <c r="K34" s="222"/>
      <c r="L34" s="223">
        <f t="shared" si="4"/>
        <v>124194.87000000002</v>
      </c>
      <c r="M34" s="223"/>
      <c r="N34" s="223">
        <f t="shared" si="5"/>
        <v>44329.199999999953</v>
      </c>
      <c r="O34" s="222"/>
      <c r="P34" s="223">
        <f>+VLOOKUP($D34,AAUM!$A:$C,3,0)</f>
        <v>80344425.807868779</v>
      </c>
      <c r="Q34" s="222">
        <f>+VLOOKUP($D34,AAUM!$A:$B,2,0)</f>
        <v>61</v>
      </c>
      <c r="R34" s="222"/>
      <c r="S34" s="333">
        <f t="shared" si="6"/>
        <v>9.2493440715063178E-3</v>
      </c>
      <c r="T34" s="333"/>
      <c r="U34" s="333">
        <f t="shared" si="7"/>
        <v>3.3013925874282681E-3</v>
      </c>
    </row>
    <row r="35" spans="4:21" s="208" customFormat="1">
      <c r="D35" s="163" t="s">
        <v>21</v>
      </c>
      <c r="E35" s="223">
        <f>+SUMIFS('TB Mar18'!$AB:$AB,'TB Mar18'!$D:$D,'Exp ratio'!$D35&amp;'Exp ratio'!$E$2)*10000000</f>
        <v>138992.63999999998</v>
      </c>
      <c r="F35" s="223">
        <f>+SUMIFS('TB Mar18'!$AB:$AB,'TB Mar18'!$E:$E,'Exp ratio'!$D35&amp;'Exp ratio'!$F$2)*10000000</f>
        <v>212217.90999999995</v>
      </c>
      <c r="G35" s="222"/>
      <c r="H35" s="223">
        <f>(+HLOOKUP($D35,'Sep 2017 HY'!$3:$93,91,0))*10000000</f>
        <v>30000</v>
      </c>
      <c r="I35" s="222"/>
      <c r="J35" s="223">
        <f>(+HLOOKUP($D35,'Sep 2017 HY'!$3:$95,93,0))*10000000</f>
        <v>165538.82999999999</v>
      </c>
      <c r="K35" s="222"/>
      <c r="L35" s="223">
        <f t="shared" si="4"/>
        <v>108992.63999999998</v>
      </c>
      <c r="M35" s="223"/>
      <c r="N35" s="223">
        <f t="shared" si="5"/>
        <v>46679.079999999958</v>
      </c>
      <c r="O35" s="222"/>
      <c r="P35" s="223">
        <f>+VLOOKUP($D35,AAUM!$A:$C,3,0)</f>
        <v>72799123.078833282</v>
      </c>
      <c r="Q35" s="222">
        <f>+VLOOKUP($D35,AAUM!$A:$B,2,0)</f>
        <v>60</v>
      </c>
      <c r="R35" s="222"/>
      <c r="S35" s="333">
        <f t="shared" si="6"/>
        <v>9.10778223636023E-3</v>
      </c>
      <c r="T35" s="333"/>
      <c r="U35" s="333">
        <f t="shared" si="7"/>
        <v>3.9006569217301078E-3</v>
      </c>
    </row>
    <row r="36" spans="4:21">
      <c r="D36" s="163" t="s">
        <v>34</v>
      </c>
      <c r="E36" s="164">
        <f>+SUMIFS('TB Mar18'!$AB:$AB,'TB Mar18'!$D:$D,'Exp ratio'!$D36&amp;'Exp ratio'!$E$2)*10000000</f>
        <v>6308883.54</v>
      </c>
      <c r="F36" s="164">
        <f>+SUMIFS('TB Mar18'!$AB:$AB,'TB Mar18'!$E:$E,'Exp ratio'!$D36&amp;'Exp ratio'!$F$2)*10000000</f>
        <v>6737638.879999999</v>
      </c>
      <c r="G36" s="131"/>
      <c r="H36" s="164">
        <f>(+HLOOKUP($D36,'Sep 2017 HY'!$3:$93,91,0))*10000000</f>
        <v>4695690.04</v>
      </c>
      <c r="I36" s="131"/>
      <c r="J36" s="164">
        <f>(+HLOOKUP($D36,'Sep 2017 HY'!$3:$95,93,0))*10000000</f>
        <v>5015841.0200000005</v>
      </c>
      <c r="K36" s="131"/>
      <c r="L36" s="164">
        <f t="shared" si="4"/>
        <v>1613193.5</v>
      </c>
      <c r="M36" s="164"/>
      <c r="N36" s="164">
        <f t="shared" si="5"/>
        <v>1721797.8599999985</v>
      </c>
      <c r="O36" s="131"/>
      <c r="P36" s="164">
        <f>+VLOOKUP($D36,AAUM!$A:$C,3,0)</f>
        <v>395141266.81737673</v>
      </c>
      <c r="Q36" s="131">
        <f>+VLOOKUP($D36,AAUM!$A:$B,2,0)</f>
        <v>61</v>
      </c>
      <c r="R36" s="131"/>
      <c r="S36" s="220">
        <f t="shared" si="6"/>
        <v>2.4428517129240386E-2</v>
      </c>
      <c r="T36" s="220"/>
      <c r="U36" s="220">
        <f t="shared" si="7"/>
        <v>2.6073108102716382E-2</v>
      </c>
    </row>
    <row r="37" spans="4:21">
      <c r="D37" s="163" t="s">
        <v>35</v>
      </c>
      <c r="E37" s="164">
        <f>+SUMIFS('TB Mar18'!$AB:$AB,'TB Mar18'!$D:$D,'Exp ratio'!$D37&amp;'Exp ratio'!$E$2)*10000000</f>
        <v>904457.08</v>
      </c>
      <c r="F37" s="164">
        <f>+SUMIFS('TB Mar18'!$AB:$AB,'TB Mar18'!$E:$E,'Exp ratio'!$D37&amp;'Exp ratio'!$F$2)*10000000</f>
        <v>1297091.45</v>
      </c>
      <c r="G37" s="131"/>
      <c r="H37" s="164">
        <f>(+HLOOKUP($D37,'Sep 2017 HY'!$3:$93,91,0))*10000000</f>
        <v>830751.69000000006</v>
      </c>
      <c r="I37" s="131"/>
      <c r="J37" s="164">
        <f>(+HLOOKUP($D37,'Sep 2017 HY'!$3:$95,93,0))*10000000</f>
        <v>1149214.67</v>
      </c>
      <c r="K37" s="131"/>
      <c r="L37" s="164">
        <f t="shared" si="4"/>
        <v>73705.389999999898</v>
      </c>
      <c r="M37" s="164"/>
      <c r="N37" s="164">
        <f t="shared" si="5"/>
        <v>147876.78000000003</v>
      </c>
      <c r="O37" s="131"/>
      <c r="P37" s="164">
        <f>+VLOOKUP($D37,AAUM!$A:$C,3,0)</f>
        <v>901130910.08869541</v>
      </c>
      <c r="Q37" s="131">
        <f>+VLOOKUP($D37,AAUM!$A:$B,2,0)</f>
        <v>23</v>
      </c>
      <c r="R37" s="131"/>
      <c r="S37" s="220">
        <f t="shared" si="6"/>
        <v>1.2980050738278773E-3</v>
      </c>
      <c r="T37" s="220"/>
      <c r="U37" s="220">
        <f t="shared" si="7"/>
        <v>2.6042167437324332E-3</v>
      </c>
    </row>
    <row r="38" spans="4:21">
      <c r="D38" s="163" t="s">
        <v>36</v>
      </c>
      <c r="E38" s="164">
        <f>+SUMIFS('TB Mar18'!$AB:$AB,'TB Mar18'!$D:$D,'Exp ratio'!$D38&amp;'Exp ratio'!$E$2)*10000000</f>
        <v>1023247.97</v>
      </c>
      <c r="F38" s="164">
        <f>+SUMIFS('TB Mar18'!$AB:$AB,'TB Mar18'!$E:$E,'Exp ratio'!$D38&amp;'Exp ratio'!$F$2)*10000000</f>
        <v>1517763.7599999995</v>
      </c>
      <c r="G38" s="131"/>
      <c r="H38" s="164">
        <f>(+HLOOKUP($D38,'Sep 2017 HY'!$3:$93,91,0))*10000000</f>
        <v>885128.05999999994</v>
      </c>
      <c r="I38" s="131"/>
      <c r="J38" s="164">
        <f>(+HLOOKUP($D38,'Sep 2017 HY'!$3:$95,93,0))*10000000</f>
        <v>1201444.94</v>
      </c>
      <c r="K38" s="131"/>
      <c r="L38" s="164">
        <f t="shared" si="4"/>
        <v>138119.91000000003</v>
      </c>
      <c r="M38" s="164"/>
      <c r="N38" s="164">
        <f t="shared" si="5"/>
        <v>316318.8199999996</v>
      </c>
      <c r="O38" s="131"/>
      <c r="P38" s="164">
        <f>+VLOOKUP($D38,AAUM!$A:$C,3,0)</f>
        <v>826369823.83851004</v>
      </c>
      <c r="Q38" s="131">
        <f>+VLOOKUP($D38,AAUM!$A:$B,2,0)</f>
        <v>47</v>
      </c>
      <c r="R38" s="131"/>
      <c r="S38" s="220">
        <f t="shared" si="6"/>
        <v>1.298006428447025E-3</v>
      </c>
      <c r="T38" s="220"/>
      <c r="U38" s="220">
        <f t="shared" si="7"/>
        <v>2.9726623902287279E-3</v>
      </c>
    </row>
    <row r="39" spans="4:21">
      <c r="D39" s="163" t="s">
        <v>37</v>
      </c>
      <c r="E39" s="164">
        <f>+SUMIFS('TB Mar18'!$AB:$AB,'TB Mar18'!$D:$D,'Exp ratio'!$D39&amp;'Exp ratio'!$E$2)*10000000</f>
        <v>5543015.9200000009</v>
      </c>
      <c r="F39" s="164">
        <f>+SUMIFS('TB Mar18'!$AB:$AB,'TB Mar18'!$E:$E,'Exp ratio'!$D39&amp;'Exp ratio'!$F$2)*10000000</f>
        <v>6633850.790000001</v>
      </c>
      <c r="G39" s="131"/>
      <c r="H39" s="164">
        <f>(+HLOOKUP($D39,'Sep 2017 HY'!$3:$93,91,0))*10000000</f>
        <v>4144095.35</v>
      </c>
      <c r="I39" s="131"/>
      <c r="J39" s="164">
        <f>(+HLOOKUP($D39,'Sep 2017 HY'!$3:$95,93,0))*10000000</f>
        <v>4891507.78</v>
      </c>
      <c r="K39" s="131"/>
      <c r="L39" s="164">
        <f t="shared" si="4"/>
        <v>1398920.5700000008</v>
      </c>
      <c r="M39" s="164"/>
      <c r="N39" s="164">
        <f t="shared" si="5"/>
        <v>1742343.0100000007</v>
      </c>
      <c r="O39" s="131"/>
      <c r="P39" s="164">
        <f>+VLOOKUP($D39,AAUM!$A:$C,3,0)</f>
        <v>389883351.13164014</v>
      </c>
      <c r="Q39" s="131">
        <f>+VLOOKUP($D39,AAUM!$A:$B,2,0)</f>
        <v>65</v>
      </c>
      <c r="R39" s="131"/>
      <c r="S39" s="220">
        <f t="shared" si="6"/>
        <v>2.0148275180569997E-2</v>
      </c>
      <c r="T39" s="220"/>
      <c r="U39" s="220">
        <f t="shared" si="7"/>
        <v>2.5094495840048026E-2</v>
      </c>
    </row>
    <row r="40" spans="4:21">
      <c r="D40" s="163" t="s">
        <v>38</v>
      </c>
      <c r="E40" s="164">
        <f>+SUMIFS('TB Mar18'!$AB:$AB,'TB Mar18'!$D:$D,'Exp ratio'!$D40&amp;'Exp ratio'!$E$2)*10000000</f>
        <v>385980.03000000009</v>
      </c>
      <c r="F40" s="164">
        <f>+SUMIFS('TB Mar18'!$AB:$AB,'TB Mar18'!$E:$E,'Exp ratio'!$D40&amp;'Exp ratio'!$F$2)*10000000</f>
        <v>740788.11999999976</v>
      </c>
      <c r="G40" s="131"/>
      <c r="H40" s="164">
        <f>(+HLOOKUP($D40,'Sep 2017 HY'!$3:$93,91,0))*10000000</f>
        <v>360998.94000000006</v>
      </c>
      <c r="I40" s="131"/>
      <c r="J40" s="164">
        <f>(+HLOOKUP($D40,'Sep 2017 HY'!$3:$95,93,0))*10000000</f>
        <v>523134.5400000001</v>
      </c>
      <c r="K40" s="131"/>
      <c r="L40" s="164">
        <f t="shared" si="4"/>
        <v>24981.090000000026</v>
      </c>
      <c r="M40" s="164"/>
      <c r="N40" s="164">
        <f t="shared" si="5"/>
        <v>217653.57999999967</v>
      </c>
      <c r="O40" s="131"/>
      <c r="P40" s="164">
        <f>+VLOOKUP($D40,AAUM!$A:$C,3,0)</f>
        <v>272575198.93135095</v>
      </c>
      <c r="Q40" s="131">
        <f>+VLOOKUP($D40,AAUM!$A:$B,2,0)</f>
        <v>74</v>
      </c>
      <c r="R40" s="131"/>
      <c r="S40" s="220">
        <f t="shared" si="6"/>
        <v>4.5204970590353094E-4</v>
      </c>
      <c r="T40" s="220"/>
      <c r="U40" s="220">
        <f t="shared" si="7"/>
        <v>3.9385886215473542E-3</v>
      </c>
    </row>
    <row r="41" spans="4:21">
      <c r="D41" s="163" t="s">
        <v>40</v>
      </c>
      <c r="E41" s="164">
        <f>+SUMIFS('TB Mar18'!$AB:$AB,'TB Mar18'!$D:$D,'Exp ratio'!$D41&amp;'Exp ratio'!$E$2)*10000000</f>
        <v>8380220.169999999</v>
      </c>
      <c r="F41" s="164">
        <f>+SUMIFS('TB Mar18'!$AB:$AB,'TB Mar18'!$E:$E,'Exp ratio'!$D41&amp;'Exp ratio'!$F$2)*10000000</f>
        <v>8994292.370000001</v>
      </c>
      <c r="G41" s="131"/>
      <c r="H41" s="164">
        <f>(+HLOOKUP($D41,'Sep 2017 HY'!$3:$93,91,0))*10000000</f>
        <v>4666251.7299999995</v>
      </c>
      <c r="I41" s="131"/>
      <c r="J41" s="164">
        <f>(+HLOOKUP($D41,'Sep 2017 HY'!$3:$95,93,0))*10000000</f>
        <v>5076880.8599999994</v>
      </c>
      <c r="K41" s="131"/>
      <c r="L41" s="164">
        <f t="shared" si="4"/>
        <v>3713968.4399999995</v>
      </c>
      <c r="M41" s="164"/>
      <c r="N41" s="164">
        <f t="shared" si="5"/>
        <v>3917411.5100000016</v>
      </c>
      <c r="O41" s="131"/>
      <c r="P41" s="164">
        <f>+VLOOKUP($D41,AAUM!$A:$C,3,0)</f>
        <v>383508210.91515267</v>
      </c>
      <c r="Q41" s="131">
        <f>+VLOOKUP($D41,AAUM!$A:$B,2,0)</f>
        <v>128</v>
      </c>
      <c r="R41" s="131"/>
      <c r="S41" s="220">
        <f t="shared" si="6"/>
        <v>2.7615088356036696E-2</v>
      </c>
      <c r="T41" s="220"/>
      <c r="U41" s="220">
        <f t="shared" si="7"/>
        <v>2.9127782511691243E-2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C43"/>
  <sheetViews>
    <sheetView workbookViewId="0"/>
  </sheetViews>
  <sheetFormatPr defaultRowHeight="15"/>
  <cols>
    <col min="1" max="1" width="18.140625" bestFit="1" customWidth="1"/>
    <col min="2" max="2" width="10.28515625" bestFit="1" customWidth="1"/>
    <col min="3" max="3" width="17.5703125" style="224" bestFit="1" customWidth="1"/>
  </cols>
  <sheetData>
    <row r="1" spans="1:3">
      <c r="A1" s="222" t="s">
        <v>1601</v>
      </c>
      <c r="B1" s="222" t="s">
        <v>208</v>
      </c>
      <c r="C1" s="223" t="s">
        <v>1602</v>
      </c>
    </row>
    <row r="2" spans="1:3">
      <c r="A2" s="131" t="s">
        <v>4</v>
      </c>
      <c r="B2" s="131">
        <v>182</v>
      </c>
      <c r="C2" s="164">
        <v>2946610729.9341707</v>
      </c>
    </row>
    <row r="3" spans="1:3">
      <c r="A3" s="131" t="s">
        <v>42</v>
      </c>
      <c r="B3" s="131">
        <v>182</v>
      </c>
      <c r="C3" s="164">
        <v>775191581.02039552</v>
      </c>
    </row>
    <row r="4" spans="1:3">
      <c r="A4" s="131" t="s">
        <v>9</v>
      </c>
      <c r="B4" s="131">
        <v>182</v>
      </c>
      <c r="C4" s="164">
        <v>4327555630.2728567</v>
      </c>
    </row>
    <row r="5" spans="1:3">
      <c r="A5" s="131" t="s">
        <v>11</v>
      </c>
      <c r="B5" s="131">
        <v>182</v>
      </c>
      <c r="C5" s="164">
        <v>191293860.22100201</v>
      </c>
    </row>
    <row r="6" spans="1:3">
      <c r="A6" s="131" t="s">
        <v>25</v>
      </c>
      <c r="B6" s="131">
        <v>182</v>
      </c>
      <c r="C6" s="164">
        <v>193708817.91626367</v>
      </c>
    </row>
    <row r="7" spans="1:3">
      <c r="A7" s="131" t="s">
        <v>34</v>
      </c>
      <c r="B7" s="131">
        <v>61</v>
      </c>
      <c r="C7" s="164">
        <v>395141266.81737673</v>
      </c>
    </row>
    <row r="8" spans="1:3">
      <c r="A8" s="131" t="s">
        <v>27</v>
      </c>
      <c r="B8" s="131">
        <v>0</v>
      </c>
      <c r="C8" s="164" t="e">
        <v>#DIV/0!</v>
      </c>
    </row>
    <row r="9" spans="1:3">
      <c r="A9" s="131" t="s">
        <v>32</v>
      </c>
      <c r="B9" s="131">
        <v>0</v>
      </c>
      <c r="C9" s="164" t="e">
        <v>#DIV/0!</v>
      </c>
    </row>
    <row r="10" spans="1:3">
      <c r="A10" s="131" t="s">
        <v>33</v>
      </c>
      <c r="B10" s="131">
        <v>0</v>
      </c>
      <c r="C10" s="164" t="e">
        <v>#DIV/0!</v>
      </c>
    </row>
    <row r="11" spans="1:3">
      <c r="A11" s="131" t="s">
        <v>37</v>
      </c>
      <c r="B11" s="131">
        <v>65</v>
      </c>
      <c r="C11" s="164">
        <v>389883351.13164014</v>
      </c>
    </row>
    <row r="12" spans="1:3">
      <c r="A12" s="131" t="s">
        <v>44</v>
      </c>
      <c r="B12" s="131">
        <v>182</v>
      </c>
      <c r="C12" s="164">
        <v>331643233.02159327</v>
      </c>
    </row>
    <row r="13" spans="1:3">
      <c r="A13" s="131" t="s">
        <v>45</v>
      </c>
      <c r="B13" s="131">
        <v>182</v>
      </c>
      <c r="C13" s="164">
        <v>249811311.20571426</v>
      </c>
    </row>
    <row r="14" spans="1:3">
      <c r="A14" s="131" t="s">
        <v>43</v>
      </c>
      <c r="B14" s="131">
        <v>182</v>
      </c>
      <c r="C14" s="164">
        <v>529892867.18637371</v>
      </c>
    </row>
    <row r="15" spans="1:3">
      <c r="A15" s="131" t="s">
        <v>5</v>
      </c>
      <c r="B15" s="131">
        <v>182</v>
      </c>
      <c r="C15" s="164">
        <v>3624352750.6105213</v>
      </c>
    </row>
    <row r="16" spans="1:3">
      <c r="A16" s="131" t="s">
        <v>46</v>
      </c>
      <c r="B16" s="131">
        <v>182</v>
      </c>
      <c r="C16" s="164">
        <v>4508340736.2290096</v>
      </c>
    </row>
    <row r="17" spans="1:3">
      <c r="A17" s="131" t="s">
        <v>47</v>
      </c>
      <c r="B17" s="131">
        <v>182</v>
      </c>
      <c r="C17" s="164">
        <v>3328473011.7814832</v>
      </c>
    </row>
    <row r="18" spans="1:3">
      <c r="A18" s="131" t="s">
        <v>48</v>
      </c>
      <c r="B18" s="131">
        <v>182</v>
      </c>
      <c r="C18" s="164">
        <v>2925277525.0863719</v>
      </c>
    </row>
    <row r="19" spans="1:3">
      <c r="A19" s="131" t="s">
        <v>28</v>
      </c>
      <c r="B19" s="131">
        <v>0</v>
      </c>
      <c r="C19" s="164" t="e">
        <v>#DIV/0!</v>
      </c>
    </row>
    <row r="20" spans="1:3">
      <c r="A20" s="131" t="s">
        <v>29</v>
      </c>
      <c r="B20" s="131">
        <v>0</v>
      </c>
      <c r="C20" s="164" t="e">
        <v>#DIV/0!</v>
      </c>
    </row>
    <row r="21" spans="1:3">
      <c r="A21" s="131" t="s">
        <v>30</v>
      </c>
      <c r="B21" s="131">
        <v>0</v>
      </c>
      <c r="C21" s="164" t="e">
        <v>#DIV/0!</v>
      </c>
    </row>
    <row r="22" spans="1:3">
      <c r="A22" s="131" t="s">
        <v>31</v>
      </c>
      <c r="B22" s="131">
        <v>0</v>
      </c>
      <c r="C22" s="164" t="e">
        <v>#DIV/0!</v>
      </c>
    </row>
    <row r="23" spans="1:3">
      <c r="A23" s="131" t="s">
        <v>35</v>
      </c>
      <c r="B23" s="131">
        <v>23</v>
      </c>
      <c r="C23" s="164">
        <v>901130910.08869541</v>
      </c>
    </row>
    <row r="24" spans="1:3">
      <c r="A24" s="131" t="s">
        <v>36</v>
      </c>
      <c r="B24" s="131">
        <v>47</v>
      </c>
      <c r="C24" s="164">
        <v>826369823.83851004</v>
      </c>
    </row>
    <row r="25" spans="1:3">
      <c r="A25" s="131" t="s">
        <v>38</v>
      </c>
      <c r="B25" s="131">
        <v>74</v>
      </c>
      <c r="C25" s="164">
        <v>272575198.93135095</v>
      </c>
    </row>
    <row r="26" spans="1:3">
      <c r="A26" s="131" t="s">
        <v>39</v>
      </c>
      <c r="B26" s="131">
        <v>182</v>
      </c>
      <c r="C26" s="164">
        <v>716207119.24115372</v>
      </c>
    </row>
    <row r="27" spans="1:3">
      <c r="A27" s="131" t="s">
        <v>10</v>
      </c>
      <c r="B27" s="131">
        <v>182</v>
      </c>
      <c r="C27" s="164">
        <v>818503765.3648901</v>
      </c>
    </row>
    <row r="28" spans="1:3">
      <c r="A28" s="131" t="s">
        <v>6</v>
      </c>
      <c r="B28" s="131">
        <v>182</v>
      </c>
      <c r="C28" s="164">
        <v>2333071627.7121568</v>
      </c>
    </row>
    <row r="29" spans="1:3">
      <c r="A29" s="131" t="s">
        <v>16</v>
      </c>
      <c r="B29" s="131">
        <v>182</v>
      </c>
      <c r="C29" s="164">
        <v>2242294375.1683488</v>
      </c>
    </row>
    <row r="30" spans="1:3">
      <c r="A30" s="131" t="s">
        <v>14</v>
      </c>
      <c r="B30" s="131">
        <v>182</v>
      </c>
      <c r="C30" s="164">
        <v>222139322.94498587</v>
      </c>
    </row>
    <row r="31" spans="1:3">
      <c r="A31" s="131" t="s">
        <v>13</v>
      </c>
      <c r="B31" s="131">
        <v>182</v>
      </c>
      <c r="C31" s="164">
        <v>145330806.54182142</v>
      </c>
    </row>
    <row r="32" spans="1:3">
      <c r="A32" s="131" t="s">
        <v>17</v>
      </c>
      <c r="B32" s="131">
        <v>182</v>
      </c>
      <c r="C32" s="164">
        <v>700319098.16970813</v>
      </c>
    </row>
    <row r="33" spans="1:3">
      <c r="A33" s="131" t="s">
        <v>20</v>
      </c>
      <c r="B33" s="131">
        <v>61</v>
      </c>
      <c r="C33" s="164">
        <v>80344425.807868779</v>
      </c>
    </row>
    <row r="34" spans="1:3">
      <c r="A34" s="131" t="s">
        <v>19</v>
      </c>
      <c r="B34" s="131">
        <v>58</v>
      </c>
      <c r="C34" s="164">
        <v>150440112.17465505</v>
      </c>
    </row>
    <row r="35" spans="1:3">
      <c r="A35" s="131" t="s">
        <v>18</v>
      </c>
      <c r="B35" s="131">
        <v>59</v>
      </c>
      <c r="C35" s="164">
        <v>47039879.653898261</v>
      </c>
    </row>
    <row r="36" spans="1:3">
      <c r="A36" s="131" t="s">
        <v>21</v>
      </c>
      <c r="B36" s="131">
        <v>60</v>
      </c>
      <c r="C36" s="164">
        <v>72799123.078833282</v>
      </c>
    </row>
    <row r="37" spans="1:3">
      <c r="A37" s="131" t="s">
        <v>12</v>
      </c>
      <c r="B37" s="131">
        <v>182</v>
      </c>
      <c r="C37" s="164">
        <v>141874217118.95782</v>
      </c>
    </row>
    <row r="38" spans="1:3">
      <c r="A38" s="131" t="s">
        <v>41</v>
      </c>
      <c r="B38" s="131">
        <v>182</v>
      </c>
      <c r="C38" s="164">
        <v>2495089985.5608234</v>
      </c>
    </row>
    <row r="39" spans="1:3">
      <c r="A39" s="131" t="s">
        <v>8</v>
      </c>
      <c r="B39" s="131">
        <v>182</v>
      </c>
      <c r="C39" s="164">
        <v>1103424731.7520921</v>
      </c>
    </row>
    <row r="40" spans="1:3">
      <c r="A40" s="131" t="s">
        <v>40</v>
      </c>
      <c r="B40" s="131">
        <v>128</v>
      </c>
      <c r="C40" s="164">
        <v>383508210.91515267</v>
      </c>
    </row>
    <row r="41" spans="1:3">
      <c r="A41" s="131" t="s">
        <v>15</v>
      </c>
      <c r="B41" s="131">
        <v>182</v>
      </c>
      <c r="C41" s="164">
        <v>31256183882.702068</v>
      </c>
    </row>
    <row r="42" spans="1:3">
      <c r="A42" s="131" t="s">
        <v>7</v>
      </c>
      <c r="B42" s="131">
        <v>182</v>
      </c>
      <c r="C42" s="164">
        <v>1454064983.1481011</v>
      </c>
    </row>
    <row r="43" spans="1:3">
      <c r="A43" s="131" t="s">
        <v>3</v>
      </c>
      <c r="B43" s="131">
        <v>182</v>
      </c>
      <c r="C43" s="164">
        <v>2521970228.2699256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F47"/>
  <sheetViews>
    <sheetView workbookViewId="0"/>
  </sheetViews>
  <sheetFormatPr defaultRowHeight="15"/>
  <cols>
    <col min="1" max="1" width="17.85546875" customWidth="1"/>
    <col min="2" max="2" width="16.5703125" bestFit="1" customWidth="1"/>
    <col min="4" max="4" width="45" style="136" bestFit="1" customWidth="1"/>
    <col min="5" max="5" width="19" customWidth="1"/>
    <col min="6" max="6" width="16" customWidth="1"/>
    <col min="7" max="7" width="10" bestFit="1" customWidth="1"/>
  </cols>
  <sheetData>
    <row r="1" spans="1:6" ht="49.5" customHeight="1">
      <c r="A1" s="130" t="s">
        <v>1514</v>
      </c>
      <c r="B1" s="130" t="s">
        <v>1516</v>
      </c>
      <c r="C1" s="131" t="s">
        <v>1523</v>
      </c>
      <c r="D1" s="133" t="s">
        <v>1515</v>
      </c>
      <c r="E1" s="130" t="s">
        <v>1518</v>
      </c>
      <c r="F1" s="130" t="s">
        <v>1517</v>
      </c>
    </row>
    <row r="2" spans="1:6" ht="20.100000000000001" customHeight="1">
      <c r="A2" s="131" t="s">
        <v>9</v>
      </c>
      <c r="B2" s="132" t="s">
        <v>3</v>
      </c>
      <c r="C2" s="131" t="str">
        <f>+VLOOKUP(B2,A:A,1,0)</f>
        <v>LIC02</v>
      </c>
      <c r="D2" s="134"/>
      <c r="E2" s="131" t="s">
        <v>1519</v>
      </c>
      <c r="F2" s="131" t="s">
        <v>1519</v>
      </c>
    </row>
    <row r="3" spans="1:6" ht="20.100000000000001" customHeight="1">
      <c r="A3" s="131" t="s">
        <v>16</v>
      </c>
      <c r="B3" s="132" t="s">
        <v>4</v>
      </c>
      <c r="C3" s="131" t="str">
        <f t="shared" ref="C3:C47" si="0">+VLOOKUP(B3,A:A,1,0)</f>
        <v>LIC08</v>
      </c>
      <c r="D3" s="134"/>
      <c r="E3" s="131" t="s">
        <v>1519</v>
      </c>
      <c r="F3" s="131" t="s">
        <v>1519</v>
      </c>
    </row>
    <row r="4" spans="1:6" ht="20.100000000000001" customHeight="1">
      <c r="A4" s="131" t="s">
        <v>8</v>
      </c>
      <c r="B4" s="132" t="s">
        <v>5</v>
      </c>
      <c r="C4" s="131" t="str">
        <f t="shared" si="0"/>
        <v>LIC17</v>
      </c>
      <c r="D4" s="134"/>
      <c r="E4" s="131" t="s">
        <v>1519</v>
      </c>
      <c r="F4" s="131" t="s">
        <v>1519</v>
      </c>
    </row>
    <row r="5" spans="1:6" ht="20.100000000000001" customHeight="1">
      <c r="A5" s="131" t="s">
        <v>15</v>
      </c>
      <c r="B5" s="132" t="s">
        <v>6</v>
      </c>
      <c r="C5" s="131" t="str">
        <f t="shared" si="0"/>
        <v>LIC19</v>
      </c>
      <c r="D5" s="134"/>
      <c r="E5" s="131" t="s">
        <v>1519</v>
      </c>
      <c r="F5" s="131" t="s">
        <v>1519</v>
      </c>
    </row>
    <row r="6" spans="1:6">
      <c r="A6" s="131" t="s">
        <v>42</v>
      </c>
      <c r="B6" s="132" t="s">
        <v>7</v>
      </c>
      <c r="C6" s="131" t="str">
        <f t="shared" si="0"/>
        <v>LIC28</v>
      </c>
      <c r="D6" s="134"/>
      <c r="E6" s="131" t="s">
        <v>1519</v>
      </c>
      <c r="F6" s="131" t="s">
        <v>1519</v>
      </c>
    </row>
    <row r="7" spans="1:6">
      <c r="A7" s="131" t="s">
        <v>11</v>
      </c>
      <c r="B7" s="132" t="s">
        <v>8</v>
      </c>
      <c r="C7" s="131" t="str">
        <f t="shared" si="0"/>
        <v>LIC31</v>
      </c>
      <c r="D7" s="134"/>
      <c r="E7" s="131" t="s">
        <v>1519</v>
      </c>
      <c r="F7" s="131" t="s">
        <v>1519</v>
      </c>
    </row>
    <row r="8" spans="1:6">
      <c r="A8" s="131" t="s">
        <v>5</v>
      </c>
      <c r="B8" s="132" t="s">
        <v>9</v>
      </c>
      <c r="C8" s="131" t="str">
        <f t="shared" si="0"/>
        <v>LIC33</v>
      </c>
      <c r="D8" s="134"/>
      <c r="E8" s="131" t="s">
        <v>1519</v>
      </c>
      <c r="F8" s="131" t="s">
        <v>1519</v>
      </c>
    </row>
    <row r="9" spans="1:6">
      <c r="A9" s="131" t="s">
        <v>6</v>
      </c>
      <c r="B9" s="132" t="s">
        <v>10</v>
      </c>
      <c r="C9" s="131" t="str">
        <f t="shared" si="0"/>
        <v>LIC34</v>
      </c>
      <c r="D9" s="134"/>
      <c r="E9" s="131" t="s">
        <v>1519</v>
      </c>
      <c r="F9" s="131" t="s">
        <v>1519</v>
      </c>
    </row>
    <row r="10" spans="1:6">
      <c r="A10" s="131" t="s">
        <v>14</v>
      </c>
      <c r="B10" s="132" t="s">
        <v>11</v>
      </c>
      <c r="C10" s="131" t="str">
        <f t="shared" si="0"/>
        <v>LIC35</v>
      </c>
      <c r="D10" s="134"/>
      <c r="E10" s="131" t="s">
        <v>1519</v>
      </c>
      <c r="F10" s="131" t="s">
        <v>1519</v>
      </c>
    </row>
    <row r="11" spans="1:6">
      <c r="A11" s="131" t="s">
        <v>13</v>
      </c>
      <c r="B11" s="132" t="s">
        <v>12</v>
      </c>
      <c r="C11" s="131" t="str">
        <f t="shared" si="0"/>
        <v>LIC36</v>
      </c>
      <c r="D11" s="134"/>
      <c r="E11" s="131" t="s">
        <v>1519</v>
      </c>
      <c r="F11" s="131" t="s">
        <v>1519</v>
      </c>
    </row>
    <row r="12" spans="1:6">
      <c r="A12" s="131" t="s">
        <v>17</v>
      </c>
      <c r="B12" s="132" t="s">
        <v>13</v>
      </c>
      <c r="C12" s="131" t="str">
        <f t="shared" si="0"/>
        <v>LIC37</v>
      </c>
      <c r="D12" s="134"/>
      <c r="E12" s="131" t="s">
        <v>1519</v>
      </c>
      <c r="F12" s="131" t="s">
        <v>1519</v>
      </c>
    </row>
    <row r="13" spans="1:6">
      <c r="A13" s="131" t="s">
        <v>41</v>
      </c>
      <c r="B13" s="132" t="s">
        <v>14</v>
      </c>
      <c r="C13" s="131" t="str">
        <f t="shared" si="0"/>
        <v>LIC38</v>
      </c>
      <c r="D13" s="134"/>
      <c r="E13" s="131" t="s">
        <v>1519</v>
      </c>
      <c r="F13" s="131" t="s">
        <v>1519</v>
      </c>
    </row>
    <row r="14" spans="1:6">
      <c r="A14" s="131" t="s">
        <v>4</v>
      </c>
      <c r="B14" s="132" t="s">
        <v>15</v>
      </c>
      <c r="C14" s="131" t="str">
        <f t="shared" si="0"/>
        <v>LIC40</v>
      </c>
      <c r="D14" s="134"/>
      <c r="E14" s="131" t="s">
        <v>1519</v>
      </c>
      <c r="F14" s="131" t="s">
        <v>1519</v>
      </c>
    </row>
    <row r="15" spans="1:6">
      <c r="A15" s="131" t="s">
        <v>12</v>
      </c>
      <c r="B15" s="132" t="s">
        <v>16</v>
      </c>
      <c r="C15" s="131" t="str">
        <f t="shared" si="0"/>
        <v>LIC72</v>
      </c>
      <c r="D15" s="134"/>
      <c r="E15" s="131" t="s">
        <v>1519</v>
      </c>
      <c r="F15" s="131" t="s">
        <v>1519</v>
      </c>
    </row>
    <row r="16" spans="1:6">
      <c r="A16" s="131" t="s">
        <v>10</v>
      </c>
      <c r="B16" s="132" t="s">
        <v>17</v>
      </c>
      <c r="C16" s="131" t="str">
        <f t="shared" si="0"/>
        <v>LIC86</v>
      </c>
      <c r="D16" s="134"/>
      <c r="E16" s="131" t="s">
        <v>1519</v>
      </c>
      <c r="F16" s="131" t="s">
        <v>1519</v>
      </c>
    </row>
    <row r="17" spans="1:6">
      <c r="A17" s="131" t="s">
        <v>7</v>
      </c>
      <c r="B17" s="132" t="s">
        <v>18</v>
      </c>
      <c r="C17" s="131" t="e">
        <f t="shared" si="0"/>
        <v>#N/A</v>
      </c>
      <c r="D17" s="133" t="s">
        <v>1520</v>
      </c>
      <c r="E17" s="131" t="s">
        <v>1519</v>
      </c>
      <c r="F17" s="131" t="s">
        <v>1519</v>
      </c>
    </row>
    <row r="18" spans="1:6">
      <c r="A18" s="131" t="s">
        <v>3</v>
      </c>
      <c r="B18" s="132" t="s">
        <v>19</v>
      </c>
      <c r="C18" s="131" t="e">
        <f t="shared" si="0"/>
        <v>#N/A</v>
      </c>
      <c r="D18" s="133" t="s">
        <v>1520</v>
      </c>
      <c r="E18" s="131" t="s">
        <v>1519</v>
      </c>
      <c r="F18" s="131" t="s">
        <v>1519</v>
      </c>
    </row>
    <row r="19" spans="1:6">
      <c r="A19" s="131" t="s">
        <v>48</v>
      </c>
      <c r="B19" s="132" t="s">
        <v>20</v>
      </c>
      <c r="C19" s="131" t="e">
        <f t="shared" si="0"/>
        <v>#N/A</v>
      </c>
      <c r="D19" s="133" t="s">
        <v>1520</v>
      </c>
      <c r="E19" s="131" t="s">
        <v>1519</v>
      </c>
      <c r="F19" s="131" t="s">
        <v>1519</v>
      </c>
    </row>
    <row r="20" spans="1:6">
      <c r="A20" s="131" t="s">
        <v>46</v>
      </c>
      <c r="B20" s="132" t="s">
        <v>21</v>
      </c>
      <c r="C20" s="131" t="e">
        <f t="shared" si="0"/>
        <v>#N/A</v>
      </c>
      <c r="D20" s="133" t="s">
        <v>1520</v>
      </c>
      <c r="E20" s="131" t="s">
        <v>1519</v>
      </c>
      <c r="F20" s="131" t="s">
        <v>1519</v>
      </c>
    </row>
    <row r="21" spans="1:6">
      <c r="A21" s="131" t="s">
        <v>47</v>
      </c>
      <c r="B21" s="132" t="s">
        <v>22</v>
      </c>
      <c r="C21" s="131" t="e">
        <f t="shared" si="0"/>
        <v>#N/A</v>
      </c>
      <c r="D21" s="137" t="s">
        <v>1521</v>
      </c>
      <c r="E21" s="131" t="s">
        <v>1522</v>
      </c>
      <c r="F21" s="131" t="s">
        <v>1522</v>
      </c>
    </row>
    <row r="22" spans="1:6">
      <c r="A22" s="131" t="s">
        <v>39</v>
      </c>
      <c r="B22" s="132" t="s">
        <v>23</v>
      </c>
      <c r="C22" s="131" t="e">
        <f t="shared" si="0"/>
        <v>#N/A</v>
      </c>
      <c r="D22" s="137" t="s">
        <v>1521</v>
      </c>
      <c r="E22" s="131" t="s">
        <v>1522</v>
      </c>
      <c r="F22" s="131" t="s">
        <v>1522</v>
      </c>
    </row>
    <row r="23" spans="1:6">
      <c r="A23" s="131" t="s">
        <v>25</v>
      </c>
      <c r="B23" s="132" t="s">
        <v>24</v>
      </c>
      <c r="C23" s="131" t="e">
        <f t="shared" si="0"/>
        <v>#N/A</v>
      </c>
      <c r="D23" s="137" t="s">
        <v>1521</v>
      </c>
      <c r="E23" s="131" t="s">
        <v>1522</v>
      </c>
      <c r="F23" s="131" t="s">
        <v>1522</v>
      </c>
    </row>
    <row r="24" spans="1:6">
      <c r="A24" s="131" t="s">
        <v>43</v>
      </c>
      <c r="B24" s="132" t="s">
        <v>25</v>
      </c>
      <c r="C24" s="131" t="str">
        <f t="shared" si="0"/>
        <v>LIC142</v>
      </c>
      <c r="D24" s="134"/>
      <c r="E24" s="131" t="s">
        <v>1519</v>
      </c>
      <c r="F24" s="131" t="s">
        <v>1519</v>
      </c>
    </row>
    <row r="25" spans="1:6">
      <c r="A25" s="131" t="s">
        <v>44</v>
      </c>
      <c r="B25" s="132" t="s">
        <v>26</v>
      </c>
      <c r="C25" s="131" t="e">
        <f t="shared" si="0"/>
        <v>#N/A</v>
      </c>
      <c r="D25" s="137" t="s">
        <v>1521</v>
      </c>
      <c r="E25" s="131" t="s">
        <v>1522</v>
      </c>
      <c r="F25" s="131" t="s">
        <v>1522</v>
      </c>
    </row>
    <row r="26" spans="1:6">
      <c r="A26" s="131" t="s">
        <v>45</v>
      </c>
      <c r="B26" s="132" t="s">
        <v>27</v>
      </c>
      <c r="C26" s="131" t="e">
        <f t="shared" si="0"/>
        <v>#N/A</v>
      </c>
      <c r="D26" s="135" t="s">
        <v>289</v>
      </c>
      <c r="E26" s="131" t="s">
        <v>1522</v>
      </c>
      <c r="F26" s="131" t="s">
        <v>1519</v>
      </c>
    </row>
    <row r="27" spans="1:6">
      <c r="A27" s="131"/>
      <c r="B27" s="132" t="s">
        <v>28</v>
      </c>
      <c r="C27" s="131" t="e">
        <f t="shared" si="0"/>
        <v>#N/A</v>
      </c>
      <c r="D27" s="135" t="s">
        <v>289</v>
      </c>
      <c r="E27" s="131" t="s">
        <v>1522</v>
      </c>
      <c r="F27" s="131" t="s">
        <v>1519</v>
      </c>
    </row>
    <row r="28" spans="1:6">
      <c r="A28" s="131"/>
      <c r="B28" s="132" t="s">
        <v>29</v>
      </c>
      <c r="C28" s="131" t="e">
        <f t="shared" si="0"/>
        <v>#N/A</v>
      </c>
      <c r="D28" s="135" t="s">
        <v>289</v>
      </c>
      <c r="E28" s="131" t="s">
        <v>1522</v>
      </c>
      <c r="F28" s="131" t="s">
        <v>1519</v>
      </c>
    </row>
    <row r="29" spans="1:6">
      <c r="A29" s="131"/>
      <c r="B29" s="132" t="s">
        <v>30</v>
      </c>
      <c r="C29" s="131" t="e">
        <f t="shared" si="0"/>
        <v>#N/A</v>
      </c>
      <c r="D29" s="135" t="s">
        <v>289</v>
      </c>
      <c r="E29" s="131" t="s">
        <v>1522</v>
      </c>
      <c r="F29" s="131" t="s">
        <v>1519</v>
      </c>
    </row>
    <row r="30" spans="1:6">
      <c r="A30" s="131"/>
      <c r="B30" s="132" t="s">
        <v>31</v>
      </c>
      <c r="C30" s="131" t="e">
        <f t="shared" si="0"/>
        <v>#N/A</v>
      </c>
      <c r="D30" s="135" t="s">
        <v>289</v>
      </c>
      <c r="E30" s="131" t="s">
        <v>1522</v>
      </c>
      <c r="F30" s="131" t="s">
        <v>1519</v>
      </c>
    </row>
    <row r="31" spans="1:6">
      <c r="A31" s="131"/>
      <c r="B31" s="132" t="s">
        <v>32</v>
      </c>
      <c r="C31" s="131" t="e">
        <f t="shared" si="0"/>
        <v>#N/A</v>
      </c>
      <c r="D31" s="135" t="s">
        <v>289</v>
      </c>
      <c r="E31" s="131" t="s">
        <v>1522</v>
      </c>
      <c r="F31" s="131" t="s">
        <v>1519</v>
      </c>
    </row>
    <row r="32" spans="1:6">
      <c r="A32" s="131"/>
      <c r="B32" s="132" t="s">
        <v>33</v>
      </c>
      <c r="C32" s="131" t="e">
        <f t="shared" si="0"/>
        <v>#N/A</v>
      </c>
      <c r="D32" s="135" t="s">
        <v>289</v>
      </c>
      <c r="E32" s="131" t="s">
        <v>1522</v>
      </c>
      <c r="F32" s="131" t="s">
        <v>1519</v>
      </c>
    </row>
    <row r="33" spans="1:6">
      <c r="A33" s="131"/>
      <c r="B33" s="132" t="s">
        <v>34</v>
      </c>
      <c r="C33" s="131" t="e">
        <f t="shared" si="0"/>
        <v>#N/A</v>
      </c>
      <c r="D33" s="133" t="s">
        <v>1520</v>
      </c>
      <c r="E33" s="131" t="s">
        <v>1519</v>
      </c>
      <c r="F33" s="131" t="s">
        <v>1519</v>
      </c>
    </row>
    <row r="34" spans="1:6">
      <c r="A34" s="131"/>
      <c r="B34" s="132" t="s">
        <v>35</v>
      </c>
      <c r="C34" s="131" t="e">
        <f t="shared" si="0"/>
        <v>#N/A</v>
      </c>
      <c r="D34" s="133" t="s">
        <v>1520</v>
      </c>
      <c r="E34" s="131" t="s">
        <v>1519</v>
      </c>
      <c r="F34" s="131" t="s">
        <v>1519</v>
      </c>
    </row>
    <row r="35" spans="1:6">
      <c r="A35" s="131"/>
      <c r="B35" s="132" t="s">
        <v>36</v>
      </c>
      <c r="C35" s="131" t="e">
        <f t="shared" si="0"/>
        <v>#N/A</v>
      </c>
      <c r="D35" s="133" t="s">
        <v>1520</v>
      </c>
      <c r="E35" s="131" t="s">
        <v>1519</v>
      </c>
      <c r="F35" s="131" t="s">
        <v>1519</v>
      </c>
    </row>
    <row r="36" spans="1:6">
      <c r="A36" s="131"/>
      <c r="B36" s="132" t="s">
        <v>37</v>
      </c>
      <c r="C36" s="131" t="e">
        <f t="shared" si="0"/>
        <v>#N/A</v>
      </c>
      <c r="D36" s="133" t="s">
        <v>1520</v>
      </c>
      <c r="E36" s="131" t="s">
        <v>1519</v>
      </c>
      <c r="F36" s="131" t="s">
        <v>1519</v>
      </c>
    </row>
    <row r="37" spans="1:6">
      <c r="A37" s="131"/>
      <c r="B37" s="132" t="s">
        <v>38</v>
      </c>
      <c r="C37" s="131" t="e">
        <f t="shared" si="0"/>
        <v>#N/A</v>
      </c>
      <c r="D37" s="133" t="s">
        <v>1520</v>
      </c>
      <c r="E37" s="131" t="s">
        <v>1519</v>
      </c>
      <c r="F37" s="131" t="s">
        <v>1519</v>
      </c>
    </row>
    <row r="38" spans="1:6">
      <c r="A38" s="131"/>
      <c r="B38" s="132" t="s">
        <v>39</v>
      </c>
      <c r="C38" s="131" t="str">
        <f t="shared" si="0"/>
        <v>LIC168</v>
      </c>
      <c r="D38" s="134"/>
      <c r="E38" s="131" t="s">
        <v>1519</v>
      </c>
      <c r="F38" s="131" t="s">
        <v>1519</v>
      </c>
    </row>
    <row r="39" spans="1:6">
      <c r="A39" s="131"/>
      <c r="B39" s="132" t="s">
        <v>40</v>
      </c>
      <c r="C39" s="131" t="e">
        <f t="shared" si="0"/>
        <v>#N/A</v>
      </c>
      <c r="D39" s="133" t="s">
        <v>1520</v>
      </c>
      <c r="E39" s="131" t="s">
        <v>1519</v>
      </c>
      <c r="F39" s="131" t="s">
        <v>1519</v>
      </c>
    </row>
    <row r="40" spans="1:6">
      <c r="A40" s="131"/>
      <c r="B40" s="132" t="s">
        <v>41</v>
      </c>
      <c r="C40" s="131" t="str">
        <f t="shared" si="0"/>
        <v>LIC170</v>
      </c>
      <c r="D40" s="134"/>
      <c r="E40" s="131" t="s">
        <v>1519</v>
      </c>
      <c r="F40" s="131" t="s">
        <v>1519</v>
      </c>
    </row>
    <row r="41" spans="1:6">
      <c r="A41" s="131"/>
      <c r="B41" s="132" t="s">
        <v>42</v>
      </c>
      <c r="C41" s="131" t="str">
        <f t="shared" si="0"/>
        <v>LIC171</v>
      </c>
      <c r="D41" s="134"/>
      <c r="E41" s="131" t="s">
        <v>1519</v>
      </c>
      <c r="F41" s="131" t="s">
        <v>1519</v>
      </c>
    </row>
    <row r="42" spans="1:6">
      <c r="A42" s="131"/>
      <c r="B42" s="132" t="s">
        <v>43</v>
      </c>
      <c r="C42" s="131" t="str">
        <f t="shared" si="0"/>
        <v>LIC172</v>
      </c>
      <c r="D42" s="134"/>
      <c r="E42" s="131" t="s">
        <v>1519</v>
      </c>
      <c r="F42" s="131" t="s">
        <v>1519</v>
      </c>
    </row>
    <row r="43" spans="1:6">
      <c r="A43" s="131"/>
      <c r="B43" s="132" t="s">
        <v>44</v>
      </c>
      <c r="C43" s="131" t="str">
        <f t="shared" si="0"/>
        <v>LIC173</v>
      </c>
      <c r="D43" s="134"/>
      <c r="E43" s="131" t="s">
        <v>1519</v>
      </c>
      <c r="F43" s="131" t="s">
        <v>1519</v>
      </c>
    </row>
    <row r="44" spans="1:6">
      <c r="A44" s="131"/>
      <c r="B44" s="132" t="s">
        <v>45</v>
      </c>
      <c r="C44" s="131" t="str">
        <f t="shared" si="0"/>
        <v>LIC174</v>
      </c>
      <c r="D44" s="134"/>
      <c r="E44" s="131" t="s">
        <v>1519</v>
      </c>
      <c r="F44" s="131" t="s">
        <v>1519</v>
      </c>
    </row>
    <row r="45" spans="1:6">
      <c r="A45" s="131"/>
      <c r="B45" s="132" t="s">
        <v>46</v>
      </c>
      <c r="C45" s="131" t="str">
        <f t="shared" si="0"/>
        <v>LIC175</v>
      </c>
      <c r="D45" s="134"/>
      <c r="E45" s="131" t="s">
        <v>1519</v>
      </c>
      <c r="F45" s="131" t="s">
        <v>1519</v>
      </c>
    </row>
    <row r="46" spans="1:6">
      <c r="A46" s="131"/>
      <c r="B46" s="132" t="s">
        <v>47</v>
      </c>
      <c r="C46" s="131" t="str">
        <f t="shared" si="0"/>
        <v>LIC176</v>
      </c>
      <c r="D46" s="134"/>
      <c r="E46" s="131" t="s">
        <v>1519</v>
      </c>
      <c r="F46" s="131" t="s">
        <v>1519</v>
      </c>
    </row>
    <row r="47" spans="1:6">
      <c r="A47" s="131"/>
      <c r="B47" s="132" t="s">
        <v>48</v>
      </c>
      <c r="C47" s="131" t="str">
        <f t="shared" si="0"/>
        <v>LIC177</v>
      </c>
      <c r="D47" s="134"/>
      <c r="E47" s="131" t="s">
        <v>1519</v>
      </c>
      <c r="F47" s="131" t="s">
        <v>1519</v>
      </c>
    </row>
  </sheetData>
  <autoFilter ref="A1:F47" xr:uid="{00000000-0009-0000-0000-00000C000000}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H180"/>
  <sheetViews>
    <sheetView workbookViewId="0"/>
  </sheetViews>
  <sheetFormatPr defaultRowHeight="15"/>
  <cols>
    <col min="1" max="1" width="13.140625" style="131" bestFit="1" customWidth="1"/>
    <col min="2" max="2" width="24.85546875" style="131" bestFit="1" customWidth="1"/>
    <col min="3" max="3" width="28.140625" style="131" bestFit="1" customWidth="1"/>
    <col min="6" max="6" width="46.7109375" bestFit="1" customWidth="1"/>
    <col min="7" max="7" width="32.85546875" bestFit="1" customWidth="1"/>
    <col min="8" max="8" width="26.5703125" bestFit="1" customWidth="1"/>
  </cols>
  <sheetData>
    <row r="1" spans="1:8">
      <c r="A1" s="131" t="s">
        <v>292</v>
      </c>
      <c r="B1" s="131" t="s">
        <v>290</v>
      </c>
      <c r="C1" s="131" t="s">
        <v>291</v>
      </c>
    </row>
    <row r="2" spans="1:8">
      <c r="A2" s="131">
        <v>120278</v>
      </c>
      <c r="B2" s="131" t="s">
        <v>107</v>
      </c>
      <c r="C2" s="131" t="s">
        <v>9</v>
      </c>
      <c r="F2" t="s">
        <v>1592</v>
      </c>
      <c r="G2" t="s">
        <v>1593</v>
      </c>
      <c r="H2" t="s">
        <v>1594</v>
      </c>
    </row>
    <row r="3" spans="1:8">
      <c r="A3" s="131">
        <v>120279</v>
      </c>
      <c r="B3" s="131" t="s">
        <v>109</v>
      </c>
      <c r="C3" s="131" t="s">
        <v>9</v>
      </c>
      <c r="F3" s="131" t="s">
        <v>1574</v>
      </c>
      <c r="G3" s="143" t="s">
        <v>20</v>
      </c>
      <c r="H3" s="131" t="s">
        <v>1587</v>
      </c>
    </row>
    <row r="4" spans="1:8">
      <c r="A4" s="131">
        <v>100314</v>
      </c>
      <c r="B4" s="131" t="s">
        <v>103</v>
      </c>
      <c r="C4" s="131" t="s">
        <v>9</v>
      </c>
      <c r="F4" s="131" t="s">
        <v>1575</v>
      </c>
      <c r="G4" s="143" t="s">
        <v>19</v>
      </c>
      <c r="H4" s="131" t="s">
        <v>1587</v>
      </c>
    </row>
    <row r="5" spans="1:8">
      <c r="A5" s="131">
        <v>100315</v>
      </c>
      <c r="B5" s="131" t="s">
        <v>105</v>
      </c>
      <c r="C5" s="131" t="s">
        <v>9</v>
      </c>
      <c r="F5" s="131" t="s">
        <v>1576</v>
      </c>
      <c r="G5" s="143" t="s">
        <v>18</v>
      </c>
      <c r="H5" s="131" t="s">
        <v>1587</v>
      </c>
    </row>
    <row r="6" spans="1:8">
      <c r="A6" s="131">
        <v>120337</v>
      </c>
      <c r="B6" s="131" t="s">
        <v>107</v>
      </c>
      <c r="C6" s="131" t="s">
        <v>16</v>
      </c>
      <c r="F6" s="131" t="s">
        <v>1577</v>
      </c>
      <c r="G6" s="143" t="s">
        <v>21</v>
      </c>
      <c r="H6" s="131" t="s">
        <v>1587</v>
      </c>
    </row>
    <row r="7" spans="1:8">
      <c r="A7" s="131">
        <v>120338</v>
      </c>
      <c r="B7" s="131" t="s">
        <v>109</v>
      </c>
      <c r="C7" s="131" t="s">
        <v>16</v>
      </c>
      <c r="F7" s="131" t="s">
        <v>1578</v>
      </c>
      <c r="G7" s="143" t="s">
        <v>33</v>
      </c>
      <c r="H7" s="131" t="s">
        <v>1588</v>
      </c>
    </row>
    <row r="8" spans="1:8">
      <c r="A8" s="131">
        <v>120339</v>
      </c>
      <c r="B8" s="131" t="s">
        <v>117</v>
      </c>
      <c r="C8" s="131" t="s">
        <v>16</v>
      </c>
      <c r="F8" s="131" t="s">
        <v>1579</v>
      </c>
      <c r="G8" s="143" t="s">
        <v>37</v>
      </c>
      <c r="H8" s="131" t="s">
        <v>1587</v>
      </c>
    </row>
    <row r="9" spans="1:8">
      <c r="A9" s="131">
        <v>120336</v>
      </c>
      <c r="B9" s="131" t="s">
        <v>129</v>
      </c>
      <c r="C9" s="131" t="s">
        <v>16</v>
      </c>
      <c r="F9" s="131" t="s">
        <v>1580</v>
      </c>
      <c r="G9" s="143" t="s">
        <v>40</v>
      </c>
      <c r="H9" s="131" t="s">
        <v>1587</v>
      </c>
    </row>
    <row r="10" spans="1:8">
      <c r="A10" s="131">
        <v>105822</v>
      </c>
      <c r="B10" s="131" t="s">
        <v>103</v>
      </c>
      <c r="C10" s="131" t="s">
        <v>16</v>
      </c>
      <c r="F10" s="131" t="s">
        <v>1581</v>
      </c>
      <c r="G10" s="143" t="s">
        <v>32</v>
      </c>
      <c r="H10" s="131" t="s">
        <v>1588</v>
      </c>
    </row>
    <row r="11" spans="1:8">
      <c r="A11" s="131">
        <v>105823</v>
      </c>
      <c r="B11" s="131" t="s">
        <v>105</v>
      </c>
      <c r="C11" s="131" t="s">
        <v>16</v>
      </c>
      <c r="F11" s="131" t="s">
        <v>1582</v>
      </c>
      <c r="G11" s="143" t="s">
        <v>34</v>
      </c>
      <c r="H11" s="131" t="s">
        <v>1587</v>
      </c>
    </row>
    <row r="12" spans="1:8">
      <c r="A12" s="131">
        <v>105856</v>
      </c>
      <c r="B12" s="131" t="s">
        <v>111</v>
      </c>
      <c r="C12" s="131" t="s">
        <v>16</v>
      </c>
      <c r="F12" s="131" t="s">
        <v>1583</v>
      </c>
      <c r="G12" s="143" t="s">
        <v>31</v>
      </c>
      <c r="H12" s="131" t="s">
        <v>1588</v>
      </c>
    </row>
    <row r="13" spans="1:8">
      <c r="A13" s="131">
        <v>105857</v>
      </c>
      <c r="B13" s="131" t="s">
        <v>127</v>
      </c>
      <c r="C13" s="131" t="s">
        <v>16</v>
      </c>
      <c r="F13" s="131" t="s">
        <v>1584</v>
      </c>
      <c r="G13" s="143" t="s">
        <v>35</v>
      </c>
      <c r="H13" s="131" t="s">
        <v>1587</v>
      </c>
    </row>
    <row r="14" spans="1:8">
      <c r="A14" s="131">
        <v>120276</v>
      </c>
      <c r="B14" s="131" t="s">
        <v>109</v>
      </c>
      <c r="C14" s="131" t="s">
        <v>8</v>
      </c>
      <c r="F14" s="131" t="s">
        <v>1585</v>
      </c>
      <c r="G14" s="143" t="s">
        <v>36</v>
      </c>
      <c r="H14" s="131" t="s">
        <v>1587</v>
      </c>
    </row>
    <row r="15" spans="1:8">
      <c r="A15" s="131">
        <v>120277</v>
      </c>
      <c r="B15" s="131" t="s">
        <v>117</v>
      </c>
      <c r="C15" s="131" t="s">
        <v>8</v>
      </c>
      <c r="F15" s="131" t="s">
        <v>1586</v>
      </c>
      <c r="G15" s="143" t="s">
        <v>38</v>
      </c>
      <c r="H15" s="131" t="s">
        <v>1587</v>
      </c>
    </row>
    <row r="16" spans="1:8">
      <c r="A16" s="131">
        <v>120274</v>
      </c>
      <c r="B16" s="131" t="s">
        <v>119</v>
      </c>
      <c r="C16" s="131" t="s">
        <v>8</v>
      </c>
    </row>
    <row r="17" spans="1:3">
      <c r="A17" s="131">
        <v>120275</v>
      </c>
      <c r="B17" s="131" t="s">
        <v>121</v>
      </c>
      <c r="C17" s="131" t="s">
        <v>8</v>
      </c>
    </row>
    <row r="18" spans="1:3">
      <c r="A18" s="131">
        <v>101869</v>
      </c>
      <c r="B18" s="131" t="s">
        <v>105</v>
      </c>
      <c r="C18" s="131" t="s">
        <v>8</v>
      </c>
    </row>
    <row r="19" spans="1:3">
      <c r="A19" s="131">
        <v>101866</v>
      </c>
      <c r="B19" s="131" t="s">
        <v>111</v>
      </c>
      <c r="C19" s="131" t="s">
        <v>8</v>
      </c>
    </row>
    <row r="20" spans="1:3">
      <c r="A20" s="131">
        <v>101867</v>
      </c>
      <c r="B20" s="131" t="s">
        <v>113</v>
      </c>
      <c r="C20" s="131" t="s">
        <v>8</v>
      </c>
    </row>
    <row r="21" spans="1:3">
      <c r="A21" s="131">
        <v>101868</v>
      </c>
      <c r="B21" s="131" t="s">
        <v>115</v>
      </c>
      <c r="C21" s="131" t="s">
        <v>8</v>
      </c>
    </row>
    <row r="22" spans="1:3">
      <c r="A22" s="131">
        <v>120316</v>
      </c>
      <c r="B22" s="131" t="s">
        <v>107</v>
      </c>
      <c r="C22" s="131" t="s">
        <v>15</v>
      </c>
    </row>
    <row r="23" spans="1:3">
      <c r="A23" s="131">
        <v>120315</v>
      </c>
      <c r="B23" s="131" t="s">
        <v>109</v>
      </c>
      <c r="C23" s="131" t="s">
        <v>15</v>
      </c>
    </row>
    <row r="24" spans="1:3">
      <c r="A24" s="131">
        <v>120317</v>
      </c>
      <c r="B24" s="131" t="s">
        <v>117</v>
      </c>
      <c r="C24" s="131" t="s">
        <v>15</v>
      </c>
    </row>
    <row r="25" spans="1:3">
      <c r="A25" s="131">
        <v>120318</v>
      </c>
      <c r="B25" s="131" t="s">
        <v>129</v>
      </c>
      <c r="C25" s="131" t="s">
        <v>15</v>
      </c>
    </row>
    <row r="26" spans="1:3">
      <c r="A26" s="131">
        <v>111676</v>
      </c>
      <c r="B26" s="131" t="s">
        <v>103</v>
      </c>
      <c r="C26" s="131" t="s">
        <v>15</v>
      </c>
    </row>
    <row r="27" spans="1:3">
      <c r="A27" s="131">
        <v>101830</v>
      </c>
      <c r="B27" s="131" t="s">
        <v>105</v>
      </c>
      <c r="C27" s="131" t="s">
        <v>15</v>
      </c>
    </row>
    <row r="28" spans="1:3">
      <c r="A28" s="131">
        <v>101829</v>
      </c>
      <c r="B28" s="131" t="s">
        <v>111</v>
      </c>
      <c r="C28" s="131" t="s">
        <v>15</v>
      </c>
    </row>
    <row r="29" spans="1:3">
      <c r="A29" s="131">
        <v>111675</v>
      </c>
      <c r="B29" s="131" t="s">
        <v>127</v>
      </c>
      <c r="C29" s="131" t="s">
        <v>15</v>
      </c>
    </row>
    <row r="30" spans="1:3">
      <c r="A30" s="131">
        <v>133908</v>
      </c>
      <c r="B30" s="131" t="s">
        <v>107</v>
      </c>
      <c r="C30" s="131" t="s">
        <v>42</v>
      </c>
    </row>
    <row r="31" spans="1:3">
      <c r="A31" s="131">
        <v>134017</v>
      </c>
      <c r="B31" s="131" t="s">
        <v>109</v>
      </c>
      <c r="C31" s="131" t="s">
        <v>42</v>
      </c>
    </row>
    <row r="32" spans="1:3">
      <c r="A32" s="131">
        <v>134015</v>
      </c>
      <c r="B32" s="131" t="s">
        <v>103</v>
      </c>
      <c r="C32" s="131" t="s">
        <v>42</v>
      </c>
    </row>
    <row r="33" spans="1:3">
      <c r="A33" s="131">
        <v>134016</v>
      </c>
      <c r="B33" s="131" t="s">
        <v>105</v>
      </c>
      <c r="C33" s="131" t="s">
        <v>42</v>
      </c>
    </row>
    <row r="34" spans="1:3">
      <c r="A34" s="131">
        <v>120285</v>
      </c>
      <c r="B34" s="131" t="s">
        <v>109</v>
      </c>
      <c r="C34" s="131" t="s">
        <v>11</v>
      </c>
    </row>
    <row r="35" spans="1:3">
      <c r="A35" s="131">
        <v>101271</v>
      </c>
      <c r="B35" s="131" t="s">
        <v>105</v>
      </c>
      <c r="C35" s="131" t="s">
        <v>11</v>
      </c>
    </row>
    <row r="36" spans="1:3">
      <c r="A36" s="131">
        <v>120263</v>
      </c>
      <c r="B36" s="131" t="s">
        <v>107</v>
      </c>
      <c r="C36" s="131" t="s">
        <v>5</v>
      </c>
    </row>
    <row r="37" spans="1:3">
      <c r="A37" s="131">
        <v>120264</v>
      </c>
      <c r="B37" s="131" t="s">
        <v>109</v>
      </c>
      <c r="C37" s="131" t="s">
        <v>5</v>
      </c>
    </row>
    <row r="38" spans="1:3">
      <c r="A38" s="131">
        <v>100312</v>
      </c>
      <c r="B38" s="131" t="s">
        <v>103</v>
      </c>
      <c r="C38" s="131" t="s">
        <v>5</v>
      </c>
    </row>
    <row r="39" spans="1:3">
      <c r="A39" s="131">
        <v>100313</v>
      </c>
      <c r="B39" s="131" t="s">
        <v>105</v>
      </c>
      <c r="C39" s="131" t="s">
        <v>5</v>
      </c>
    </row>
    <row r="40" spans="1:3">
      <c r="A40" s="131">
        <v>120268</v>
      </c>
      <c r="B40" s="131" t="s">
        <v>107</v>
      </c>
      <c r="C40" s="131" t="s">
        <v>6</v>
      </c>
    </row>
    <row r="41" spans="1:3">
      <c r="A41" s="131">
        <v>120267</v>
      </c>
      <c r="B41" s="131" t="s">
        <v>109</v>
      </c>
      <c r="C41" s="131" t="s">
        <v>6</v>
      </c>
    </row>
    <row r="42" spans="1:3">
      <c r="A42" s="131">
        <v>100332</v>
      </c>
      <c r="B42" s="131" t="s">
        <v>103</v>
      </c>
      <c r="C42" s="131" t="s">
        <v>6</v>
      </c>
    </row>
    <row r="43" spans="1:3">
      <c r="A43" s="131">
        <v>106871</v>
      </c>
      <c r="B43" s="131" t="s">
        <v>105</v>
      </c>
      <c r="C43" s="131" t="s">
        <v>6</v>
      </c>
    </row>
    <row r="44" spans="1:3">
      <c r="A44" s="131">
        <v>120309</v>
      </c>
      <c r="B44" s="131" t="s">
        <v>107</v>
      </c>
      <c r="C44" s="131" t="s">
        <v>14</v>
      </c>
    </row>
    <row r="45" spans="1:3">
      <c r="A45" s="131">
        <v>120307</v>
      </c>
      <c r="B45" s="131" t="s">
        <v>109</v>
      </c>
      <c r="C45" s="131" t="s">
        <v>14</v>
      </c>
    </row>
    <row r="46" spans="1:3">
      <c r="A46" s="131">
        <v>101200</v>
      </c>
      <c r="B46" s="131" t="s">
        <v>103</v>
      </c>
      <c r="C46" s="131" t="s">
        <v>14</v>
      </c>
    </row>
    <row r="47" spans="1:3">
      <c r="A47" s="131">
        <v>101201</v>
      </c>
      <c r="B47" s="131" t="s">
        <v>105</v>
      </c>
      <c r="C47" s="131" t="s">
        <v>14</v>
      </c>
    </row>
    <row r="48" spans="1:3">
      <c r="A48" s="131">
        <v>120312</v>
      </c>
      <c r="B48" s="131" t="s">
        <v>107</v>
      </c>
      <c r="C48" s="131" t="s">
        <v>13</v>
      </c>
    </row>
    <row r="49" spans="1:3">
      <c r="A49" s="131">
        <v>120308</v>
      </c>
      <c r="B49" s="131" t="s">
        <v>109</v>
      </c>
      <c r="C49" s="131" t="s">
        <v>13</v>
      </c>
    </row>
    <row r="50" spans="1:3">
      <c r="A50" s="131">
        <v>101198</v>
      </c>
      <c r="B50" s="131" t="s">
        <v>103</v>
      </c>
      <c r="C50" s="131" t="s">
        <v>13</v>
      </c>
    </row>
    <row r="51" spans="1:3">
      <c r="A51" s="131">
        <v>101199</v>
      </c>
      <c r="B51" s="131" t="s">
        <v>105</v>
      </c>
      <c r="C51" s="131" t="s">
        <v>13</v>
      </c>
    </row>
    <row r="52" spans="1:3">
      <c r="A52" s="131">
        <v>120350</v>
      </c>
      <c r="B52" s="131" t="s">
        <v>107</v>
      </c>
      <c r="C52" s="131" t="s">
        <v>17</v>
      </c>
    </row>
    <row r="53" spans="1:3">
      <c r="A53" s="131">
        <v>120351</v>
      </c>
      <c r="B53" s="131" t="s">
        <v>109</v>
      </c>
      <c r="C53" s="131" t="s">
        <v>17</v>
      </c>
    </row>
    <row r="54" spans="1:3">
      <c r="A54" s="131">
        <v>107764</v>
      </c>
      <c r="B54" s="131" t="s">
        <v>103</v>
      </c>
      <c r="C54" s="131" t="s">
        <v>17</v>
      </c>
    </row>
    <row r="55" spans="1:3">
      <c r="A55" s="131">
        <v>107763</v>
      </c>
      <c r="B55" s="131" t="s">
        <v>105</v>
      </c>
      <c r="C55" s="131" t="s">
        <v>17</v>
      </c>
    </row>
    <row r="56" spans="1:3">
      <c r="A56" s="131">
        <v>133709</v>
      </c>
      <c r="B56" s="131" t="s">
        <v>107</v>
      </c>
      <c r="C56" s="131" t="s">
        <v>41</v>
      </c>
    </row>
    <row r="57" spans="1:3">
      <c r="A57" s="131">
        <v>133710</v>
      </c>
      <c r="B57" s="131" t="s">
        <v>109</v>
      </c>
      <c r="C57" s="131" t="s">
        <v>41</v>
      </c>
    </row>
    <row r="58" spans="1:3">
      <c r="A58" s="131">
        <v>133712</v>
      </c>
      <c r="B58" s="131" t="s">
        <v>103</v>
      </c>
      <c r="C58" s="131" t="s">
        <v>41</v>
      </c>
    </row>
    <row r="59" spans="1:3">
      <c r="A59" s="131">
        <v>133711</v>
      </c>
      <c r="B59" s="131" t="s">
        <v>105</v>
      </c>
      <c r="C59" s="131" t="s">
        <v>41</v>
      </c>
    </row>
    <row r="60" spans="1:3">
      <c r="A60" s="131">
        <v>120260</v>
      </c>
      <c r="B60" s="131" t="s">
        <v>107</v>
      </c>
      <c r="C60" s="131" t="s">
        <v>4</v>
      </c>
    </row>
    <row r="61" spans="1:3">
      <c r="A61" s="131">
        <v>120261</v>
      </c>
      <c r="B61" s="131" t="s">
        <v>109</v>
      </c>
      <c r="C61" s="131" t="s">
        <v>4</v>
      </c>
    </row>
    <row r="62" spans="1:3">
      <c r="A62" s="131">
        <v>100321</v>
      </c>
      <c r="B62" s="131" t="s">
        <v>103</v>
      </c>
      <c r="C62" s="131" t="s">
        <v>4</v>
      </c>
    </row>
    <row r="63" spans="1:3">
      <c r="A63" s="131">
        <v>100323</v>
      </c>
      <c r="B63" s="131" t="s">
        <v>105</v>
      </c>
      <c r="C63" s="131" t="s">
        <v>4</v>
      </c>
    </row>
    <row r="64" spans="1:3">
      <c r="A64" s="131">
        <v>120248</v>
      </c>
      <c r="B64" s="131" t="s">
        <v>107</v>
      </c>
      <c r="C64" s="131" t="s">
        <v>12</v>
      </c>
    </row>
    <row r="65" spans="1:3">
      <c r="A65" s="131">
        <v>120249</v>
      </c>
      <c r="B65" s="131" t="s">
        <v>109</v>
      </c>
      <c r="C65" s="131" t="s">
        <v>12</v>
      </c>
    </row>
    <row r="66" spans="1:3">
      <c r="A66" s="131">
        <v>101184</v>
      </c>
      <c r="B66" s="131" t="s">
        <v>103</v>
      </c>
      <c r="C66" s="131" t="s">
        <v>12</v>
      </c>
    </row>
    <row r="67" spans="1:3">
      <c r="A67" s="131">
        <v>101185</v>
      </c>
      <c r="B67" s="131" t="s">
        <v>105</v>
      </c>
      <c r="C67" s="131" t="s">
        <v>12</v>
      </c>
    </row>
    <row r="68" spans="1:3">
      <c r="A68" s="131">
        <v>120283</v>
      </c>
      <c r="B68" s="131" t="s">
        <v>107</v>
      </c>
      <c r="C68" s="131" t="s">
        <v>10</v>
      </c>
    </row>
    <row r="69" spans="1:3">
      <c r="A69" s="131">
        <v>120282</v>
      </c>
      <c r="B69" s="131" t="s">
        <v>109</v>
      </c>
      <c r="C69" s="131" t="s">
        <v>10</v>
      </c>
    </row>
    <row r="70" spans="1:3">
      <c r="A70" s="131">
        <v>100318</v>
      </c>
      <c r="B70" s="131" t="s">
        <v>123</v>
      </c>
      <c r="C70" s="131" t="s">
        <v>10</v>
      </c>
    </row>
    <row r="71" spans="1:3">
      <c r="A71" s="131">
        <v>100319</v>
      </c>
      <c r="B71" s="131" t="s">
        <v>125</v>
      </c>
      <c r="C71" s="131" t="s">
        <v>10</v>
      </c>
    </row>
    <row r="72" spans="1:3">
      <c r="A72" s="131">
        <v>100316</v>
      </c>
      <c r="B72" s="131" t="s">
        <v>103</v>
      </c>
      <c r="C72" s="131" t="s">
        <v>10</v>
      </c>
    </row>
    <row r="73" spans="1:3">
      <c r="A73" s="131">
        <v>100317</v>
      </c>
      <c r="B73" s="131" t="s">
        <v>105</v>
      </c>
      <c r="C73" s="131" t="s">
        <v>10</v>
      </c>
    </row>
    <row r="74" spans="1:3">
      <c r="A74" s="131">
        <v>120269</v>
      </c>
      <c r="B74" s="131" t="s">
        <v>107</v>
      </c>
      <c r="C74" s="131" t="s">
        <v>7</v>
      </c>
    </row>
    <row r="75" spans="1:3">
      <c r="A75" s="131">
        <v>120270</v>
      </c>
      <c r="B75" s="131" t="s">
        <v>109</v>
      </c>
      <c r="C75" s="131" t="s">
        <v>7</v>
      </c>
    </row>
    <row r="76" spans="1:3">
      <c r="A76" s="131">
        <v>100864</v>
      </c>
      <c r="B76" s="131" t="s">
        <v>103</v>
      </c>
      <c r="C76" s="131" t="s">
        <v>7</v>
      </c>
    </row>
    <row r="77" spans="1:3">
      <c r="A77" s="131">
        <v>100865</v>
      </c>
      <c r="B77" s="131" t="s">
        <v>105</v>
      </c>
      <c r="C77" s="131" t="s">
        <v>7</v>
      </c>
    </row>
    <row r="78" spans="1:3">
      <c r="A78" s="131">
        <v>134878</v>
      </c>
      <c r="B78" s="131" t="s">
        <v>107</v>
      </c>
      <c r="C78" s="131" t="s">
        <v>3</v>
      </c>
    </row>
    <row r="79" spans="1:3">
      <c r="A79" s="131">
        <v>134865</v>
      </c>
      <c r="B79" s="131" t="s">
        <v>103</v>
      </c>
      <c r="C79" s="131" t="s">
        <v>3</v>
      </c>
    </row>
    <row r="80" spans="1:3">
      <c r="A80" s="131">
        <v>134876</v>
      </c>
      <c r="B80" s="131" t="s">
        <v>375</v>
      </c>
      <c r="C80" s="131" t="s">
        <v>375</v>
      </c>
    </row>
    <row r="81" spans="1:3">
      <c r="A81" s="131">
        <v>134847</v>
      </c>
      <c r="B81" s="131" t="s">
        <v>375</v>
      </c>
      <c r="C81" s="131" t="s">
        <v>375</v>
      </c>
    </row>
    <row r="82" spans="1:3">
      <c r="A82" s="131">
        <v>135976</v>
      </c>
      <c r="B82" s="131" t="s">
        <v>375</v>
      </c>
      <c r="C82" s="131" t="s">
        <v>375</v>
      </c>
    </row>
    <row r="83" spans="1:3">
      <c r="A83" s="131">
        <v>135979</v>
      </c>
      <c r="B83" s="131" t="s">
        <v>375</v>
      </c>
      <c r="C83" s="131" t="s">
        <v>375</v>
      </c>
    </row>
    <row r="84" spans="1:3">
      <c r="A84" s="131">
        <v>134877</v>
      </c>
      <c r="B84" s="131" t="s">
        <v>375</v>
      </c>
      <c r="C84" s="131" t="s">
        <v>375</v>
      </c>
    </row>
    <row r="85" spans="1:3">
      <c r="A85" s="131">
        <v>134864</v>
      </c>
      <c r="B85" s="131" t="s">
        <v>375</v>
      </c>
      <c r="C85" s="131" t="s">
        <v>375</v>
      </c>
    </row>
    <row r="86" spans="1:3">
      <c r="A86" s="131">
        <v>134879</v>
      </c>
      <c r="B86" s="131" t="s">
        <v>375</v>
      </c>
      <c r="C86" s="131" t="s">
        <v>375</v>
      </c>
    </row>
    <row r="87" spans="1:3">
      <c r="A87" s="131">
        <v>134867</v>
      </c>
      <c r="B87" s="131" t="s">
        <v>375</v>
      </c>
      <c r="C87" s="131" t="s">
        <v>375</v>
      </c>
    </row>
    <row r="88" spans="1:3">
      <c r="A88" s="131">
        <v>134881</v>
      </c>
      <c r="B88" s="131" t="s">
        <v>375</v>
      </c>
      <c r="C88" s="131" t="s">
        <v>375</v>
      </c>
    </row>
    <row r="89" spans="1:3">
      <c r="A89" s="131">
        <v>134863</v>
      </c>
      <c r="B89" s="131" t="s">
        <v>375</v>
      </c>
      <c r="C89" s="131" t="s">
        <v>375</v>
      </c>
    </row>
    <row r="90" spans="1:3">
      <c r="A90" s="131">
        <v>135977</v>
      </c>
      <c r="B90" s="131" t="s">
        <v>375</v>
      </c>
      <c r="C90" s="131" t="s">
        <v>375</v>
      </c>
    </row>
    <row r="91" spans="1:3">
      <c r="A91" s="131">
        <v>135983</v>
      </c>
      <c r="B91" s="131" t="s">
        <v>375</v>
      </c>
      <c r="C91" s="131" t="s">
        <v>375</v>
      </c>
    </row>
    <row r="92" spans="1:3">
      <c r="A92" s="131">
        <v>134880</v>
      </c>
      <c r="B92" s="131" t="s">
        <v>375</v>
      </c>
      <c r="C92" s="131" t="s">
        <v>375</v>
      </c>
    </row>
    <row r="93" spans="1:3">
      <c r="A93" s="131">
        <v>134868</v>
      </c>
      <c r="B93" s="131" t="s">
        <v>375</v>
      </c>
      <c r="C93" s="131" t="s">
        <v>375</v>
      </c>
    </row>
    <row r="94" spans="1:3">
      <c r="A94" s="131">
        <v>134875</v>
      </c>
      <c r="B94" s="131" t="s">
        <v>375</v>
      </c>
      <c r="C94" s="131" t="s">
        <v>375</v>
      </c>
    </row>
    <row r="95" spans="1:3">
      <c r="A95" s="131">
        <v>134846</v>
      </c>
      <c r="B95" s="131" t="s">
        <v>375</v>
      </c>
      <c r="C95" s="131" t="s">
        <v>375</v>
      </c>
    </row>
    <row r="96" spans="1:3">
      <c r="A96" s="131">
        <v>134882</v>
      </c>
      <c r="B96" s="131" t="s">
        <v>375</v>
      </c>
      <c r="C96" s="131" t="s">
        <v>375</v>
      </c>
    </row>
    <row r="97" spans="1:3">
      <c r="A97" s="131">
        <v>134870</v>
      </c>
      <c r="B97" s="131" t="s">
        <v>375</v>
      </c>
      <c r="C97" s="131" t="s">
        <v>375</v>
      </c>
    </row>
    <row r="98" spans="1:3">
      <c r="A98" s="131">
        <v>134884</v>
      </c>
      <c r="B98" s="131" t="s">
        <v>375</v>
      </c>
      <c r="C98" s="131" t="s">
        <v>375</v>
      </c>
    </row>
    <row r="99" spans="1:3">
      <c r="A99" s="131">
        <v>134869</v>
      </c>
      <c r="B99" s="131" t="s">
        <v>375</v>
      </c>
      <c r="C99" s="131" t="s">
        <v>375</v>
      </c>
    </row>
    <row r="100" spans="1:3">
      <c r="A100" s="131">
        <v>135978</v>
      </c>
      <c r="B100" s="131" t="s">
        <v>375</v>
      </c>
      <c r="C100" s="131" t="s">
        <v>375</v>
      </c>
    </row>
    <row r="101" spans="1:3">
      <c r="A101" s="131">
        <v>135981</v>
      </c>
      <c r="B101" s="131" t="s">
        <v>375</v>
      </c>
      <c r="C101" s="131" t="s">
        <v>375</v>
      </c>
    </row>
    <row r="102" spans="1:3">
      <c r="A102" s="131">
        <v>134883</v>
      </c>
      <c r="B102" s="131" t="s">
        <v>375</v>
      </c>
      <c r="C102" s="131" t="s">
        <v>375</v>
      </c>
    </row>
    <row r="103" spans="1:3">
      <c r="A103" s="131">
        <v>134871</v>
      </c>
      <c r="B103" s="131" t="s">
        <v>375</v>
      </c>
      <c r="C103" s="131" t="s">
        <v>375</v>
      </c>
    </row>
    <row r="104" spans="1:3">
      <c r="A104" s="131">
        <v>134885</v>
      </c>
      <c r="B104" s="131" t="s">
        <v>375</v>
      </c>
      <c r="C104" s="131" t="s">
        <v>375</v>
      </c>
    </row>
    <row r="105" spans="1:3">
      <c r="A105" s="131">
        <v>134873</v>
      </c>
      <c r="B105" s="131" t="s">
        <v>375</v>
      </c>
      <c r="C105" s="131" t="s">
        <v>375</v>
      </c>
    </row>
    <row r="106" spans="1:3">
      <c r="A106" s="131">
        <v>134887</v>
      </c>
      <c r="B106" s="131" t="s">
        <v>375</v>
      </c>
      <c r="C106" s="131" t="s">
        <v>375</v>
      </c>
    </row>
    <row r="107" spans="1:3">
      <c r="A107" s="131">
        <v>134872</v>
      </c>
      <c r="B107" s="131" t="s">
        <v>375</v>
      </c>
      <c r="C107" s="131" t="s">
        <v>375</v>
      </c>
    </row>
    <row r="108" spans="1:3">
      <c r="A108" s="131">
        <v>135980</v>
      </c>
      <c r="B108" s="131" t="s">
        <v>375</v>
      </c>
      <c r="C108" s="131" t="s">
        <v>375</v>
      </c>
    </row>
    <row r="109" spans="1:3">
      <c r="A109" s="131">
        <v>135982</v>
      </c>
      <c r="B109" s="131" t="s">
        <v>375</v>
      </c>
      <c r="C109" s="131" t="s">
        <v>375</v>
      </c>
    </row>
    <row r="110" spans="1:3">
      <c r="A110" s="131">
        <v>134886</v>
      </c>
      <c r="B110" s="131" t="s">
        <v>375</v>
      </c>
      <c r="C110" s="131" t="s">
        <v>375</v>
      </c>
    </row>
    <row r="111" spans="1:3">
      <c r="A111" s="131">
        <v>134874</v>
      </c>
      <c r="B111" s="131" t="s">
        <v>375</v>
      </c>
      <c r="C111" s="131" t="s">
        <v>375</v>
      </c>
    </row>
    <row r="112" spans="1:3">
      <c r="A112" s="131">
        <v>120259</v>
      </c>
      <c r="B112" s="131" t="s">
        <v>375</v>
      </c>
      <c r="C112" s="131" t="s">
        <v>375</v>
      </c>
    </row>
    <row r="113" spans="1:3">
      <c r="A113" s="131">
        <v>100325</v>
      </c>
      <c r="B113" s="131" t="s">
        <v>375</v>
      </c>
      <c r="C113" s="131" t="s">
        <v>375</v>
      </c>
    </row>
    <row r="114" spans="1:3">
      <c r="A114" s="131">
        <v>136473</v>
      </c>
      <c r="B114" s="131" t="s">
        <v>105</v>
      </c>
      <c r="C114" s="131" t="s">
        <v>48</v>
      </c>
    </row>
    <row r="115" spans="1:3">
      <c r="A115" s="131">
        <v>135607</v>
      </c>
      <c r="B115" s="131" t="s">
        <v>105</v>
      </c>
      <c r="C115" s="131" t="s">
        <v>46</v>
      </c>
    </row>
    <row r="116" spans="1:3">
      <c r="A116" s="131">
        <v>135672</v>
      </c>
      <c r="B116" s="131" t="s">
        <v>105</v>
      </c>
      <c r="C116" s="131" t="s">
        <v>47</v>
      </c>
    </row>
    <row r="117" spans="1:3">
      <c r="A117" s="131">
        <v>133307</v>
      </c>
      <c r="B117" s="131" t="s">
        <v>105</v>
      </c>
      <c r="C117" s="131" t="s">
        <v>39</v>
      </c>
    </row>
    <row r="118" spans="1:3">
      <c r="A118" s="131">
        <v>126380</v>
      </c>
      <c r="B118" s="131" t="s">
        <v>109</v>
      </c>
      <c r="C118" s="131" t="s">
        <v>25</v>
      </c>
    </row>
    <row r="119" spans="1:3">
      <c r="A119" s="131">
        <v>126382</v>
      </c>
      <c r="B119" s="131" t="s">
        <v>103</v>
      </c>
      <c r="C119" s="131" t="s">
        <v>25</v>
      </c>
    </row>
    <row r="120" spans="1:3">
      <c r="A120" s="131">
        <v>126381</v>
      </c>
      <c r="B120" s="131" t="s">
        <v>105</v>
      </c>
      <c r="C120" s="131" t="s">
        <v>25</v>
      </c>
    </row>
    <row r="121" spans="1:3">
      <c r="A121" s="131">
        <v>134727</v>
      </c>
      <c r="B121" s="131" t="s">
        <v>107</v>
      </c>
      <c r="C121" s="131" t="s">
        <v>43</v>
      </c>
    </row>
    <row r="122" spans="1:3">
      <c r="A122" s="131">
        <v>134726</v>
      </c>
      <c r="B122" s="131" t="s">
        <v>109</v>
      </c>
      <c r="C122" s="131" t="s">
        <v>43</v>
      </c>
    </row>
    <row r="123" spans="1:3">
      <c r="A123" s="131">
        <v>134729</v>
      </c>
      <c r="B123" s="131" t="s">
        <v>103</v>
      </c>
      <c r="C123" s="131" t="s">
        <v>43</v>
      </c>
    </row>
    <row r="124" spans="1:3">
      <c r="A124" s="131">
        <v>134728</v>
      </c>
      <c r="B124" s="131" t="s">
        <v>105</v>
      </c>
      <c r="C124" s="131" t="s">
        <v>43</v>
      </c>
    </row>
    <row r="125" spans="1:3">
      <c r="A125" s="131">
        <v>135345</v>
      </c>
      <c r="B125" s="131" t="s">
        <v>107</v>
      </c>
      <c r="C125" s="131" t="s">
        <v>44</v>
      </c>
    </row>
    <row r="126" spans="1:3">
      <c r="A126" s="131">
        <v>135346</v>
      </c>
      <c r="B126" s="131" t="s">
        <v>109</v>
      </c>
      <c r="C126" s="131" t="s">
        <v>44</v>
      </c>
    </row>
    <row r="127" spans="1:3">
      <c r="A127" s="131">
        <v>135347</v>
      </c>
      <c r="B127" s="131" t="s">
        <v>103</v>
      </c>
      <c r="C127" s="131" t="s">
        <v>44</v>
      </c>
    </row>
    <row r="128" spans="1:3">
      <c r="A128" s="131">
        <v>135348</v>
      </c>
      <c r="B128" s="131" t="s">
        <v>105</v>
      </c>
      <c r="C128" s="131" t="s">
        <v>44</v>
      </c>
    </row>
    <row r="129" spans="1:8">
      <c r="A129" s="131">
        <v>135588</v>
      </c>
      <c r="B129" s="131" t="s">
        <v>107</v>
      </c>
      <c r="C129" s="131" t="s">
        <v>45</v>
      </c>
    </row>
    <row r="130" spans="1:8">
      <c r="A130" s="131">
        <v>135589</v>
      </c>
      <c r="B130" s="131" t="s">
        <v>109</v>
      </c>
      <c r="C130" s="131" t="s">
        <v>45</v>
      </c>
    </row>
    <row r="131" spans="1:8">
      <c r="A131" s="131">
        <v>135590</v>
      </c>
      <c r="B131" s="131" t="s">
        <v>103</v>
      </c>
      <c r="C131" s="131" t="s">
        <v>45</v>
      </c>
    </row>
    <row r="132" spans="1:8">
      <c r="A132" s="131">
        <v>135591</v>
      </c>
      <c r="B132" s="131" t="s">
        <v>105</v>
      </c>
      <c r="C132" s="131" t="s">
        <v>45</v>
      </c>
    </row>
    <row r="133" spans="1:8">
      <c r="A133" s="131">
        <v>130359</v>
      </c>
      <c r="C133" s="131" t="s">
        <v>32</v>
      </c>
    </row>
    <row r="134" spans="1:8">
      <c r="A134" s="131">
        <v>130364</v>
      </c>
      <c r="C134" s="131" t="s">
        <v>32</v>
      </c>
      <c r="G134" s="145"/>
      <c r="H134" s="124"/>
    </row>
    <row r="135" spans="1:8">
      <c r="A135" s="131">
        <v>130365</v>
      </c>
      <c r="C135" s="131" t="s">
        <v>32</v>
      </c>
      <c r="G135" s="145"/>
      <c r="H135" s="124"/>
    </row>
    <row r="136" spans="1:8">
      <c r="A136" s="131">
        <v>131404</v>
      </c>
      <c r="C136" s="131" t="s">
        <v>34</v>
      </c>
      <c r="G136" s="145"/>
      <c r="H136" s="124"/>
    </row>
    <row r="137" spans="1:8">
      <c r="A137" s="131">
        <v>131405</v>
      </c>
      <c r="C137" s="131" t="s">
        <v>34</v>
      </c>
    </row>
    <row r="138" spans="1:8">
      <c r="A138" s="131">
        <v>131406</v>
      </c>
      <c r="C138" s="131" t="s">
        <v>34</v>
      </c>
    </row>
    <row r="139" spans="1:8">
      <c r="A139" s="131">
        <v>131407</v>
      </c>
      <c r="C139" s="131" t="s">
        <v>34</v>
      </c>
    </row>
    <row r="140" spans="1:8">
      <c r="A140" s="131">
        <v>131047</v>
      </c>
      <c r="C140" s="131" t="s">
        <v>33</v>
      </c>
    </row>
    <row r="141" spans="1:8">
      <c r="A141" s="131">
        <v>131048</v>
      </c>
      <c r="C141" s="131" t="s">
        <v>33</v>
      </c>
    </row>
    <row r="142" spans="1:8">
      <c r="A142" s="131">
        <v>131049</v>
      </c>
      <c r="C142" s="131" t="s">
        <v>33</v>
      </c>
    </row>
    <row r="143" spans="1:8">
      <c r="A143" s="131">
        <v>131050</v>
      </c>
      <c r="C143" s="131" t="s">
        <v>33</v>
      </c>
    </row>
    <row r="144" spans="1:8">
      <c r="A144" s="131">
        <v>132913</v>
      </c>
      <c r="C144" s="131" t="s">
        <v>37</v>
      </c>
    </row>
    <row r="145" spans="1:3">
      <c r="A145" s="131">
        <v>132916</v>
      </c>
      <c r="C145" s="131" t="s">
        <v>37</v>
      </c>
    </row>
    <row r="146" spans="1:3">
      <c r="A146" s="131">
        <v>132914</v>
      </c>
      <c r="C146" s="131" t="s">
        <v>37</v>
      </c>
    </row>
    <row r="147" spans="1:3">
      <c r="A147" s="131">
        <v>132915</v>
      </c>
      <c r="C147" s="131" t="s">
        <v>37</v>
      </c>
    </row>
    <row r="148" spans="1:3">
      <c r="A148" s="131">
        <v>130350</v>
      </c>
      <c r="C148" s="131" t="s">
        <v>31</v>
      </c>
    </row>
    <row r="149" spans="1:3">
      <c r="A149" s="131">
        <v>130352</v>
      </c>
      <c r="C149" s="131" t="s">
        <v>31</v>
      </c>
    </row>
    <row r="150" spans="1:3">
      <c r="A150" s="131">
        <v>130351</v>
      </c>
      <c r="C150" s="131" t="s">
        <v>31</v>
      </c>
    </row>
    <row r="151" spans="1:3">
      <c r="A151" s="131">
        <v>131542</v>
      </c>
      <c r="C151" s="131" t="s">
        <v>35</v>
      </c>
    </row>
    <row r="152" spans="1:3">
      <c r="A152" s="131">
        <v>131543</v>
      </c>
      <c r="C152" s="131" t="s">
        <v>35</v>
      </c>
    </row>
    <row r="153" spans="1:3">
      <c r="A153" s="131">
        <v>131544</v>
      </c>
      <c r="C153" s="131" t="s">
        <v>35</v>
      </c>
    </row>
    <row r="154" spans="1:3">
      <c r="A154" s="131">
        <v>132911</v>
      </c>
      <c r="C154" s="131" t="s">
        <v>36</v>
      </c>
    </row>
    <row r="155" spans="1:3">
      <c r="A155" s="131">
        <v>132909</v>
      </c>
      <c r="C155" s="131" t="s">
        <v>36</v>
      </c>
    </row>
    <row r="156" spans="1:3">
      <c r="A156" s="131">
        <v>132910</v>
      </c>
      <c r="C156" s="131" t="s">
        <v>36</v>
      </c>
    </row>
    <row r="157" spans="1:3">
      <c r="A157" s="131">
        <v>132912</v>
      </c>
      <c r="C157" s="131" t="s">
        <v>38</v>
      </c>
    </row>
    <row r="158" spans="1:3">
      <c r="A158" s="131">
        <v>133225</v>
      </c>
      <c r="C158" s="131" t="s">
        <v>38</v>
      </c>
    </row>
    <row r="159" spans="1:3">
      <c r="A159" s="131">
        <v>133226</v>
      </c>
      <c r="C159" s="131" t="s">
        <v>38</v>
      </c>
    </row>
    <row r="160" spans="1:3">
      <c r="A160" s="131">
        <v>133227</v>
      </c>
      <c r="C160" s="131" t="s">
        <v>38</v>
      </c>
    </row>
    <row r="161" spans="1:3">
      <c r="A161" s="131">
        <v>120367</v>
      </c>
      <c r="C161" s="131" t="s">
        <v>18</v>
      </c>
    </row>
    <row r="162" spans="1:3">
      <c r="A162" s="131">
        <v>120366</v>
      </c>
      <c r="C162" s="131" t="s">
        <v>18</v>
      </c>
    </row>
    <row r="163" spans="1:3">
      <c r="A163" s="131">
        <v>108438</v>
      </c>
      <c r="C163" s="131" t="s">
        <v>18</v>
      </c>
    </row>
    <row r="164" spans="1:3">
      <c r="A164" s="131">
        <v>108439</v>
      </c>
      <c r="C164" s="131" t="s">
        <v>18</v>
      </c>
    </row>
    <row r="165" spans="1:3">
      <c r="A165" s="131">
        <v>120358</v>
      </c>
      <c r="C165" s="131" t="s">
        <v>19</v>
      </c>
    </row>
    <row r="166" spans="1:3">
      <c r="A166" s="131">
        <v>120359</v>
      </c>
      <c r="C166" s="131" t="s">
        <v>19</v>
      </c>
    </row>
    <row r="167" spans="1:3">
      <c r="A167" s="131">
        <v>108416</v>
      </c>
      <c r="C167" s="131" t="s">
        <v>19</v>
      </c>
    </row>
    <row r="168" spans="1:3">
      <c r="A168" s="131">
        <v>108417</v>
      </c>
      <c r="C168" s="131" t="s">
        <v>19</v>
      </c>
    </row>
    <row r="169" spans="1:3">
      <c r="A169" s="131">
        <v>120362</v>
      </c>
      <c r="C169" s="131" t="s">
        <v>20</v>
      </c>
    </row>
    <row r="170" spans="1:3">
      <c r="A170" s="131">
        <v>120363</v>
      </c>
      <c r="C170" s="131" t="s">
        <v>20</v>
      </c>
    </row>
    <row r="171" spans="1:3">
      <c r="A171" s="131">
        <v>108408</v>
      </c>
      <c r="C171" s="131" t="s">
        <v>20</v>
      </c>
    </row>
    <row r="172" spans="1:3">
      <c r="A172" s="131">
        <v>108411</v>
      </c>
      <c r="C172" s="131" t="s">
        <v>20</v>
      </c>
    </row>
    <row r="173" spans="1:3">
      <c r="A173" s="131">
        <v>120375</v>
      </c>
      <c r="C173" s="131" t="s">
        <v>21</v>
      </c>
    </row>
    <row r="174" spans="1:3">
      <c r="A174" s="131">
        <v>120372</v>
      </c>
      <c r="C174" s="131" t="s">
        <v>21</v>
      </c>
    </row>
    <row r="175" spans="1:3">
      <c r="A175" s="131">
        <v>109917</v>
      </c>
      <c r="C175" s="131" t="s">
        <v>21</v>
      </c>
    </row>
    <row r="176" spans="1:3">
      <c r="A176" s="131">
        <v>109916</v>
      </c>
      <c r="C176" s="131" t="s">
        <v>21</v>
      </c>
    </row>
    <row r="177" spans="1:3">
      <c r="A177" s="131">
        <v>133550</v>
      </c>
      <c r="C177" s="131" t="s">
        <v>40</v>
      </c>
    </row>
    <row r="178" spans="1:3">
      <c r="A178" s="131">
        <v>133581</v>
      </c>
      <c r="C178" s="131" t="s">
        <v>40</v>
      </c>
    </row>
    <row r="179" spans="1:3">
      <c r="A179" s="131">
        <v>133582</v>
      </c>
      <c r="C179" s="131" t="s">
        <v>40</v>
      </c>
    </row>
    <row r="180" spans="1:3">
      <c r="A180" s="131">
        <v>133583</v>
      </c>
      <c r="C180" s="131" t="s">
        <v>40</v>
      </c>
    </row>
  </sheetData>
  <autoFilter ref="A1:C180" xr:uid="{00000000-0009-0000-0000-00000D000000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I119"/>
  <sheetViews>
    <sheetView workbookViewId="0"/>
  </sheetViews>
  <sheetFormatPr defaultColWidth="9.140625" defaultRowHeight="12.75"/>
  <cols>
    <col min="1" max="1" width="10.28515625" style="96" customWidth="1"/>
    <col min="2" max="2" width="31.42578125" style="95" customWidth="1"/>
    <col min="3" max="3" width="16.85546875" style="95" bestFit="1" customWidth="1"/>
    <col min="4" max="4" width="83.5703125" style="95" bestFit="1" customWidth="1"/>
    <col min="5" max="5" width="37.140625" style="95" bestFit="1" customWidth="1"/>
    <col min="6" max="6" width="18.28515625" style="18" bestFit="1" customWidth="1"/>
    <col min="7" max="7" width="13.42578125" style="37" bestFit="1" customWidth="1"/>
    <col min="8" max="8" width="16.85546875" style="37" bestFit="1" customWidth="1"/>
    <col min="9" max="9" width="12" style="37" bestFit="1" customWidth="1"/>
    <col min="10" max="16384" width="9.140625" style="95"/>
  </cols>
  <sheetData>
    <row r="1" spans="1:9">
      <c r="A1" s="116" t="s">
        <v>244</v>
      </c>
      <c r="B1" s="116"/>
      <c r="C1" s="116"/>
      <c r="D1" s="116"/>
      <c r="E1" s="116"/>
      <c r="F1" s="116"/>
      <c r="G1" s="116"/>
      <c r="H1" s="116"/>
      <c r="I1" s="116"/>
    </row>
    <row r="3" spans="1:9">
      <c r="B3" s="97" t="s">
        <v>245</v>
      </c>
      <c r="C3" s="97"/>
      <c r="D3" s="97"/>
      <c r="E3" s="97"/>
      <c r="F3" s="98"/>
      <c r="G3" s="97"/>
      <c r="H3" s="99"/>
    </row>
    <row r="4" spans="1:9">
      <c r="B4" s="117" t="s">
        <v>246</v>
      </c>
      <c r="C4" s="117"/>
      <c r="D4" s="117"/>
      <c r="E4" s="117"/>
      <c r="F4" s="117"/>
      <c r="G4" s="117"/>
      <c r="H4" s="117"/>
      <c r="I4" s="117"/>
    </row>
    <row r="5" spans="1:9">
      <c r="B5" s="100"/>
      <c r="C5" s="100"/>
      <c r="D5" s="100"/>
      <c r="E5" s="100"/>
      <c r="F5" s="101"/>
      <c r="G5" s="100"/>
      <c r="H5" s="102"/>
      <c r="I5" s="100"/>
    </row>
    <row r="6" spans="1:9" ht="51" customHeight="1">
      <c r="B6" s="103" t="s">
        <v>216</v>
      </c>
      <c r="C6" s="103" t="s">
        <v>217</v>
      </c>
      <c r="D6" s="103" t="s">
        <v>218</v>
      </c>
      <c r="E6" s="104" t="s">
        <v>219</v>
      </c>
      <c r="F6" s="236" t="s">
        <v>1943</v>
      </c>
      <c r="G6" s="236" t="s">
        <v>1940</v>
      </c>
      <c r="H6" s="236" t="s">
        <v>1941</v>
      </c>
      <c r="I6" s="236" t="s">
        <v>1942</v>
      </c>
    </row>
    <row r="7" spans="1:9">
      <c r="B7" s="105"/>
      <c r="C7" s="105"/>
      <c r="D7" s="103"/>
      <c r="F7" s="106" t="s">
        <v>247</v>
      </c>
      <c r="G7" s="107" t="s">
        <v>235</v>
      </c>
      <c r="H7" s="107" t="s">
        <v>248</v>
      </c>
      <c r="I7" s="107" t="s">
        <v>235</v>
      </c>
    </row>
    <row r="8" spans="1:9">
      <c r="B8" s="103"/>
      <c r="C8" s="105"/>
      <c r="D8" s="103"/>
      <c r="E8" s="89"/>
      <c r="F8" s="108"/>
      <c r="G8" s="109"/>
      <c r="H8" s="109"/>
      <c r="I8" s="109"/>
    </row>
    <row r="9" spans="1:9">
      <c r="B9" s="103"/>
      <c r="C9" s="105"/>
      <c r="D9" s="103"/>
      <c r="E9" s="87" t="s">
        <v>1868</v>
      </c>
      <c r="F9" s="108"/>
      <c r="G9" s="109"/>
      <c r="H9" s="109"/>
      <c r="I9" s="109"/>
    </row>
    <row r="10" spans="1:9">
      <c r="B10" s="236" t="s">
        <v>250</v>
      </c>
      <c r="C10" s="234" t="s">
        <v>251</v>
      </c>
      <c r="D10" s="247" t="s">
        <v>252</v>
      </c>
      <c r="E10" s="89"/>
      <c r="F10" s="235">
        <v>0</v>
      </c>
      <c r="G10" s="235">
        <v>0</v>
      </c>
      <c r="H10" s="239">
        <v>48.51</v>
      </c>
      <c r="I10" s="239">
        <v>6.7891033870225051E-4</v>
      </c>
    </row>
    <row r="11" spans="1:9">
      <c r="B11" s="103"/>
      <c r="C11" s="105"/>
      <c r="D11" s="247" t="s">
        <v>260</v>
      </c>
      <c r="E11" s="89"/>
      <c r="F11" s="235">
        <v>0</v>
      </c>
      <c r="G11" s="235">
        <v>0</v>
      </c>
      <c r="H11" s="240">
        <v>4.01</v>
      </c>
      <c r="I11" s="240">
        <v>1.6779240101871758E-5</v>
      </c>
    </row>
    <row r="12" spans="1:9">
      <c r="B12" s="103"/>
      <c r="C12" s="105"/>
      <c r="D12" s="247" t="s">
        <v>1925</v>
      </c>
      <c r="E12" s="89"/>
      <c r="F12" s="235">
        <v>0</v>
      </c>
      <c r="G12" s="235">
        <v>0</v>
      </c>
      <c r="H12" s="240">
        <v>48.07</v>
      </c>
      <c r="I12" s="240">
        <v>5.0291146179731495E-3</v>
      </c>
    </row>
    <row r="13" spans="1:9">
      <c r="B13" s="103"/>
      <c r="C13" s="105"/>
      <c r="D13" s="247" t="s">
        <v>253</v>
      </c>
      <c r="E13" s="89"/>
      <c r="F13" s="235">
        <v>0</v>
      </c>
      <c r="G13" s="235">
        <v>0</v>
      </c>
      <c r="H13" s="240">
        <v>799.95</v>
      </c>
      <c r="I13" s="240">
        <v>1.180936447979487E-2</v>
      </c>
    </row>
    <row r="14" spans="1:9">
      <c r="B14" s="103"/>
      <c r="C14" s="105"/>
      <c r="D14" s="247" t="s">
        <v>254</v>
      </c>
      <c r="E14" s="89"/>
      <c r="F14" s="235">
        <v>0</v>
      </c>
      <c r="G14" s="235">
        <v>0</v>
      </c>
      <c r="H14" s="240">
        <v>484.83</v>
      </c>
      <c r="I14" s="240">
        <v>5.2714702879169987E-3</v>
      </c>
    </row>
    <row r="15" spans="1:9">
      <c r="B15" s="103"/>
      <c r="C15" s="105"/>
      <c r="D15" s="247" t="s">
        <v>255</v>
      </c>
      <c r="E15" s="89"/>
      <c r="F15" s="235">
        <v>0</v>
      </c>
      <c r="G15" s="235">
        <v>0</v>
      </c>
      <c r="H15" s="240">
        <v>15.3</v>
      </c>
      <c r="I15" s="240">
        <v>7.0734940736040695E-3</v>
      </c>
    </row>
    <row r="16" spans="1:9">
      <c r="B16" s="103"/>
      <c r="C16" s="105"/>
      <c r="D16" s="247" t="s">
        <v>256</v>
      </c>
      <c r="E16" s="89"/>
      <c r="F16" s="235">
        <v>0</v>
      </c>
      <c r="G16" s="235">
        <v>0</v>
      </c>
      <c r="H16" s="240">
        <v>360.68</v>
      </c>
      <c r="I16" s="240">
        <v>1.279324814223331E-2</v>
      </c>
    </row>
    <row r="17" spans="2:9">
      <c r="B17" s="103"/>
      <c r="C17" s="105"/>
      <c r="D17" s="247" t="s">
        <v>229</v>
      </c>
      <c r="E17" s="89"/>
      <c r="F17" s="235">
        <v>0</v>
      </c>
      <c r="G17" s="235">
        <v>0</v>
      </c>
      <c r="H17" s="240">
        <v>152.87</v>
      </c>
      <c r="I17" s="240">
        <v>3.558908055583029E-3</v>
      </c>
    </row>
    <row r="18" spans="2:9" ht="13.5" thickBot="1">
      <c r="B18" s="103"/>
      <c r="C18" s="105"/>
      <c r="D18" s="247" t="s">
        <v>257</v>
      </c>
      <c r="E18" s="89"/>
      <c r="F18" s="235">
        <v>8753.4</v>
      </c>
      <c r="G18" s="235">
        <v>4.8556389832129449E-3</v>
      </c>
      <c r="H18" s="240">
        <v>214.23</v>
      </c>
      <c r="I18" s="240">
        <v>2.3263244056676395E-3</v>
      </c>
    </row>
    <row r="19" spans="2:9" ht="13.5" thickBot="1">
      <c r="B19" s="103"/>
      <c r="C19" s="105"/>
      <c r="D19" s="103"/>
      <c r="E19" s="89"/>
      <c r="F19" s="241">
        <f>+SUM(F10:F18)</f>
        <v>8753.4</v>
      </c>
      <c r="G19" s="241"/>
      <c r="H19" s="241">
        <f t="shared" ref="H19" si="0">+SUM(H10:H18)</f>
        <v>2128.4500000000003</v>
      </c>
      <c r="I19" s="241"/>
    </row>
    <row r="20" spans="2:9">
      <c r="B20" s="103"/>
      <c r="C20" s="105"/>
      <c r="D20" s="103"/>
      <c r="E20" s="89"/>
      <c r="F20" s="108"/>
      <c r="G20" s="109"/>
      <c r="H20" s="109"/>
      <c r="I20" s="109"/>
    </row>
    <row r="21" spans="2:9">
      <c r="B21" s="103" t="s">
        <v>258</v>
      </c>
      <c r="C21" s="105" t="s">
        <v>251</v>
      </c>
      <c r="D21" s="247" t="s">
        <v>259</v>
      </c>
      <c r="E21" s="89"/>
      <c r="F21" s="237">
        <v>245000</v>
      </c>
      <c r="G21" s="237">
        <v>0.12878340155009477</v>
      </c>
      <c r="H21" s="237">
        <v>4559.4438429999991</v>
      </c>
      <c r="I21" s="237">
        <v>0.1019885272255712</v>
      </c>
    </row>
    <row r="22" spans="2:9">
      <c r="B22" s="103"/>
      <c r="C22" s="105"/>
      <c r="D22" s="247" t="s">
        <v>260</v>
      </c>
      <c r="E22" s="89"/>
      <c r="F22" s="237">
        <v>2762000</v>
      </c>
      <c r="G22" s="237">
        <v>0.20633534587130184</v>
      </c>
      <c r="H22" s="237">
        <v>31558.95</v>
      </c>
      <c r="I22" s="237">
        <v>0.13205366568901888</v>
      </c>
    </row>
    <row r="23" spans="2:9">
      <c r="B23" s="103"/>
      <c r="C23" s="105"/>
      <c r="D23" s="247" t="s">
        <v>1925</v>
      </c>
      <c r="E23" s="89"/>
      <c r="F23" s="237">
        <v>2006000</v>
      </c>
      <c r="G23" s="237">
        <v>3.6011094950855993</v>
      </c>
      <c r="H23" s="237">
        <v>11178.86</v>
      </c>
      <c r="I23" s="237">
        <v>1.169539593057527</v>
      </c>
    </row>
    <row r="24" spans="2:9">
      <c r="B24" s="103"/>
      <c r="C24" s="105"/>
      <c r="D24" s="247" t="s">
        <v>253</v>
      </c>
      <c r="E24" s="89"/>
      <c r="F24" s="237">
        <v>94000</v>
      </c>
      <c r="G24" s="237">
        <v>5.8060964676905816E-2</v>
      </c>
      <c r="H24" s="237">
        <v>63460.29</v>
      </c>
      <c r="I24" s="237">
        <v>0.93684067079627675</v>
      </c>
    </row>
    <row r="25" spans="2:9">
      <c r="B25" s="103"/>
      <c r="C25" s="105"/>
      <c r="D25" s="247" t="s">
        <v>254</v>
      </c>
      <c r="E25" s="89"/>
      <c r="F25" s="237">
        <v>1105500</v>
      </c>
      <c r="G25" s="237">
        <v>0.21024906012316538</v>
      </c>
      <c r="H25" s="237">
        <v>23180.597891000019</v>
      </c>
      <c r="I25" s="237">
        <v>0.2520385146103955</v>
      </c>
    </row>
    <row r="26" spans="2:9">
      <c r="B26" s="103"/>
      <c r="C26" s="105"/>
      <c r="D26" s="247" t="s">
        <v>261</v>
      </c>
      <c r="E26" s="89"/>
      <c r="F26" s="237">
        <v>0</v>
      </c>
      <c r="G26" s="237">
        <v>0</v>
      </c>
      <c r="H26" s="237">
        <v>274.98</v>
      </c>
      <c r="I26" s="237">
        <v>0.13669757101570196</v>
      </c>
    </row>
    <row r="27" spans="2:9">
      <c r="B27" s="103"/>
      <c r="C27" s="105"/>
      <c r="D27" s="247" t="s">
        <v>256</v>
      </c>
      <c r="E27" s="89"/>
      <c r="F27" s="237">
        <v>4000</v>
      </c>
      <c r="G27" s="237">
        <v>4.0993429733981457E-3</v>
      </c>
      <c r="H27" s="237">
        <v>17968.8</v>
      </c>
      <c r="I27" s="237">
        <v>0.63734977602906151</v>
      </c>
    </row>
    <row r="28" spans="2:9">
      <c r="B28" s="103"/>
      <c r="C28" s="105"/>
      <c r="D28" s="247" t="s">
        <v>272</v>
      </c>
      <c r="E28" s="89"/>
      <c r="F28" s="237">
        <v>1000000</v>
      </c>
      <c r="G28" s="237">
        <v>8.9477308880362247E-2</v>
      </c>
      <c r="H28" s="237">
        <v>582.20000000000005</v>
      </c>
      <c r="I28" s="237">
        <v>1.8521824224456182E-2</v>
      </c>
    </row>
    <row r="29" spans="2:9">
      <c r="B29" s="103"/>
      <c r="C29" s="105"/>
      <c r="D29" s="247" t="s">
        <v>230</v>
      </c>
      <c r="E29" s="89"/>
      <c r="F29" s="237">
        <v>2270400</v>
      </c>
      <c r="G29" s="237">
        <v>0.20068701173944853</v>
      </c>
      <c r="H29" s="237">
        <v>44005.073848999928</v>
      </c>
      <c r="I29" s="237">
        <v>0.20780479582179759</v>
      </c>
    </row>
    <row r="30" spans="2:9">
      <c r="B30" s="103"/>
      <c r="C30" s="105"/>
      <c r="D30" s="247" t="s">
        <v>262</v>
      </c>
      <c r="E30" s="89"/>
      <c r="F30" s="237">
        <v>1520000</v>
      </c>
      <c r="G30" s="237">
        <v>3.9016637391581961E-3</v>
      </c>
      <c r="H30" s="237">
        <v>1893.76</v>
      </c>
      <c r="I30" s="237">
        <v>7.8681856995997182E-3</v>
      </c>
    </row>
    <row r="31" spans="2:9">
      <c r="B31" s="103"/>
      <c r="C31" s="105"/>
      <c r="D31" s="247" t="s">
        <v>263</v>
      </c>
      <c r="E31" s="89"/>
      <c r="F31" s="237">
        <v>394500</v>
      </c>
      <c r="G31" s="237">
        <v>0.10985262246658035</v>
      </c>
      <c r="H31" s="237">
        <v>10318.870000000001</v>
      </c>
      <c r="I31" s="237">
        <v>0.14414857795624292</v>
      </c>
    </row>
    <row r="32" spans="2:9" ht="13.5" thickBot="1">
      <c r="B32" s="103"/>
      <c r="C32" s="105"/>
      <c r="D32" s="247" t="s">
        <v>257</v>
      </c>
      <c r="E32" s="89"/>
      <c r="F32" s="237">
        <v>105028.02</v>
      </c>
      <c r="G32" s="237">
        <v>5.8260578545670121E-2</v>
      </c>
      <c r="H32" s="237">
        <v>3244.34</v>
      </c>
      <c r="I32" s="237">
        <v>3.5230300715510199E-2</v>
      </c>
    </row>
    <row r="33" spans="2:9" ht="13.5" thickBot="1">
      <c r="B33" s="103"/>
      <c r="C33" s="105"/>
      <c r="D33" s="103"/>
      <c r="E33" s="89"/>
      <c r="F33" s="238">
        <f>+SUM(F21:F32)</f>
        <v>11506428.02</v>
      </c>
      <c r="G33" s="238"/>
      <c r="H33" s="238">
        <f t="shared" ref="H33" si="1">+SUM(H21:H32)</f>
        <v>212226.16558299994</v>
      </c>
      <c r="I33" s="238"/>
    </row>
    <row r="34" spans="2:9">
      <c r="B34" s="103"/>
      <c r="C34" s="105"/>
      <c r="D34" s="103"/>
      <c r="E34" s="89"/>
      <c r="F34" s="114"/>
      <c r="G34" s="115"/>
      <c r="H34" s="114"/>
      <c r="I34" s="115"/>
    </row>
    <row r="35" spans="2:9" ht="25.5">
      <c r="B35" s="103" t="s">
        <v>264</v>
      </c>
      <c r="C35" s="105" t="s">
        <v>251</v>
      </c>
      <c r="D35" s="247" t="s">
        <v>265</v>
      </c>
      <c r="E35" s="89"/>
      <c r="F35" s="245">
        <v>0</v>
      </c>
      <c r="G35" s="245">
        <v>0</v>
      </c>
      <c r="H35" s="245">
        <v>2835.43</v>
      </c>
      <c r="I35" s="245">
        <v>0.15378219549470551</v>
      </c>
    </row>
    <row r="36" spans="2:9">
      <c r="B36" s="103"/>
      <c r="C36" s="105"/>
      <c r="D36" s="247" t="s">
        <v>252</v>
      </c>
      <c r="E36" s="89"/>
      <c r="F36" s="245">
        <v>3000</v>
      </c>
      <c r="G36" s="245">
        <v>1.7369994190473432E-3</v>
      </c>
      <c r="H36" s="245">
        <v>640.07000000000005</v>
      </c>
      <c r="I36" s="245">
        <v>8.9579497112584928E-3</v>
      </c>
    </row>
    <row r="37" spans="2:9">
      <c r="B37" s="103"/>
      <c r="C37" s="105"/>
      <c r="D37" s="247" t="s">
        <v>259</v>
      </c>
      <c r="E37" s="89"/>
      <c r="F37" s="245">
        <v>187000</v>
      </c>
      <c r="G37" s="245">
        <v>9.8295902407623342E-2</v>
      </c>
      <c r="H37" s="245">
        <v>4622.0871279999974</v>
      </c>
      <c r="I37" s="245">
        <v>0.10338977189437662</v>
      </c>
    </row>
    <row r="38" spans="2:9">
      <c r="B38" s="103"/>
      <c r="C38" s="105"/>
      <c r="D38" s="247" t="s">
        <v>260</v>
      </c>
      <c r="E38" s="89"/>
      <c r="F38" s="245">
        <v>278000</v>
      </c>
      <c r="G38" s="245">
        <v>2.076800367567774E-2</v>
      </c>
      <c r="H38" s="245">
        <v>5408.9344739999997</v>
      </c>
      <c r="I38" s="245">
        <v>2.263287038267766E-2</v>
      </c>
    </row>
    <row r="39" spans="2:9">
      <c r="B39" s="103"/>
      <c r="C39" s="105"/>
      <c r="D39" s="247" t="s">
        <v>266</v>
      </c>
      <c r="E39" s="89"/>
      <c r="F39" s="245">
        <v>0</v>
      </c>
      <c r="G39" s="245">
        <v>0</v>
      </c>
      <c r="H39" s="245">
        <v>195.72</v>
      </c>
      <c r="I39" s="245">
        <v>9.5039300100526455E-2</v>
      </c>
    </row>
    <row r="40" spans="2:9">
      <c r="B40" s="103"/>
      <c r="C40" s="105"/>
      <c r="D40" s="247" t="s">
        <v>267</v>
      </c>
      <c r="E40" s="89"/>
      <c r="F40" s="245">
        <v>0</v>
      </c>
      <c r="G40" s="245">
        <v>0</v>
      </c>
      <c r="H40" s="245">
        <v>270.63</v>
      </c>
      <c r="I40" s="245">
        <v>0.70378618922000202</v>
      </c>
    </row>
    <row r="41" spans="2:9">
      <c r="B41" s="103"/>
      <c r="C41" s="105"/>
      <c r="D41" s="247" t="s">
        <v>1925</v>
      </c>
      <c r="E41" s="89"/>
      <c r="F41" s="245">
        <v>0</v>
      </c>
      <c r="G41" s="245">
        <v>0</v>
      </c>
      <c r="H41" s="245">
        <v>1082.83</v>
      </c>
      <c r="I41" s="245">
        <v>0.1132863778194272</v>
      </c>
    </row>
    <row r="42" spans="2:9">
      <c r="B42" s="103"/>
      <c r="C42" s="105"/>
      <c r="D42" s="247" t="s">
        <v>268</v>
      </c>
      <c r="E42" s="89"/>
      <c r="F42" s="245">
        <v>0</v>
      </c>
      <c r="G42" s="245">
        <v>0</v>
      </c>
      <c r="H42" s="245">
        <v>131.82</v>
      </c>
      <c r="I42" s="245">
        <v>0.57437332872045033</v>
      </c>
    </row>
    <row r="43" spans="2:9">
      <c r="B43" s="103"/>
      <c r="C43" s="105"/>
      <c r="D43" s="247" t="s">
        <v>253</v>
      </c>
      <c r="E43" s="89"/>
      <c r="F43" s="245">
        <v>314200</v>
      </c>
      <c r="G43" s="245">
        <v>0.19407186278174263</v>
      </c>
      <c r="H43" s="245">
        <v>8687.3446789999998</v>
      </c>
      <c r="I43" s="245">
        <v>0.12824804009740304</v>
      </c>
    </row>
    <row r="44" spans="2:9">
      <c r="B44" s="103"/>
      <c r="C44" s="105"/>
      <c r="D44" s="247" t="s">
        <v>254</v>
      </c>
      <c r="E44" s="89"/>
      <c r="F44" s="245">
        <v>1106800</v>
      </c>
      <c r="G44" s="245">
        <v>0.21049630008531833</v>
      </c>
      <c r="H44" s="245">
        <v>36829.365684999902</v>
      </c>
      <c r="I44" s="245">
        <v>0.40043913728792957</v>
      </c>
    </row>
    <row r="45" spans="2:9">
      <c r="B45" s="103"/>
      <c r="C45" s="105"/>
      <c r="D45" s="247" t="s">
        <v>269</v>
      </c>
      <c r="E45" s="89"/>
      <c r="F45" s="245">
        <v>0</v>
      </c>
      <c r="G45" s="245">
        <v>0</v>
      </c>
      <c r="H45" s="245">
        <v>1432.08</v>
      </c>
      <c r="I45" s="245">
        <v>8.0654864695618445E-2</v>
      </c>
    </row>
    <row r="46" spans="2:9">
      <c r="B46" s="103"/>
      <c r="C46" s="105"/>
      <c r="D46" s="247" t="s">
        <v>270</v>
      </c>
      <c r="E46" s="89"/>
      <c r="F46" s="245">
        <v>0</v>
      </c>
      <c r="G46" s="245">
        <v>0</v>
      </c>
      <c r="H46" s="245">
        <v>415.03</v>
      </c>
      <c r="I46" s="245">
        <v>1.4897583822464919</v>
      </c>
    </row>
    <row r="47" spans="2:9">
      <c r="B47" s="103"/>
      <c r="C47" s="105"/>
      <c r="D47" s="247" t="s">
        <v>271</v>
      </c>
      <c r="E47" s="89"/>
      <c r="F47" s="245">
        <v>0</v>
      </c>
      <c r="G47" s="245">
        <v>0</v>
      </c>
      <c r="H47" s="245">
        <v>83.12</v>
      </c>
      <c r="I47" s="245">
        <v>0.85724569598099043</v>
      </c>
    </row>
    <row r="48" spans="2:9">
      <c r="B48" s="103"/>
      <c r="C48" s="105"/>
      <c r="D48" s="247" t="s">
        <v>261</v>
      </c>
      <c r="E48" s="89"/>
      <c r="F48" s="245">
        <v>24000</v>
      </c>
      <c r="G48" s="245">
        <v>0.3662860905347865</v>
      </c>
      <c r="H48" s="245">
        <v>696.87</v>
      </c>
      <c r="I48" s="245">
        <v>0.34642678127031867</v>
      </c>
    </row>
    <row r="49" spans="2:9">
      <c r="B49" s="103"/>
      <c r="C49" s="105"/>
      <c r="D49" s="247" t="s">
        <v>255</v>
      </c>
      <c r="E49" s="89"/>
      <c r="F49" s="245">
        <v>50500</v>
      </c>
      <c r="G49" s="245">
        <v>7.4997597971734317E-2</v>
      </c>
      <c r="H49" s="245">
        <v>1929.82</v>
      </c>
      <c r="I49" s="245">
        <v>0.89219413941977799</v>
      </c>
    </row>
    <row r="50" spans="2:9">
      <c r="B50" s="103"/>
      <c r="C50" s="105"/>
      <c r="D50" s="247" t="s">
        <v>256</v>
      </c>
      <c r="E50" s="89"/>
      <c r="F50" s="245">
        <v>35000</v>
      </c>
      <c r="G50" s="245">
        <v>3.5869251017233775E-2</v>
      </c>
      <c r="H50" s="245">
        <v>1461.79</v>
      </c>
      <c r="I50" s="245">
        <v>5.1849401690793037E-2</v>
      </c>
    </row>
    <row r="51" spans="2:9">
      <c r="B51" s="103"/>
      <c r="C51" s="105"/>
      <c r="D51" s="247" t="s">
        <v>229</v>
      </c>
      <c r="E51" s="89"/>
      <c r="F51" s="245">
        <v>31373308255</v>
      </c>
      <c r="G51" s="245">
        <v>1.3819932637996153</v>
      </c>
      <c r="H51" s="245">
        <v>155731.14000000001</v>
      </c>
      <c r="I51" s="245">
        <v>3.625517162629218</v>
      </c>
    </row>
    <row r="52" spans="2:9">
      <c r="B52" s="103"/>
      <c r="C52" s="105"/>
      <c r="D52" s="247" t="s">
        <v>272</v>
      </c>
      <c r="E52" s="89"/>
      <c r="F52" s="245">
        <v>30000</v>
      </c>
      <c r="G52" s="245">
        <v>2.6843192664108674E-3</v>
      </c>
      <c r="H52" s="245">
        <v>3833.74</v>
      </c>
      <c r="I52" s="245">
        <v>0.1219647172831787</v>
      </c>
    </row>
    <row r="53" spans="2:9">
      <c r="B53" s="103"/>
      <c r="C53" s="105"/>
      <c r="D53" s="247" t="s">
        <v>230</v>
      </c>
      <c r="E53" s="89"/>
      <c r="F53" s="245">
        <v>2000500</v>
      </c>
      <c r="G53" s="245">
        <v>0.17682979518356534</v>
      </c>
      <c r="H53" s="245">
        <v>44236.345349999901</v>
      </c>
      <c r="I53" s="245">
        <v>0.20889692731576151</v>
      </c>
    </row>
    <row r="54" spans="2:9">
      <c r="B54" s="103"/>
      <c r="C54" s="105"/>
      <c r="D54" s="247" t="s">
        <v>273</v>
      </c>
      <c r="E54" s="89"/>
      <c r="F54" s="245">
        <v>0</v>
      </c>
      <c r="G54" s="245">
        <v>0</v>
      </c>
      <c r="H54" s="245">
        <v>5173.2165510000004</v>
      </c>
      <c r="I54" s="245">
        <v>0.15235813025106104</v>
      </c>
    </row>
    <row r="55" spans="2:9">
      <c r="B55" s="103"/>
      <c r="C55" s="105"/>
      <c r="D55" s="247" t="s">
        <v>274</v>
      </c>
      <c r="E55" s="89"/>
      <c r="F55" s="245">
        <v>0</v>
      </c>
      <c r="G55" s="245">
        <v>0</v>
      </c>
      <c r="H55" s="245">
        <v>4950.18</v>
      </c>
      <c r="I55" s="245">
        <v>0.4510498212882581</v>
      </c>
    </row>
    <row r="56" spans="2:9">
      <c r="B56" s="103"/>
      <c r="C56" s="105"/>
      <c r="D56" s="247" t="s">
        <v>275</v>
      </c>
      <c r="E56" s="89"/>
      <c r="F56" s="245">
        <v>0</v>
      </c>
      <c r="G56" s="245">
        <v>0</v>
      </c>
      <c r="H56" s="245">
        <v>2443.5700000000002</v>
      </c>
      <c r="I56" s="245">
        <v>0.29481702389177705</v>
      </c>
    </row>
    <row r="57" spans="2:9">
      <c r="B57" s="103"/>
      <c r="C57" s="105"/>
      <c r="D57" s="247" t="s">
        <v>276</v>
      </c>
      <c r="E57" s="89"/>
      <c r="F57" s="245">
        <v>0</v>
      </c>
      <c r="G57" s="245">
        <v>0</v>
      </c>
      <c r="H57" s="245">
        <v>131.57</v>
      </c>
      <c r="I57" s="245">
        <v>0.26451271518673308</v>
      </c>
    </row>
    <row r="58" spans="2:9">
      <c r="B58" s="103"/>
      <c r="C58" s="105"/>
      <c r="D58" s="247" t="s">
        <v>262</v>
      </c>
      <c r="E58" s="89"/>
      <c r="F58" s="245">
        <v>68902841.870000005</v>
      </c>
      <c r="G58" s="245">
        <v>0.17686560503232246</v>
      </c>
      <c r="H58" s="245">
        <v>124303.81</v>
      </c>
      <c r="I58" s="245">
        <v>0.51645692181045133</v>
      </c>
    </row>
    <row r="59" spans="2:9">
      <c r="B59" s="103"/>
      <c r="C59" s="105"/>
      <c r="D59" s="247" t="s">
        <v>263</v>
      </c>
      <c r="E59" s="89"/>
      <c r="F59" s="245">
        <v>182200</v>
      </c>
      <c r="G59" s="245">
        <v>5.0735482416757773E-2</v>
      </c>
      <c r="H59" s="245">
        <v>18111.82</v>
      </c>
      <c r="I59" s="245">
        <v>0.25301153102999063</v>
      </c>
    </row>
    <row r="60" spans="2:9">
      <c r="B60" s="103"/>
      <c r="C60" s="105"/>
      <c r="D60" s="247" t="s">
        <v>257</v>
      </c>
      <c r="E60" s="89"/>
      <c r="F60" s="245">
        <v>211658.72</v>
      </c>
      <c r="G60" s="245">
        <v>0.11741018712374086</v>
      </c>
      <c r="H60" s="245">
        <v>6268.23</v>
      </c>
      <c r="I60" s="245">
        <v>6.80667340210898E-2</v>
      </c>
    </row>
    <row r="61" spans="2:9">
      <c r="B61" s="103"/>
      <c r="C61" s="105"/>
      <c r="D61" s="247" t="s">
        <v>277</v>
      </c>
      <c r="E61" s="89"/>
      <c r="F61" s="245">
        <v>0</v>
      </c>
      <c r="G61" s="245">
        <v>0</v>
      </c>
      <c r="H61" s="245">
        <v>35.64</v>
      </c>
      <c r="I61" s="245">
        <v>0.64168581161372018</v>
      </c>
    </row>
    <row r="62" spans="2:9" ht="13.5" thickBot="1">
      <c r="B62" s="236"/>
      <c r="C62" s="234"/>
      <c r="D62" s="236"/>
      <c r="E62" s="242"/>
      <c r="F62" s="243"/>
      <c r="G62" s="244"/>
      <c r="H62" s="244"/>
      <c r="I62" s="244"/>
    </row>
    <row r="63" spans="2:9" ht="13.5" thickBot="1">
      <c r="B63" s="103"/>
      <c r="C63" s="105"/>
      <c r="D63" s="103"/>
      <c r="E63" s="89"/>
      <c r="F63" s="246">
        <f>+SUM(F35:F61)</f>
        <v>31446633955.59</v>
      </c>
      <c r="G63" s="246"/>
      <c r="H63" s="246">
        <f t="shared" ref="H63" si="2">+SUM(H35:H61)</f>
        <v>431942.20386699983</v>
      </c>
      <c r="I63" s="246"/>
    </row>
    <row r="64" spans="2:9">
      <c r="B64" s="103"/>
      <c r="C64" s="105"/>
      <c r="D64" s="103"/>
      <c r="E64" s="89"/>
      <c r="F64" s="110"/>
      <c r="G64" s="111"/>
      <c r="H64" s="111"/>
      <c r="I64" s="111"/>
    </row>
    <row r="65" spans="2:9">
      <c r="B65" s="103"/>
      <c r="C65" s="105"/>
      <c r="D65" s="103"/>
      <c r="E65" s="87" t="s">
        <v>249</v>
      </c>
      <c r="F65" s="108"/>
      <c r="G65" s="109"/>
      <c r="H65" s="109"/>
      <c r="I65" s="109"/>
    </row>
    <row r="66" spans="2:9">
      <c r="B66" s="103" t="s">
        <v>250</v>
      </c>
      <c r="C66" s="105" t="s">
        <v>251</v>
      </c>
      <c r="D66" s="103"/>
      <c r="E66" s="89"/>
      <c r="F66" s="108"/>
      <c r="G66" s="109"/>
      <c r="H66" s="109"/>
      <c r="I66" s="109"/>
    </row>
    <row r="67" spans="2:9">
      <c r="B67" s="103"/>
      <c r="C67" s="105"/>
      <c r="D67" s="248" t="s">
        <v>252</v>
      </c>
      <c r="E67" s="89"/>
      <c r="F67" s="110">
        <v>0</v>
      </c>
      <c r="G67" s="111">
        <v>0</v>
      </c>
      <c r="H67" s="111">
        <v>50.32</v>
      </c>
      <c r="I67" s="111">
        <v>1.7029006714481855E-3</v>
      </c>
    </row>
    <row r="68" spans="2:9">
      <c r="B68" s="103"/>
      <c r="C68" s="105"/>
      <c r="D68" s="247" t="s">
        <v>1925</v>
      </c>
      <c r="E68" s="89"/>
      <c r="F68" s="110">
        <v>0</v>
      </c>
      <c r="G68" s="111">
        <v>0</v>
      </c>
      <c r="H68" s="111">
        <v>47.75</v>
      </c>
      <c r="I68" s="111">
        <v>5.3542733540129974E-3</v>
      </c>
    </row>
    <row r="69" spans="2:9">
      <c r="B69" s="103"/>
      <c r="C69" s="105"/>
      <c r="D69" s="248" t="s">
        <v>253</v>
      </c>
      <c r="E69" s="89"/>
      <c r="F69" s="110">
        <v>0</v>
      </c>
      <c r="G69" s="111">
        <v>0</v>
      </c>
      <c r="H69" s="111">
        <v>856.82</v>
      </c>
      <c r="I69" s="111">
        <v>1.5197858689743772E-2</v>
      </c>
    </row>
    <row r="70" spans="2:9">
      <c r="B70" s="103"/>
      <c r="C70" s="105"/>
      <c r="D70" s="248" t="s">
        <v>254</v>
      </c>
      <c r="E70" s="89"/>
      <c r="F70" s="110">
        <v>0</v>
      </c>
      <c r="G70" s="111">
        <v>0</v>
      </c>
      <c r="H70" s="111">
        <v>458.93</v>
      </c>
      <c r="I70" s="111">
        <v>7.2239877641891081E-3</v>
      </c>
    </row>
    <row r="71" spans="2:9">
      <c r="B71" s="103"/>
      <c r="C71" s="105"/>
      <c r="D71" s="248" t="s">
        <v>255</v>
      </c>
      <c r="E71" s="89"/>
      <c r="F71" s="110">
        <v>0</v>
      </c>
      <c r="G71" s="111">
        <v>0</v>
      </c>
      <c r="H71" s="111">
        <v>14.24</v>
      </c>
      <c r="I71" s="111">
        <v>6.2150300900857269E-3</v>
      </c>
    </row>
    <row r="72" spans="2:9">
      <c r="B72" s="103"/>
      <c r="C72" s="105"/>
      <c r="D72" s="248" t="s">
        <v>256</v>
      </c>
      <c r="E72" s="89"/>
      <c r="F72" s="110">
        <v>0</v>
      </c>
      <c r="G72" s="111">
        <v>0</v>
      </c>
      <c r="H72" s="111">
        <v>520.04999999999995</v>
      </c>
      <c r="I72" s="111">
        <v>2.3177134227382278E-2</v>
      </c>
    </row>
    <row r="73" spans="2:9">
      <c r="B73" s="103"/>
      <c r="C73" s="105"/>
      <c r="D73" s="248" t="s">
        <v>229</v>
      </c>
      <c r="E73" s="89"/>
      <c r="F73" s="110">
        <v>0</v>
      </c>
      <c r="G73" s="111">
        <v>0</v>
      </c>
      <c r="H73" s="111">
        <v>152.30000000000001</v>
      </c>
      <c r="I73" s="111">
        <v>2.1257231740245699E-3</v>
      </c>
    </row>
    <row r="74" spans="2:9" ht="13.5" thickBot="1">
      <c r="B74" s="103"/>
      <c r="C74" s="105"/>
      <c r="D74" s="248" t="s">
        <v>257</v>
      </c>
      <c r="E74" s="89"/>
      <c r="F74" s="110">
        <v>8753.4</v>
      </c>
      <c r="G74" s="111">
        <v>5.4294071283486371E-3</v>
      </c>
      <c r="H74" s="111">
        <v>381.59</v>
      </c>
      <c r="I74" s="111">
        <v>4.2524846561338356E-3</v>
      </c>
    </row>
    <row r="75" spans="2:9" ht="13.5" thickBot="1">
      <c r="B75" s="103"/>
      <c r="C75" s="105"/>
      <c r="D75" s="248"/>
      <c r="E75" s="89"/>
      <c r="F75" s="112">
        <v>8753.4</v>
      </c>
      <c r="G75" s="112"/>
      <c r="H75" s="112">
        <v>2482.0000000000005</v>
      </c>
      <c r="I75" s="112"/>
    </row>
    <row r="76" spans="2:9">
      <c r="B76" s="103"/>
      <c r="C76" s="105"/>
      <c r="D76" s="248"/>
      <c r="E76" s="89"/>
      <c r="F76" s="108"/>
      <c r="G76" s="109"/>
      <c r="H76" s="109"/>
      <c r="I76" s="109"/>
    </row>
    <row r="77" spans="2:9">
      <c r="B77" s="103" t="s">
        <v>258</v>
      </c>
      <c r="C77" s="105" t="s">
        <v>251</v>
      </c>
      <c r="D77" s="248"/>
      <c r="E77" s="89"/>
      <c r="F77" s="108"/>
      <c r="G77" s="109"/>
      <c r="H77" s="109"/>
      <c r="I77" s="109"/>
    </row>
    <row r="78" spans="2:9">
      <c r="B78" s="103"/>
      <c r="C78" s="105"/>
      <c r="D78" s="248" t="s">
        <v>259</v>
      </c>
      <c r="E78" s="89"/>
      <c r="F78" s="113">
        <v>107500</v>
      </c>
      <c r="G78" s="113">
        <v>5.0198900973625629E-2</v>
      </c>
      <c r="H78" s="113">
        <v>1898.24</v>
      </c>
      <c r="I78" s="113">
        <v>4.0026123380912111E-2</v>
      </c>
    </row>
    <row r="79" spans="2:9">
      <c r="B79" s="103"/>
      <c r="C79" s="105"/>
      <c r="D79" s="248" t="s">
        <v>260</v>
      </c>
      <c r="E79" s="89"/>
      <c r="F79" s="113">
        <v>2053355.67</v>
      </c>
      <c r="G79" s="113">
        <v>0.14393436208361665</v>
      </c>
      <c r="H79" s="113">
        <v>24640.464100000001</v>
      </c>
      <c r="I79" s="113">
        <v>0.12808530569991733</v>
      </c>
    </row>
    <row r="80" spans="2:9">
      <c r="B80" s="103"/>
      <c r="C80" s="105"/>
      <c r="D80" s="248" t="s">
        <v>253</v>
      </c>
      <c r="E80" s="89"/>
      <c r="F80" s="113">
        <v>39000</v>
      </c>
      <c r="G80" s="113">
        <v>6.577027739500535E-2</v>
      </c>
      <c r="H80" s="113">
        <v>26839.05</v>
      </c>
      <c r="I80" s="113">
        <v>0.47605808602386457</v>
      </c>
    </row>
    <row r="81" spans="1:9">
      <c r="B81" s="103"/>
      <c r="C81" s="105"/>
      <c r="D81" s="248" t="s">
        <v>254</v>
      </c>
      <c r="E81" s="89"/>
      <c r="F81" s="113">
        <v>489500</v>
      </c>
      <c r="G81" s="113">
        <v>0.15051176617929793</v>
      </c>
      <c r="H81" s="113">
        <v>9683.7453480000186</v>
      </c>
      <c r="I81" s="113">
        <v>0.15243121588363223</v>
      </c>
    </row>
    <row r="82" spans="1:9">
      <c r="B82" s="103"/>
      <c r="C82" s="105"/>
      <c r="D82" s="248" t="s">
        <v>261</v>
      </c>
      <c r="E82" s="89"/>
      <c r="F82" s="113">
        <v>0</v>
      </c>
      <c r="G82" s="113">
        <v>0</v>
      </c>
      <c r="H82" s="113">
        <v>111.05</v>
      </c>
      <c r="I82" s="113">
        <v>5.1343119512380055E-2</v>
      </c>
    </row>
    <row r="83" spans="1:9">
      <c r="B83" s="103"/>
      <c r="C83" s="105"/>
      <c r="D83" s="248" t="s">
        <v>256</v>
      </c>
      <c r="E83" s="89"/>
      <c r="F83" s="113">
        <v>0</v>
      </c>
      <c r="G83" s="113">
        <v>0</v>
      </c>
      <c r="H83" s="113">
        <v>7240.36</v>
      </c>
      <c r="I83" s="113">
        <v>0.32268204129327865</v>
      </c>
    </row>
    <row r="84" spans="1:9">
      <c r="B84" s="103"/>
      <c r="C84" s="105"/>
      <c r="D84" s="248" t="s">
        <v>230</v>
      </c>
      <c r="E84" s="89"/>
      <c r="F84" s="113">
        <v>978000</v>
      </c>
      <c r="G84" s="113">
        <v>0.13145437483208233</v>
      </c>
      <c r="H84" s="113">
        <v>13269.219319999989</v>
      </c>
      <c r="I84" s="113">
        <v>0.10737045446344418</v>
      </c>
    </row>
    <row r="85" spans="1:9">
      <c r="B85" s="103"/>
      <c r="C85" s="105"/>
      <c r="D85" s="248" t="s">
        <v>262</v>
      </c>
      <c r="E85" s="89"/>
      <c r="F85" s="113">
        <v>14000</v>
      </c>
      <c r="G85" s="113">
        <v>2.2148772241748266E-5</v>
      </c>
      <c r="H85" s="113">
        <v>1603.07</v>
      </c>
      <c r="I85" s="113">
        <v>5.6332662998412868E-3</v>
      </c>
    </row>
    <row r="86" spans="1:9">
      <c r="B86" s="103"/>
      <c r="C86" s="105"/>
      <c r="D86" s="248" t="s">
        <v>263</v>
      </c>
      <c r="E86" s="89"/>
      <c r="F86" s="113">
        <v>126000</v>
      </c>
      <c r="G86" s="113">
        <v>5.5030720645392384E-2</v>
      </c>
      <c r="H86" s="113">
        <v>4868.38</v>
      </c>
      <c r="I86" s="113">
        <v>8.4269029055121583E-2</v>
      </c>
    </row>
    <row r="87" spans="1:9">
      <c r="B87" s="103"/>
      <c r="C87" s="105"/>
      <c r="D87" s="247" t="s">
        <v>1925</v>
      </c>
      <c r="E87" s="89"/>
      <c r="F87" s="113">
        <v>3000</v>
      </c>
      <c r="G87" s="113">
        <v>5.5845201687080301E-4</v>
      </c>
      <c r="H87" s="113">
        <v>0</v>
      </c>
      <c r="I87" s="113">
        <v>0</v>
      </c>
    </row>
    <row r="88" spans="1:9" ht="13.5" thickBot="1">
      <c r="B88" s="103"/>
      <c r="C88" s="105"/>
      <c r="D88" s="248" t="s">
        <v>257</v>
      </c>
      <c r="E88" s="89"/>
      <c r="F88" s="113">
        <v>51078.39</v>
      </c>
      <c r="G88" s="113">
        <v>3.1682017818284523E-2</v>
      </c>
      <c r="H88" s="113">
        <v>1424.19</v>
      </c>
      <c r="I88" s="113">
        <v>1.5871343909482031E-2</v>
      </c>
    </row>
    <row r="89" spans="1:9" ht="13.5" thickBot="1">
      <c r="B89" s="103"/>
      <c r="C89" s="105"/>
      <c r="D89" s="248"/>
      <c r="E89" s="89"/>
      <c r="F89" s="112">
        <v>3861434.06</v>
      </c>
      <c r="G89" s="112"/>
      <c r="H89" s="112">
        <v>91577.768768000024</v>
      </c>
      <c r="I89" s="112"/>
    </row>
    <row r="90" spans="1:9">
      <c r="B90" s="103"/>
      <c r="C90" s="105"/>
      <c r="D90" s="248"/>
      <c r="E90" s="89"/>
      <c r="F90" s="114"/>
      <c r="G90" s="115"/>
      <c r="H90" s="114"/>
      <c r="I90" s="115"/>
    </row>
    <row r="91" spans="1:9" ht="25.5">
      <c r="B91" s="103" t="s">
        <v>264</v>
      </c>
      <c r="C91" s="105" t="s">
        <v>251</v>
      </c>
      <c r="D91" s="248"/>
      <c r="E91" s="89"/>
      <c r="F91" s="108"/>
      <c r="G91" s="109"/>
      <c r="H91" s="109"/>
      <c r="I91" s="109"/>
    </row>
    <row r="92" spans="1:9">
      <c r="B92" s="103"/>
      <c r="C92" s="105"/>
      <c r="D92" s="248" t="s">
        <v>265</v>
      </c>
      <c r="E92" s="89"/>
      <c r="F92" s="110">
        <v>0</v>
      </c>
      <c r="G92" s="111">
        <v>0</v>
      </c>
      <c r="H92" s="111">
        <v>2746.95</v>
      </c>
      <c r="I92" s="111">
        <v>0.17207719604958943</v>
      </c>
    </row>
    <row r="93" spans="1:9">
      <c r="B93" s="103"/>
      <c r="C93" s="105"/>
      <c r="D93" s="248" t="s">
        <v>252</v>
      </c>
      <c r="E93" s="89"/>
      <c r="F93" s="110">
        <v>5500</v>
      </c>
      <c r="G93" s="111">
        <v>2.1992747556323828E-3</v>
      </c>
      <c r="H93" s="111">
        <v>904.26</v>
      </c>
      <c r="I93" s="111">
        <v>3.0601449943635461E-2</v>
      </c>
    </row>
    <row r="94" spans="1:9">
      <c r="B94" s="103"/>
      <c r="C94" s="105"/>
      <c r="D94" s="248" t="s">
        <v>259</v>
      </c>
      <c r="E94" s="89"/>
      <c r="F94" s="110">
        <v>171000</v>
      </c>
      <c r="G94" s="111">
        <v>7.9851275037116115E-2</v>
      </c>
      <c r="H94" s="111">
        <v>14034.643848</v>
      </c>
      <c r="I94" s="111">
        <v>0.29593327833530381</v>
      </c>
    </row>
    <row r="95" spans="1:9">
      <c r="A95" s="96" t="s">
        <v>15</v>
      </c>
      <c r="B95" s="103"/>
      <c r="C95" s="105"/>
      <c r="D95" s="248" t="s">
        <v>260</v>
      </c>
      <c r="E95" s="89"/>
      <c r="F95" s="110">
        <v>2420795.7799999998</v>
      </c>
      <c r="G95" s="111">
        <v>0.16969086331205893</v>
      </c>
      <c r="H95" s="111">
        <v>28252.467274999999</v>
      </c>
      <c r="I95" s="111">
        <v>0.14686110996161328</v>
      </c>
    </row>
    <row r="96" spans="1:9">
      <c r="B96" s="103"/>
      <c r="C96" s="105"/>
      <c r="D96" s="248" t="s">
        <v>266</v>
      </c>
      <c r="E96" s="89"/>
      <c r="F96" s="110">
        <v>0</v>
      </c>
      <c r="G96" s="111">
        <v>0</v>
      </c>
      <c r="H96" s="111">
        <v>194.44</v>
      </c>
      <c r="I96" s="111">
        <v>9.4788652115506827E-2</v>
      </c>
    </row>
    <row r="97" spans="1:9">
      <c r="B97" s="103"/>
      <c r="C97" s="105"/>
      <c r="D97" s="248" t="s">
        <v>267</v>
      </c>
      <c r="E97" s="89"/>
      <c r="F97" s="110">
        <v>0</v>
      </c>
      <c r="G97" s="111">
        <v>0</v>
      </c>
      <c r="H97" s="111">
        <v>536.58000000000004</v>
      </c>
      <c r="I97" s="111">
        <v>0.82651909736930396</v>
      </c>
    </row>
    <row r="98" spans="1:9">
      <c r="B98" s="103"/>
      <c r="C98" s="105"/>
      <c r="D98" s="247" t="s">
        <v>1925</v>
      </c>
      <c r="E98" s="89"/>
      <c r="F98" s="110">
        <v>0</v>
      </c>
      <c r="G98" s="111">
        <v>0</v>
      </c>
      <c r="H98" s="111">
        <v>1075.6400000000001</v>
      </c>
      <c r="I98" s="111">
        <v>0.12061299665990662</v>
      </c>
    </row>
    <row r="99" spans="1:9">
      <c r="B99" s="103"/>
      <c r="C99" s="105"/>
      <c r="D99" s="248" t="s">
        <v>268</v>
      </c>
      <c r="E99" s="89"/>
      <c r="F99" s="110">
        <v>0</v>
      </c>
      <c r="G99" s="111">
        <v>0</v>
      </c>
      <c r="H99" s="111">
        <v>2216.4</v>
      </c>
      <c r="I99" s="111">
        <v>1.1117978333787053</v>
      </c>
    </row>
    <row r="100" spans="1:9">
      <c r="B100" s="103"/>
      <c r="C100" s="105"/>
      <c r="D100" s="248" t="s">
        <v>253</v>
      </c>
      <c r="E100" s="89"/>
      <c r="F100" s="110">
        <v>319700</v>
      </c>
      <c r="G100" s="111">
        <v>0.53914763290213352</v>
      </c>
      <c r="H100" s="111">
        <v>9551.7978750000111</v>
      </c>
      <c r="I100" s="111">
        <v>0.16942517020756404</v>
      </c>
    </row>
    <row r="101" spans="1:9">
      <c r="A101" s="96" t="s">
        <v>9</v>
      </c>
      <c r="B101" s="103"/>
      <c r="C101" s="105"/>
      <c r="D101" s="248" t="s">
        <v>254</v>
      </c>
      <c r="E101" s="89"/>
      <c r="F101" s="110">
        <v>1279501.53</v>
      </c>
      <c r="G101" s="111">
        <v>0.39342193076489057</v>
      </c>
      <c r="H101" s="111">
        <v>36973.854797999971</v>
      </c>
      <c r="I101" s="111">
        <v>0.5820030825085668</v>
      </c>
    </row>
    <row r="102" spans="1:9">
      <c r="A102" s="96" t="s">
        <v>11</v>
      </c>
      <c r="B102" s="103"/>
      <c r="C102" s="105"/>
      <c r="D102" s="248" t="s">
        <v>269</v>
      </c>
      <c r="E102" s="89"/>
      <c r="F102" s="110">
        <v>55131.11</v>
      </c>
      <c r="G102" s="111">
        <v>2.807412508787269E-2</v>
      </c>
      <c r="H102" s="111">
        <v>4799.9399999999996</v>
      </c>
      <c r="I102" s="111">
        <v>0.26100317561174557</v>
      </c>
    </row>
    <row r="103" spans="1:9">
      <c r="A103" s="96" t="s">
        <v>5</v>
      </c>
      <c r="B103" s="103"/>
      <c r="C103" s="105"/>
      <c r="D103" s="248" t="s">
        <v>270</v>
      </c>
      <c r="E103" s="89"/>
      <c r="F103" s="110">
        <v>0</v>
      </c>
      <c r="G103" s="111">
        <v>0</v>
      </c>
      <c r="H103" s="111">
        <v>852.44</v>
      </c>
      <c r="I103" s="111">
        <v>1.0186656094698074</v>
      </c>
    </row>
    <row r="104" spans="1:9">
      <c r="A104" s="96" t="s">
        <v>6</v>
      </c>
      <c r="B104" s="103"/>
      <c r="C104" s="105"/>
      <c r="D104" s="248" t="s">
        <v>271</v>
      </c>
      <c r="E104" s="89"/>
      <c r="F104" s="110">
        <v>0</v>
      </c>
      <c r="G104" s="111">
        <v>0</v>
      </c>
      <c r="H104" s="111">
        <v>168.44</v>
      </c>
      <c r="I104" s="111">
        <v>0.6447276557696312</v>
      </c>
    </row>
    <row r="105" spans="1:9">
      <c r="A105" s="96" t="s">
        <v>14</v>
      </c>
      <c r="B105" s="103"/>
      <c r="C105" s="105"/>
      <c r="D105" s="248" t="s">
        <v>261</v>
      </c>
      <c r="E105" s="89"/>
      <c r="F105" s="110">
        <v>21000</v>
      </c>
      <c r="G105" s="111">
        <v>0.33651417643206238</v>
      </c>
      <c r="H105" s="111">
        <v>786.41</v>
      </c>
      <c r="I105" s="111">
        <v>0.36359065840369925</v>
      </c>
    </row>
    <row r="106" spans="1:9">
      <c r="A106" s="96" t="s">
        <v>17</v>
      </c>
      <c r="B106" s="103"/>
      <c r="C106" s="105"/>
      <c r="D106" s="248" t="s">
        <v>255</v>
      </c>
      <c r="E106" s="89"/>
      <c r="F106" s="110">
        <v>60000</v>
      </c>
      <c r="G106" s="111">
        <v>0.17907589004376467</v>
      </c>
      <c r="H106" s="111">
        <v>2196.7600000000002</v>
      </c>
      <c r="I106" s="111">
        <v>0.95877313909387085</v>
      </c>
    </row>
    <row r="107" spans="1:9">
      <c r="A107" s="96" t="s">
        <v>12</v>
      </c>
      <c r="B107" s="103"/>
      <c r="C107" s="105"/>
      <c r="D107" s="248" t="s">
        <v>256</v>
      </c>
      <c r="E107" s="89"/>
      <c r="F107" s="110">
        <v>38500</v>
      </c>
      <c r="G107" s="111">
        <v>0.11517101224141592</v>
      </c>
      <c r="H107" s="111">
        <v>1266.4934310000001</v>
      </c>
      <c r="I107" s="111">
        <v>5.6443973172550566E-2</v>
      </c>
    </row>
    <row r="108" spans="1:9">
      <c r="A108" s="96" t="s">
        <v>3</v>
      </c>
      <c r="B108" s="103"/>
      <c r="C108" s="105"/>
      <c r="D108" s="248" t="s">
        <v>229</v>
      </c>
      <c r="E108" s="89"/>
      <c r="F108" s="110">
        <v>38635541000</v>
      </c>
      <c r="G108" s="111">
        <v>1.6935213135005744</v>
      </c>
      <c r="H108" s="111">
        <v>171802.78</v>
      </c>
      <c r="I108" s="111">
        <v>2.3979327039254423</v>
      </c>
    </row>
    <row r="109" spans="1:9">
      <c r="B109" s="103"/>
      <c r="C109" s="105"/>
      <c r="D109" s="248" t="s">
        <v>272</v>
      </c>
      <c r="E109" s="89"/>
      <c r="F109" s="110">
        <v>3485000</v>
      </c>
      <c r="G109" s="111">
        <v>0.1096485890004882</v>
      </c>
      <c r="H109" s="111">
        <v>2264.4899999999998</v>
      </c>
      <c r="I109" s="111">
        <v>6.7507808928852039E-2</v>
      </c>
    </row>
    <row r="110" spans="1:9">
      <c r="B110" s="103"/>
      <c r="C110" s="105"/>
      <c r="D110" s="248" t="s">
        <v>230</v>
      </c>
      <c r="E110" s="89"/>
      <c r="F110" s="110">
        <v>1042361.6</v>
      </c>
      <c r="G110" s="111">
        <v>0.14010530928115447</v>
      </c>
      <c r="H110" s="111">
        <v>32522.140230999976</v>
      </c>
      <c r="I110" s="111">
        <v>0.26315918762930895</v>
      </c>
    </row>
    <row r="111" spans="1:9">
      <c r="B111" s="103"/>
      <c r="C111" s="105"/>
      <c r="D111" s="248" t="s">
        <v>273</v>
      </c>
      <c r="E111" s="89"/>
      <c r="F111" s="110">
        <v>500000</v>
      </c>
      <c r="G111" s="111">
        <v>0.34094917385482609</v>
      </c>
      <c r="H111" s="111">
        <v>6589.890187</v>
      </c>
      <c r="I111" s="111">
        <v>0.18254118514868514</v>
      </c>
    </row>
    <row r="112" spans="1:9">
      <c r="B112" s="103"/>
      <c r="C112" s="105"/>
      <c r="D112" s="248" t="s">
        <v>274</v>
      </c>
      <c r="E112" s="89"/>
      <c r="F112" s="110">
        <v>0</v>
      </c>
      <c r="G112" s="111">
        <v>0</v>
      </c>
      <c r="H112" s="111">
        <v>4805.38</v>
      </c>
      <c r="I112" s="111">
        <v>0.46544097514774668</v>
      </c>
    </row>
    <row r="113" spans="2:9">
      <c r="B113" s="103"/>
      <c r="C113" s="105"/>
      <c r="D113" s="248" t="s">
        <v>275</v>
      </c>
      <c r="E113" s="89"/>
      <c r="F113" s="110">
        <v>0</v>
      </c>
      <c r="G113" s="111">
        <v>0</v>
      </c>
      <c r="H113" s="111">
        <v>2368.54</v>
      </c>
      <c r="I113" s="111">
        <v>0.31744080954683929</v>
      </c>
    </row>
    <row r="114" spans="2:9">
      <c r="B114" s="103"/>
      <c r="C114" s="105"/>
      <c r="D114" s="248" t="s">
        <v>276</v>
      </c>
      <c r="E114" s="89"/>
      <c r="F114" s="110">
        <v>0</v>
      </c>
      <c r="G114" s="111">
        <v>0</v>
      </c>
      <c r="H114" s="111">
        <v>67.92</v>
      </c>
      <c r="I114" s="111">
        <v>0.35007331850641571</v>
      </c>
    </row>
    <row r="115" spans="2:9">
      <c r="B115" s="103"/>
      <c r="C115" s="105"/>
      <c r="D115" s="248" t="s">
        <v>262</v>
      </c>
      <c r="E115" s="89"/>
      <c r="F115" s="110">
        <v>62615130.719999999</v>
      </c>
      <c r="G115" s="111">
        <v>9.9060590657469652E-2</v>
      </c>
      <c r="H115" s="111">
        <v>125649.86</v>
      </c>
      <c r="I115" s="111">
        <v>0.44153974680941932</v>
      </c>
    </row>
    <row r="116" spans="2:9">
      <c r="B116" s="103"/>
      <c r="C116" s="105"/>
      <c r="D116" s="248" t="s">
        <v>263</v>
      </c>
      <c r="E116" s="89"/>
      <c r="F116" s="110">
        <v>189200</v>
      </c>
      <c r="G116" s="111">
        <v>8.2633431318319364E-2</v>
      </c>
      <c r="H116" s="111">
        <v>18641.41</v>
      </c>
      <c r="I116" s="111">
        <v>0.32267274142906549</v>
      </c>
    </row>
    <row r="117" spans="2:9">
      <c r="B117" s="103"/>
      <c r="C117" s="105"/>
      <c r="D117" s="248" t="s">
        <v>257</v>
      </c>
      <c r="E117" s="89"/>
      <c r="F117" s="110">
        <v>173268.7</v>
      </c>
      <c r="G117" s="111">
        <v>0.10747210397099431</v>
      </c>
      <c r="H117" s="111">
        <v>5599.34</v>
      </c>
      <c r="I117" s="111">
        <v>6.2399715491696421E-2</v>
      </c>
    </row>
    <row r="118" spans="2:9" ht="13.5" thickBot="1">
      <c r="B118" s="103"/>
      <c r="C118" s="105"/>
      <c r="D118" s="248" t="s">
        <v>277</v>
      </c>
      <c r="E118" s="89"/>
      <c r="F118" s="110">
        <v>0</v>
      </c>
      <c r="G118" s="111">
        <v>0</v>
      </c>
      <c r="H118" s="111">
        <v>32.92</v>
      </c>
      <c r="I118" s="111">
        <v>0.51043587067924345</v>
      </c>
    </row>
    <row r="119" spans="2:9" ht="13.5" thickBot="1">
      <c r="B119" s="103"/>
      <c r="C119" s="105"/>
      <c r="D119" s="103"/>
      <c r="E119" s="89"/>
      <c r="F119" s="112">
        <v>38707917089.439995</v>
      </c>
      <c r="G119" s="112"/>
      <c r="H119" s="112">
        <v>476902.18764499988</v>
      </c>
      <c r="I119" s="112"/>
    </row>
  </sheetData>
  <sheetProtection password="C71F" sheet="1" objects="1" scenarios="1"/>
  <conditionalFormatting sqref="I78:I90 G78:G90 I34 G34">
    <cfRule type="cellIs" dxfId="0" priority="3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80" fitToHeight="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F204"/>
  <sheetViews>
    <sheetView workbookViewId="0"/>
  </sheetViews>
  <sheetFormatPr defaultColWidth="9.140625" defaultRowHeight="15"/>
  <cols>
    <col min="1" max="1" width="4.28515625" style="118" customWidth="1"/>
    <col min="2" max="2" width="24.28515625" style="119" customWidth="1"/>
    <col min="3" max="3" width="45.85546875" style="118" bestFit="1" customWidth="1"/>
    <col min="4" max="4" width="44.7109375" style="284" bestFit="1" customWidth="1"/>
    <col min="5" max="6" width="24.28515625" style="285" customWidth="1"/>
    <col min="7" max="16384" width="9.140625" style="272"/>
  </cols>
  <sheetData>
    <row r="1" spans="1:6" s="252" customFormat="1" ht="12">
      <c r="A1" s="249"/>
      <c r="B1" s="250" t="s">
        <v>0</v>
      </c>
      <c r="C1" s="250"/>
      <c r="D1" s="250"/>
      <c r="E1" s="251"/>
      <c r="F1" s="251"/>
    </row>
    <row r="2" spans="1:6" s="252" customFormat="1" ht="12">
      <c r="A2" s="249"/>
      <c r="B2" s="250"/>
      <c r="C2" s="250"/>
      <c r="D2" s="250"/>
      <c r="E2" s="251"/>
      <c r="F2" s="251"/>
    </row>
    <row r="3" spans="1:6" s="252" customFormat="1" ht="12">
      <c r="A3" s="249"/>
      <c r="B3" s="250" t="s">
        <v>278</v>
      </c>
      <c r="C3" s="250"/>
      <c r="D3" s="250"/>
      <c r="E3" s="251"/>
      <c r="F3" s="251"/>
    </row>
    <row r="4" spans="1:6" s="252" customFormat="1" ht="12">
      <c r="A4" s="249"/>
      <c r="B4" s="250"/>
      <c r="C4" s="250"/>
      <c r="D4" s="250"/>
      <c r="E4" s="251"/>
      <c r="F4" s="251"/>
    </row>
    <row r="5" spans="1:6" s="252" customFormat="1" ht="12">
      <c r="A5" s="249"/>
      <c r="B5" s="253" t="s">
        <v>279</v>
      </c>
      <c r="C5" s="253"/>
      <c r="D5" s="253"/>
      <c r="E5" s="254"/>
      <c r="F5" s="251"/>
    </row>
    <row r="6" spans="1:6" s="252" customFormat="1" ht="12">
      <c r="A6" s="249"/>
      <c r="B6" s="253" t="s">
        <v>280</v>
      </c>
      <c r="C6" s="253"/>
      <c r="D6" s="253"/>
      <c r="E6" s="254"/>
      <c r="F6" s="251"/>
    </row>
    <row r="7" spans="1:6" s="252" customFormat="1" ht="12">
      <c r="A7" s="249"/>
      <c r="B7" s="255"/>
      <c r="C7" s="253"/>
      <c r="D7" s="253"/>
      <c r="E7" s="254"/>
      <c r="F7" s="251"/>
    </row>
    <row r="8" spans="1:6" s="252" customFormat="1" ht="12.75" thickBot="1">
      <c r="A8" s="249"/>
      <c r="B8" s="249"/>
      <c r="C8" s="250"/>
      <c r="D8" s="250"/>
      <c r="E8" s="249"/>
      <c r="F8" s="249"/>
    </row>
    <row r="9" spans="1:6" s="252" customFormat="1" ht="60.75" thickBot="1">
      <c r="A9" s="250"/>
      <c r="B9" s="256" t="s">
        <v>281</v>
      </c>
      <c r="C9" s="257" t="s">
        <v>282</v>
      </c>
      <c r="D9" s="258" t="s">
        <v>283</v>
      </c>
      <c r="E9" s="259" t="s">
        <v>1882</v>
      </c>
      <c r="F9" s="260" t="s">
        <v>1883</v>
      </c>
    </row>
    <row r="10" spans="1:6" s="266" customFormat="1" ht="12">
      <c r="A10" s="261"/>
      <c r="B10" s="262"/>
      <c r="C10" s="263"/>
      <c r="D10" s="263"/>
      <c r="E10" s="264"/>
      <c r="F10" s="265"/>
    </row>
    <row r="11" spans="1:6">
      <c r="A11" s="249"/>
      <c r="B11" s="267" t="s">
        <v>1884</v>
      </c>
      <c r="C11" s="268" t="s">
        <v>63</v>
      </c>
      <c r="D11" s="269" t="s">
        <v>779</v>
      </c>
      <c r="E11" s="270">
        <v>2.4039603</v>
      </c>
      <c r="F11" s="271">
        <v>311.43758800000001</v>
      </c>
    </row>
    <row r="12" spans="1:6">
      <c r="A12" s="249"/>
      <c r="B12" s="273"/>
      <c r="C12" s="268"/>
      <c r="D12" s="269" t="s">
        <v>785</v>
      </c>
      <c r="E12" s="270">
        <v>36.816710300000004</v>
      </c>
      <c r="F12" s="271">
        <v>572.37874799999997</v>
      </c>
    </row>
    <row r="13" spans="1:6">
      <c r="A13" s="249"/>
      <c r="B13" s="273"/>
      <c r="C13" s="268"/>
      <c r="D13" s="269" t="s">
        <v>787</v>
      </c>
      <c r="E13" s="270">
        <v>2.7496958999999999</v>
      </c>
      <c r="F13" s="271">
        <v>509.145217</v>
      </c>
    </row>
    <row r="14" spans="1:6">
      <c r="A14" s="249"/>
      <c r="B14" s="273"/>
      <c r="C14" s="268"/>
      <c r="D14" s="269" t="s">
        <v>767</v>
      </c>
      <c r="E14" s="270">
        <v>21.566308200000002</v>
      </c>
      <c r="F14" s="271">
        <v>26.844784000000001</v>
      </c>
    </row>
    <row r="15" spans="1:6">
      <c r="A15" s="249"/>
      <c r="B15" s="273"/>
      <c r="C15" s="268"/>
      <c r="D15" s="269" t="s">
        <v>770</v>
      </c>
      <c r="E15" s="270">
        <v>3.0344432999999995</v>
      </c>
      <c r="F15" s="271">
        <v>21.382956</v>
      </c>
    </row>
    <row r="16" spans="1:6">
      <c r="A16" s="249"/>
      <c r="B16" s="273"/>
      <c r="C16" s="268"/>
      <c r="D16" s="269" t="s">
        <v>1885</v>
      </c>
      <c r="E16" s="270">
        <v>16.812045899999998</v>
      </c>
      <c r="F16" s="274">
        <v>0</v>
      </c>
    </row>
    <row r="17" spans="1:6">
      <c r="A17" s="249"/>
      <c r="B17" s="273"/>
      <c r="C17" s="268"/>
      <c r="D17" s="269"/>
      <c r="E17" s="270"/>
      <c r="F17" s="271"/>
    </row>
    <row r="18" spans="1:6">
      <c r="A18" s="249"/>
      <c r="B18" s="273"/>
      <c r="C18" s="268"/>
      <c r="D18" s="269"/>
      <c r="E18" s="270"/>
      <c r="F18" s="271"/>
    </row>
    <row r="19" spans="1:6">
      <c r="A19" s="249"/>
      <c r="B19" s="267" t="s">
        <v>1886</v>
      </c>
      <c r="C19" s="268" t="s">
        <v>642</v>
      </c>
      <c r="D19" s="269" t="s">
        <v>751</v>
      </c>
      <c r="E19" s="270">
        <v>388.83668030000001</v>
      </c>
      <c r="F19" s="271">
        <v>285.06477999999998</v>
      </c>
    </row>
    <row r="20" spans="1:6">
      <c r="A20" s="249"/>
      <c r="B20" s="273"/>
      <c r="C20" s="268"/>
      <c r="D20" s="269" t="s">
        <v>1887</v>
      </c>
      <c r="E20" s="270">
        <v>59.556545999999997</v>
      </c>
      <c r="F20" s="274">
        <v>0</v>
      </c>
    </row>
    <row r="21" spans="1:6">
      <c r="A21" s="249"/>
      <c r="B21" s="273"/>
      <c r="C21" s="268"/>
      <c r="D21" s="269" t="s">
        <v>1888</v>
      </c>
      <c r="E21" s="270">
        <v>35.673011000000002</v>
      </c>
      <c r="F21" s="274">
        <v>0</v>
      </c>
    </row>
    <row r="22" spans="1:6">
      <c r="A22" s="249"/>
      <c r="B22" s="273"/>
      <c r="C22" s="268"/>
      <c r="D22" s="269" t="s">
        <v>226</v>
      </c>
      <c r="E22" s="270">
        <v>455.81193450000001</v>
      </c>
      <c r="F22" s="271">
        <v>326.67389300000002</v>
      </c>
    </row>
    <row r="23" spans="1:6">
      <c r="A23" s="249"/>
      <c r="B23" s="273"/>
      <c r="C23" s="268"/>
      <c r="D23" s="269" t="s">
        <v>642</v>
      </c>
      <c r="E23" s="270">
        <v>4884.0574999999999</v>
      </c>
      <c r="F23" s="274">
        <v>0</v>
      </c>
    </row>
    <row r="24" spans="1:6">
      <c r="A24" s="249"/>
      <c r="B24" s="273"/>
      <c r="C24" s="268"/>
      <c r="D24" s="269" t="s">
        <v>60</v>
      </c>
      <c r="E24" s="270">
        <v>74334.860499999995</v>
      </c>
      <c r="F24" s="274">
        <v>0</v>
      </c>
    </row>
    <row r="25" spans="1:6">
      <c r="A25" s="249"/>
      <c r="B25" s="273"/>
      <c r="C25" s="268"/>
      <c r="D25" s="269" t="s">
        <v>777</v>
      </c>
      <c r="E25" s="270">
        <v>68.582370299999994</v>
      </c>
      <c r="F25" s="274">
        <v>0</v>
      </c>
    </row>
    <row r="26" spans="1:6">
      <c r="A26" s="249"/>
      <c r="B26" s="273"/>
      <c r="C26" s="268"/>
      <c r="D26" s="269" t="s">
        <v>63</v>
      </c>
      <c r="E26" s="270">
        <v>9828.94</v>
      </c>
      <c r="F26" s="274">
        <v>0</v>
      </c>
    </row>
    <row r="27" spans="1:6">
      <c r="A27" s="249"/>
      <c r="B27" s="273"/>
      <c r="C27" s="268"/>
      <c r="D27" s="269"/>
      <c r="E27" s="270"/>
      <c r="F27" s="271"/>
    </row>
    <row r="28" spans="1:6" ht="30">
      <c r="A28" s="249"/>
      <c r="B28" s="275" t="s">
        <v>1889</v>
      </c>
      <c r="C28" s="268" t="s">
        <v>63</v>
      </c>
      <c r="D28" s="269" t="s">
        <v>751</v>
      </c>
      <c r="E28" s="270">
        <v>208.26446749999999</v>
      </c>
      <c r="F28" s="271">
        <v>173.19592499999999</v>
      </c>
    </row>
    <row r="29" spans="1:6">
      <c r="A29" s="249"/>
      <c r="B29" s="273"/>
      <c r="C29" s="268"/>
      <c r="D29" s="269" t="s">
        <v>608</v>
      </c>
      <c r="E29" s="276">
        <v>0</v>
      </c>
      <c r="F29" s="271">
        <v>831.27589999999998</v>
      </c>
    </row>
    <row r="30" spans="1:6">
      <c r="A30" s="249"/>
      <c r="B30" s="273"/>
      <c r="C30" s="268"/>
      <c r="D30" s="269" t="s">
        <v>642</v>
      </c>
      <c r="E30" s="270">
        <v>6006.2567192000006</v>
      </c>
      <c r="F30" s="271">
        <v>2011.904</v>
      </c>
    </row>
    <row r="31" spans="1:6">
      <c r="A31" s="249"/>
      <c r="B31" s="273"/>
      <c r="C31" s="268"/>
      <c r="D31" s="269" t="s">
        <v>60</v>
      </c>
      <c r="E31" s="270">
        <v>313966.43599999999</v>
      </c>
      <c r="F31" s="271">
        <v>2464.5025000000001</v>
      </c>
    </row>
    <row r="32" spans="1:6">
      <c r="A32" s="249"/>
      <c r="B32" s="273"/>
      <c r="C32" s="268"/>
      <c r="D32" s="269" t="s">
        <v>63</v>
      </c>
      <c r="E32" s="270">
        <v>17708.107133400001</v>
      </c>
      <c r="F32" s="271">
        <v>13167.046</v>
      </c>
    </row>
    <row r="33" spans="1:6">
      <c r="A33" s="249"/>
      <c r="B33" s="273"/>
      <c r="C33" s="268"/>
      <c r="D33" s="269"/>
      <c r="E33" s="270"/>
      <c r="F33" s="271"/>
    </row>
    <row r="34" spans="1:6">
      <c r="A34" s="249"/>
      <c r="B34" s="273" t="s">
        <v>1890</v>
      </c>
      <c r="C34" s="268" t="s">
        <v>1891</v>
      </c>
      <c r="D34" s="269" t="s">
        <v>779</v>
      </c>
      <c r="E34" s="270">
        <v>29.560134399999995</v>
      </c>
      <c r="F34" s="271">
        <v>43.916365999999996</v>
      </c>
    </row>
    <row r="35" spans="1:6">
      <c r="A35" s="249"/>
      <c r="B35" s="273"/>
      <c r="C35" s="268" t="s">
        <v>1892</v>
      </c>
      <c r="D35" s="269" t="s">
        <v>60</v>
      </c>
      <c r="E35" s="270">
        <v>102361.22</v>
      </c>
      <c r="F35" s="274">
        <v>0</v>
      </c>
    </row>
    <row r="36" spans="1:6">
      <c r="A36" s="249"/>
      <c r="B36" s="273"/>
      <c r="C36" s="268" t="s">
        <v>1893</v>
      </c>
      <c r="D36" s="269" t="s">
        <v>1885</v>
      </c>
      <c r="E36" s="270">
        <v>2.9112300000000002</v>
      </c>
      <c r="F36" s="274">
        <v>0</v>
      </c>
    </row>
    <row r="37" spans="1:6">
      <c r="A37" s="249"/>
      <c r="B37" s="273"/>
      <c r="C37" s="268"/>
      <c r="D37" s="269"/>
      <c r="E37" s="270"/>
      <c r="F37" s="271"/>
    </row>
    <row r="38" spans="1:6">
      <c r="A38" s="249"/>
      <c r="B38" s="273" t="s">
        <v>1894</v>
      </c>
      <c r="C38" s="268" t="s">
        <v>642</v>
      </c>
      <c r="D38" s="269" t="s">
        <v>1895</v>
      </c>
      <c r="E38" s="270">
        <v>446.66325000000001</v>
      </c>
      <c r="F38" s="274">
        <v>0</v>
      </c>
    </row>
    <row r="39" spans="1:6">
      <c r="A39" s="249"/>
      <c r="B39" s="273"/>
      <c r="C39" s="268"/>
      <c r="D39" s="269" t="s">
        <v>642</v>
      </c>
      <c r="E39" s="270">
        <v>2426.0275000000001</v>
      </c>
      <c r="F39" s="274">
        <v>0</v>
      </c>
    </row>
    <row r="40" spans="1:6">
      <c r="A40" s="249"/>
      <c r="B40" s="273"/>
      <c r="C40" s="268"/>
      <c r="D40" s="269" t="s">
        <v>60</v>
      </c>
      <c r="E40" s="270">
        <v>161102.867</v>
      </c>
      <c r="F40" s="274">
        <v>0</v>
      </c>
    </row>
    <row r="41" spans="1:6">
      <c r="A41" s="249"/>
      <c r="B41" s="273"/>
      <c r="C41" s="268"/>
      <c r="D41" s="269"/>
      <c r="E41" s="270"/>
      <c r="F41" s="271"/>
    </row>
    <row r="42" spans="1:6">
      <c r="A42" s="249"/>
      <c r="B42" s="273" t="s">
        <v>1896</v>
      </c>
      <c r="C42" s="268" t="s">
        <v>60</v>
      </c>
      <c r="D42" s="269" t="s">
        <v>63</v>
      </c>
      <c r="E42" s="270">
        <v>2994.1289999999999</v>
      </c>
      <c r="F42" s="274">
        <v>0</v>
      </c>
    </row>
    <row r="43" spans="1:6">
      <c r="A43" s="249"/>
      <c r="B43" s="273"/>
      <c r="C43" s="268" t="s">
        <v>63</v>
      </c>
      <c r="D43" s="269"/>
      <c r="E43" s="270"/>
      <c r="F43" s="271"/>
    </row>
    <row r="44" spans="1:6">
      <c r="A44" s="249"/>
      <c r="B44" s="273"/>
      <c r="C44" s="268"/>
      <c r="D44" s="269"/>
      <c r="E44" s="270"/>
      <c r="F44" s="271"/>
    </row>
    <row r="45" spans="1:6">
      <c r="A45" s="249"/>
      <c r="B45" s="273" t="s">
        <v>1897</v>
      </c>
      <c r="C45" s="268" t="s">
        <v>63</v>
      </c>
      <c r="D45" s="269" t="s">
        <v>1898</v>
      </c>
      <c r="E45" s="270">
        <v>12.507847099999999</v>
      </c>
      <c r="F45" s="274">
        <v>0</v>
      </c>
    </row>
    <row r="46" spans="1:6">
      <c r="A46" s="249"/>
      <c r="B46" s="273"/>
      <c r="C46" s="268"/>
      <c r="D46" s="269" t="s">
        <v>285</v>
      </c>
      <c r="E46" s="270">
        <v>12.020607</v>
      </c>
      <c r="F46" s="274">
        <v>0</v>
      </c>
    </row>
    <row r="47" spans="1:6">
      <c r="A47" s="249"/>
      <c r="B47" s="273"/>
      <c r="C47" s="268"/>
      <c r="D47" s="269" t="s">
        <v>286</v>
      </c>
      <c r="E47" s="270">
        <v>14.6293118</v>
      </c>
      <c r="F47" s="274">
        <v>0</v>
      </c>
    </row>
    <row r="48" spans="1:6">
      <c r="A48" s="249"/>
      <c r="B48" s="273"/>
      <c r="C48" s="268"/>
      <c r="D48" s="269" t="s">
        <v>287</v>
      </c>
      <c r="E48" s="270">
        <v>6.6027479000000007</v>
      </c>
      <c r="F48" s="274">
        <v>0</v>
      </c>
    </row>
    <row r="49" spans="1:6">
      <c r="A49" s="249"/>
      <c r="B49" s="273"/>
      <c r="C49" s="268"/>
      <c r="D49" s="269" t="s">
        <v>608</v>
      </c>
      <c r="E49" s="270">
        <v>34.555754900000004</v>
      </c>
      <c r="F49" s="271">
        <v>44.030154000000003</v>
      </c>
    </row>
    <row r="50" spans="1:6">
      <c r="A50" s="249"/>
      <c r="B50" s="273"/>
      <c r="C50" s="268"/>
      <c r="D50" s="269" t="s">
        <v>615</v>
      </c>
      <c r="E50" s="270">
        <v>21.6748197</v>
      </c>
      <c r="F50" s="271">
        <v>28.428613500000001</v>
      </c>
    </row>
    <row r="51" spans="1:6">
      <c r="A51" s="249"/>
      <c r="B51" s="273"/>
      <c r="C51" s="268"/>
      <c r="D51" s="269" t="s">
        <v>617</v>
      </c>
      <c r="E51" s="270">
        <v>30.719671299999998</v>
      </c>
      <c r="F51" s="271">
        <v>24.053987999999997</v>
      </c>
    </row>
    <row r="52" spans="1:6">
      <c r="A52" s="249"/>
      <c r="B52" s="273"/>
      <c r="C52" s="268"/>
      <c r="D52" s="269" t="s">
        <v>779</v>
      </c>
      <c r="E52" s="270">
        <v>58.858603299999999</v>
      </c>
      <c r="F52" s="271">
        <v>73.400796</v>
      </c>
    </row>
    <row r="53" spans="1:6">
      <c r="A53" s="249"/>
      <c r="B53" s="273"/>
      <c r="C53" s="268"/>
      <c r="D53" s="269" t="s">
        <v>227</v>
      </c>
      <c r="E53" s="270">
        <v>1154.6412263000002</v>
      </c>
      <c r="F53" s="271">
        <v>779.79312599999992</v>
      </c>
    </row>
    <row r="54" spans="1:6">
      <c r="A54" s="249"/>
      <c r="B54" s="273"/>
      <c r="C54" s="268"/>
      <c r="D54" s="269" t="s">
        <v>65</v>
      </c>
      <c r="E54" s="270">
        <v>365.96584849999999</v>
      </c>
      <c r="F54" s="271">
        <v>254.21865</v>
      </c>
    </row>
    <row r="55" spans="1:6">
      <c r="A55" s="249"/>
      <c r="B55" s="273"/>
      <c r="C55" s="268"/>
      <c r="D55" s="269" t="s">
        <v>774</v>
      </c>
      <c r="E55" s="270">
        <v>1149.5654532000001</v>
      </c>
      <c r="F55" s="271">
        <v>914.30963400000007</v>
      </c>
    </row>
    <row r="56" spans="1:6">
      <c r="A56" s="249"/>
      <c r="B56" s="273"/>
      <c r="C56" s="268"/>
      <c r="D56" s="269" t="s">
        <v>1885</v>
      </c>
      <c r="E56" s="270">
        <v>1.313342</v>
      </c>
      <c r="F56" s="274">
        <v>0</v>
      </c>
    </row>
    <row r="57" spans="1:6">
      <c r="A57" s="261"/>
      <c r="B57" s="273"/>
      <c r="C57" s="268"/>
      <c r="D57" s="269" t="s">
        <v>55</v>
      </c>
      <c r="E57" s="270">
        <v>676.71283819999996</v>
      </c>
      <c r="F57" s="271">
        <v>504.56594999999999</v>
      </c>
    </row>
    <row r="58" spans="1:6">
      <c r="A58" s="261"/>
      <c r="B58" s="273"/>
      <c r="C58" s="268"/>
      <c r="D58" s="269" t="s">
        <v>789</v>
      </c>
      <c r="E58" s="270">
        <v>1255.3484118000001</v>
      </c>
      <c r="F58" s="271">
        <v>820.08097499999997</v>
      </c>
    </row>
    <row r="59" spans="1:6">
      <c r="A59" s="261"/>
      <c r="B59" s="273"/>
      <c r="C59" s="268"/>
      <c r="D59" s="269"/>
      <c r="E59" s="270"/>
      <c r="F59" s="271"/>
    </row>
    <row r="60" spans="1:6" ht="30">
      <c r="A60" s="261"/>
      <c r="B60" s="273" t="s">
        <v>1899</v>
      </c>
      <c r="C60" s="268" t="s">
        <v>63</v>
      </c>
      <c r="D60" s="269" t="s">
        <v>228</v>
      </c>
      <c r="E60" s="270">
        <v>250.10333329999997</v>
      </c>
      <c r="F60" s="274">
        <v>0</v>
      </c>
    </row>
    <row r="61" spans="1:6">
      <c r="A61" s="261"/>
      <c r="B61" s="273"/>
      <c r="C61" s="268"/>
      <c r="D61" s="269" t="s">
        <v>226</v>
      </c>
      <c r="E61" s="270">
        <v>1459.0917806</v>
      </c>
      <c r="F61" s="271">
        <v>1291.3675900000001</v>
      </c>
    </row>
    <row r="62" spans="1:6">
      <c r="A62" s="261"/>
      <c r="B62" s="273"/>
      <c r="C62" s="268"/>
      <c r="D62" s="269" t="s">
        <v>779</v>
      </c>
      <c r="E62" s="270">
        <v>6.4137103</v>
      </c>
      <c r="F62" s="271">
        <v>996.51996200000008</v>
      </c>
    </row>
    <row r="63" spans="1:6">
      <c r="A63" s="261"/>
      <c r="B63" s="273"/>
      <c r="C63" s="268"/>
      <c r="D63" s="269" t="s">
        <v>785</v>
      </c>
      <c r="E63" s="270">
        <v>111.90520009999997</v>
      </c>
      <c r="F63" s="271">
        <v>1832.5988730000001</v>
      </c>
    </row>
    <row r="64" spans="1:6">
      <c r="A64" s="261"/>
      <c r="B64" s="273"/>
      <c r="C64" s="268"/>
      <c r="D64" s="269" t="s">
        <v>787</v>
      </c>
      <c r="E64" s="270">
        <v>37.264653799999998</v>
      </c>
      <c r="F64" s="271">
        <v>1610.8688909999998</v>
      </c>
    </row>
    <row r="65" spans="1:6">
      <c r="A65" s="249"/>
      <c r="B65" s="273"/>
      <c r="C65" s="268"/>
      <c r="D65" s="269" t="s">
        <v>227</v>
      </c>
      <c r="E65" s="270">
        <v>515.63809720000006</v>
      </c>
      <c r="F65" s="271">
        <v>769.05259400000011</v>
      </c>
    </row>
    <row r="66" spans="1:6">
      <c r="A66" s="249"/>
      <c r="B66" s="273"/>
      <c r="C66" s="268"/>
      <c r="D66" s="269" t="s">
        <v>767</v>
      </c>
      <c r="E66" s="270">
        <v>65.5615193</v>
      </c>
      <c r="F66" s="271">
        <v>86.44074599999999</v>
      </c>
    </row>
    <row r="67" spans="1:6">
      <c r="A67" s="249"/>
      <c r="B67" s="273"/>
      <c r="C67" s="268"/>
      <c r="D67" s="269" t="s">
        <v>770</v>
      </c>
      <c r="E67" s="270">
        <v>9.6766464999999986</v>
      </c>
      <c r="F67" s="271">
        <v>67.156160999999997</v>
      </c>
    </row>
    <row r="68" spans="1:6">
      <c r="A68" s="249"/>
      <c r="B68" s="273"/>
      <c r="C68" s="268"/>
      <c r="D68" s="269" t="s">
        <v>65</v>
      </c>
      <c r="E68" s="270">
        <v>62.730941299999998</v>
      </c>
      <c r="F68" s="271">
        <v>301.83472499999999</v>
      </c>
    </row>
    <row r="69" spans="1:6">
      <c r="A69" s="249"/>
      <c r="B69" s="273"/>
      <c r="C69" s="268"/>
      <c r="D69" s="269" t="s">
        <v>60</v>
      </c>
      <c r="E69" s="270">
        <v>114128.554</v>
      </c>
      <c r="F69" s="274">
        <v>0</v>
      </c>
    </row>
    <row r="70" spans="1:6">
      <c r="A70" s="249"/>
      <c r="B70" s="273"/>
      <c r="C70" s="268"/>
      <c r="D70" s="269" t="s">
        <v>56</v>
      </c>
      <c r="E70" s="270">
        <v>34.029533199999996</v>
      </c>
      <c r="F70" s="274">
        <v>0</v>
      </c>
    </row>
    <row r="71" spans="1:6">
      <c r="A71" s="249"/>
      <c r="B71" s="273"/>
      <c r="C71" s="268"/>
      <c r="D71" s="269" t="s">
        <v>1885</v>
      </c>
      <c r="E71" s="270">
        <v>46.105486200000001</v>
      </c>
      <c r="F71" s="274">
        <v>0</v>
      </c>
    </row>
    <row r="72" spans="1:6">
      <c r="A72" s="249"/>
      <c r="B72" s="273"/>
      <c r="C72" s="268"/>
      <c r="D72" s="269"/>
      <c r="E72" s="270"/>
      <c r="F72" s="271"/>
    </row>
    <row r="73" spans="1:6" ht="30">
      <c r="A73" s="249"/>
      <c r="B73" s="273" t="s">
        <v>1900</v>
      </c>
      <c r="C73" s="268" t="s">
        <v>60</v>
      </c>
      <c r="D73" s="269" t="s">
        <v>779</v>
      </c>
      <c r="E73" s="270">
        <v>0.83225950000000015</v>
      </c>
      <c r="F73" s="271">
        <v>101.82992</v>
      </c>
    </row>
    <row r="74" spans="1:6">
      <c r="A74" s="249"/>
      <c r="B74" s="273"/>
      <c r="C74" s="268"/>
      <c r="D74" s="269" t="s">
        <v>1885</v>
      </c>
      <c r="E74" s="270">
        <v>6.342500199999999</v>
      </c>
      <c r="F74" s="274">
        <v>0</v>
      </c>
    </row>
    <row r="75" spans="1:6">
      <c r="A75" s="249"/>
      <c r="B75" s="273"/>
      <c r="C75" s="268"/>
      <c r="D75" s="269"/>
      <c r="E75" s="270"/>
      <c r="F75" s="271"/>
    </row>
    <row r="76" spans="1:6" ht="30">
      <c r="A76" s="249"/>
      <c r="B76" s="273" t="s">
        <v>1901</v>
      </c>
      <c r="C76" s="268" t="s">
        <v>60</v>
      </c>
      <c r="D76" s="269" t="s">
        <v>590</v>
      </c>
      <c r="E76" s="270">
        <v>25.683623900000001</v>
      </c>
      <c r="F76" s="274">
        <v>0</v>
      </c>
    </row>
    <row r="77" spans="1:6">
      <c r="A77" s="249"/>
      <c r="B77" s="273"/>
      <c r="C77" s="268"/>
      <c r="D77" s="269" t="s">
        <v>285</v>
      </c>
      <c r="E77" s="270">
        <v>34.262568199999997</v>
      </c>
      <c r="F77" s="274">
        <v>0</v>
      </c>
    </row>
    <row r="78" spans="1:6">
      <c r="A78" s="249"/>
      <c r="B78" s="273"/>
      <c r="C78" s="268"/>
      <c r="D78" s="269" t="s">
        <v>286</v>
      </c>
      <c r="E78" s="270">
        <v>14.240412600000001</v>
      </c>
      <c r="F78" s="274">
        <v>0</v>
      </c>
    </row>
    <row r="79" spans="1:6">
      <c r="A79" s="249"/>
      <c r="B79" s="273"/>
      <c r="C79" s="268"/>
      <c r="D79" s="269" t="s">
        <v>608</v>
      </c>
      <c r="E79" s="270">
        <v>21.614788399999998</v>
      </c>
      <c r="F79" s="271">
        <v>47.495495999999996</v>
      </c>
    </row>
    <row r="80" spans="1:6">
      <c r="A80" s="249"/>
      <c r="B80" s="273"/>
      <c r="C80" s="268"/>
      <c r="D80" s="269" t="s">
        <v>615</v>
      </c>
      <c r="E80" s="270">
        <v>14.4736662</v>
      </c>
      <c r="F80" s="271">
        <v>30.393572999999996</v>
      </c>
    </row>
    <row r="81" spans="1:6">
      <c r="A81" s="249"/>
      <c r="B81" s="273"/>
      <c r="C81" s="268"/>
      <c r="D81" s="269" t="s">
        <v>617</v>
      </c>
      <c r="E81" s="270">
        <v>13.325140600000001</v>
      </c>
      <c r="F81" s="271">
        <v>25.697189999999999</v>
      </c>
    </row>
    <row r="82" spans="1:6">
      <c r="B82" s="273"/>
      <c r="C82" s="268"/>
      <c r="D82" s="269" t="s">
        <v>226</v>
      </c>
      <c r="E82" s="270">
        <v>349.48351579999996</v>
      </c>
      <c r="F82" s="274">
        <v>0</v>
      </c>
    </row>
    <row r="83" spans="1:6">
      <c r="B83" s="273"/>
      <c r="C83" s="268"/>
      <c r="D83" s="269" t="s">
        <v>779</v>
      </c>
      <c r="E83" s="270">
        <v>3.3004506999999998</v>
      </c>
      <c r="F83" s="271">
        <v>732.90158099999996</v>
      </c>
    </row>
    <row r="84" spans="1:6" s="277" customFormat="1">
      <c r="A84" s="118"/>
      <c r="B84" s="273"/>
      <c r="C84" s="268"/>
      <c r="D84" s="269" t="s">
        <v>785</v>
      </c>
      <c r="E84" s="270">
        <v>63.428512499999997</v>
      </c>
      <c r="F84" s="271">
        <v>1334.9247150000001</v>
      </c>
    </row>
    <row r="85" spans="1:6" s="277" customFormat="1">
      <c r="A85" s="118"/>
      <c r="B85" s="273"/>
      <c r="C85" s="268"/>
      <c r="D85" s="269" t="s">
        <v>787</v>
      </c>
      <c r="E85" s="270">
        <v>3.4112119999999999</v>
      </c>
      <c r="F85" s="271">
        <v>1187.2189424999999</v>
      </c>
    </row>
    <row r="86" spans="1:6" s="277" customFormat="1">
      <c r="A86" s="118"/>
      <c r="B86" s="273"/>
      <c r="C86" s="268"/>
      <c r="D86" s="269" t="s">
        <v>227</v>
      </c>
      <c r="E86" s="270">
        <v>1063.0779553</v>
      </c>
      <c r="F86" s="271">
        <v>2090.33349</v>
      </c>
    </row>
    <row r="87" spans="1:6" s="277" customFormat="1">
      <c r="A87" s="118"/>
      <c r="B87" s="273"/>
      <c r="C87" s="268"/>
      <c r="D87" s="269" t="s">
        <v>767</v>
      </c>
      <c r="E87" s="270">
        <v>41.203165300000002</v>
      </c>
      <c r="F87" s="271">
        <v>63.002420999999998</v>
      </c>
    </row>
    <row r="88" spans="1:6" s="277" customFormat="1">
      <c r="A88" s="118"/>
      <c r="B88" s="273"/>
      <c r="C88" s="268"/>
      <c r="D88" s="269" t="s">
        <v>770</v>
      </c>
      <c r="E88" s="270">
        <v>4.7836834999999995</v>
      </c>
      <c r="F88" s="271">
        <v>49.456377000000003</v>
      </c>
    </row>
    <row r="89" spans="1:6" s="277" customFormat="1">
      <c r="A89" s="118"/>
      <c r="B89" s="273"/>
      <c r="C89" s="268"/>
      <c r="D89" s="269" t="s">
        <v>1885</v>
      </c>
      <c r="E89" s="270">
        <v>30.634024100000001</v>
      </c>
      <c r="F89" s="274">
        <v>0</v>
      </c>
    </row>
    <row r="90" spans="1:6">
      <c r="B90" s="273"/>
      <c r="C90" s="268"/>
      <c r="D90" s="269" t="s">
        <v>55</v>
      </c>
      <c r="E90" s="270">
        <v>277.64340939999994</v>
      </c>
      <c r="F90" s="271">
        <v>646.86030000000005</v>
      </c>
    </row>
    <row r="91" spans="1:6">
      <c r="B91" s="273"/>
      <c r="C91" s="268"/>
      <c r="D91" s="269" t="s">
        <v>789</v>
      </c>
      <c r="E91" s="270">
        <v>217.21664349999998</v>
      </c>
      <c r="F91" s="271">
        <v>310.13850000000002</v>
      </c>
    </row>
    <row r="92" spans="1:6">
      <c r="B92" s="273"/>
      <c r="C92" s="268"/>
      <c r="D92" s="269"/>
      <c r="E92" s="270"/>
      <c r="F92" s="271"/>
    </row>
    <row r="93" spans="1:6" ht="30">
      <c r="B93" s="273" t="s">
        <v>1902</v>
      </c>
      <c r="C93" s="268" t="s">
        <v>57</v>
      </c>
      <c r="D93" s="269" t="s">
        <v>751</v>
      </c>
      <c r="E93" s="270">
        <v>12.864760200000001</v>
      </c>
      <c r="F93" s="271">
        <v>75.724204499999999</v>
      </c>
    </row>
    <row r="94" spans="1:6">
      <c r="B94" s="273"/>
      <c r="C94" s="268"/>
      <c r="D94" s="269" t="s">
        <v>774</v>
      </c>
      <c r="E94" s="270">
        <v>32.659583500000004</v>
      </c>
      <c r="F94" s="274">
        <v>0</v>
      </c>
    </row>
    <row r="95" spans="1:6">
      <c r="B95" s="273"/>
      <c r="C95" s="268"/>
      <c r="D95" s="269"/>
      <c r="E95" s="270"/>
      <c r="F95" s="271"/>
    </row>
    <row r="96" spans="1:6" ht="45">
      <c r="B96" s="273" t="s">
        <v>1903</v>
      </c>
      <c r="C96" s="268" t="s">
        <v>60</v>
      </c>
      <c r="D96" s="269" t="s">
        <v>57</v>
      </c>
      <c r="E96" s="270">
        <v>2551.1710959000002</v>
      </c>
      <c r="F96" s="274">
        <v>0</v>
      </c>
    </row>
    <row r="97" spans="2:6">
      <c r="B97" s="273"/>
      <c r="C97" s="268"/>
      <c r="D97" s="269" t="s">
        <v>1895</v>
      </c>
      <c r="E97" s="270">
        <v>513.28345209999998</v>
      </c>
      <c r="F97" s="274">
        <v>0</v>
      </c>
    </row>
    <row r="98" spans="2:6">
      <c r="B98" s="273"/>
      <c r="C98" s="268"/>
      <c r="D98" s="269" t="s">
        <v>642</v>
      </c>
      <c r="E98" s="270">
        <v>11611.4565</v>
      </c>
      <c r="F98" s="274">
        <v>0</v>
      </c>
    </row>
    <row r="99" spans="2:6">
      <c r="B99" s="273"/>
      <c r="C99" s="268"/>
      <c r="D99" s="269" t="s">
        <v>60</v>
      </c>
      <c r="E99" s="270">
        <v>1002268.8135</v>
      </c>
      <c r="F99" s="271">
        <v>21756.681499999999</v>
      </c>
    </row>
    <row r="100" spans="2:6">
      <c r="B100" s="273"/>
      <c r="C100" s="268"/>
      <c r="D100" s="269" t="s">
        <v>63</v>
      </c>
      <c r="E100" s="270">
        <v>108716.9755</v>
      </c>
      <c r="F100" s="271">
        <v>14655.06</v>
      </c>
    </row>
    <row r="101" spans="2:6">
      <c r="B101" s="273"/>
      <c r="C101" s="268"/>
      <c r="D101" s="269"/>
      <c r="E101" s="270"/>
      <c r="F101" s="271"/>
    </row>
    <row r="102" spans="2:6">
      <c r="B102" s="273" t="s">
        <v>1904</v>
      </c>
      <c r="C102" s="268" t="s">
        <v>1891</v>
      </c>
      <c r="D102" s="269" t="s">
        <v>226</v>
      </c>
      <c r="E102" s="270">
        <v>879.2062206999999</v>
      </c>
      <c r="F102" s="274">
        <v>0</v>
      </c>
    </row>
    <row r="103" spans="2:6">
      <c r="B103" s="273"/>
      <c r="C103" s="268" t="s">
        <v>1892</v>
      </c>
      <c r="D103" s="269" t="s">
        <v>779</v>
      </c>
      <c r="E103" s="270">
        <v>67.815123499999999</v>
      </c>
      <c r="F103" s="271">
        <v>1876.4524869999998</v>
      </c>
    </row>
    <row r="104" spans="2:6">
      <c r="B104" s="273"/>
      <c r="C104" s="268" t="s">
        <v>1893</v>
      </c>
      <c r="D104" s="269" t="s">
        <v>785</v>
      </c>
      <c r="E104" s="270">
        <v>299.49383230000001</v>
      </c>
      <c r="F104" s="271">
        <v>3388.0056210000002</v>
      </c>
    </row>
    <row r="105" spans="2:6">
      <c r="B105" s="273"/>
      <c r="C105" s="268" t="s">
        <v>1905</v>
      </c>
      <c r="D105" s="269" t="s">
        <v>787</v>
      </c>
      <c r="E105" s="270">
        <v>14.706337099999999</v>
      </c>
      <c r="F105" s="271">
        <v>2870.7155239999997</v>
      </c>
    </row>
    <row r="106" spans="2:6">
      <c r="B106" s="273"/>
      <c r="C106" s="268" t="s">
        <v>60</v>
      </c>
      <c r="D106" s="269" t="s">
        <v>767</v>
      </c>
      <c r="E106" s="270">
        <v>114.06420559999998</v>
      </c>
      <c r="F106" s="271">
        <v>163.52900199999999</v>
      </c>
    </row>
    <row r="107" spans="2:6">
      <c r="B107" s="273"/>
      <c r="C107" s="268"/>
      <c r="D107" s="269" t="s">
        <v>770</v>
      </c>
      <c r="E107" s="270">
        <v>17.216115800000001</v>
      </c>
      <c r="F107" s="271">
        <v>119.954864</v>
      </c>
    </row>
    <row r="108" spans="2:6">
      <c r="B108" s="273"/>
      <c r="C108" s="268"/>
      <c r="D108" s="269" t="s">
        <v>60</v>
      </c>
      <c r="E108" s="270">
        <v>542876.23199999996</v>
      </c>
      <c r="F108" s="274">
        <v>0</v>
      </c>
    </row>
    <row r="109" spans="2:6">
      <c r="B109" s="273"/>
      <c r="C109" s="268"/>
      <c r="D109" s="269" t="s">
        <v>1885</v>
      </c>
      <c r="E109" s="270">
        <v>67.049955699999998</v>
      </c>
      <c r="F109" s="274">
        <v>0</v>
      </c>
    </row>
    <row r="110" spans="2:6">
      <c r="B110" s="273"/>
      <c r="C110" s="268"/>
      <c r="D110" s="269" t="s">
        <v>63</v>
      </c>
      <c r="E110" s="270">
        <v>29935</v>
      </c>
      <c r="F110" s="274">
        <v>0</v>
      </c>
    </row>
    <row r="111" spans="2:6">
      <c r="B111" s="273"/>
      <c r="C111" s="268"/>
      <c r="D111" s="269"/>
      <c r="E111" s="270"/>
      <c r="F111" s="271"/>
    </row>
    <row r="112" spans="2:6" ht="15" customHeight="1">
      <c r="B112" s="273" t="s">
        <v>1906</v>
      </c>
      <c r="C112" s="268" t="s">
        <v>60</v>
      </c>
      <c r="D112" s="269" t="s">
        <v>642</v>
      </c>
      <c r="E112" s="270">
        <v>28839.186000000002</v>
      </c>
      <c r="F112" s="274">
        <v>0</v>
      </c>
    </row>
    <row r="113" spans="2:6">
      <c r="B113" s="273"/>
      <c r="C113" s="268"/>
      <c r="D113" s="269" t="s">
        <v>60</v>
      </c>
      <c r="E113" s="270">
        <v>1124369.2948</v>
      </c>
      <c r="F113" s="274">
        <v>0</v>
      </c>
    </row>
    <row r="114" spans="2:6">
      <c r="B114" s="273"/>
      <c r="C114" s="268"/>
      <c r="D114" s="269" t="s">
        <v>56</v>
      </c>
      <c r="E114" s="270">
        <v>343.82521479999997</v>
      </c>
      <c r="F114" s="271">
        <v>302.17950000000002</v>
      </c>
    </row>
    <row r="115" spans="2:6">
      <c r="B115" s="273"/>
      <c r="C115" s="268"/>
      <c r="D115" s="269" t="s">
        <v>63</v>
      </c>
      <c r="E115" s="270">
        <v>256108.8175</v>
      </c>
      <c r="F115" s="274">
        <v>0</v>
      </c>
    </row>
    <row r="116" spans="2:6">
      <c r="B116" s="273"/>
      <c r="C116" s="268"/>
      <c r="D116" s="269"/>
      <c r="E116" s="270"/>
      <c r="F116" s="271"/>
    </row>
    <row r="117" spans="2:6">
      <c r="B117" s="273" t="s">
        <v>1907</v>
      </c>
      <c r="C117" s="268" t="s">
        <v>642</v>
      </c>
      <c r="D117" s="269" t="s">
        <v>60</v>
      </c>
      <c r="E117" s="270">
        <v>24983.61</v>
      </c>
      <c r="F117" s="274">
        <v>0</v>
      </c>
    </row>
    <row r="118" spans="2:6">
      <c r="B118" s="273"/>
      <c r="C118" s="268"/>
      <c r="D118" s="269" t="s">
        <v>63</v>
      </c>
      <c r="E118" s="270">
        <v>4601.5372575000001</v>
      </c>
      <c r="F118" s="271">
        <v>4181.9319999999998</v>
      </c>
    </row>
    <row r="119" spans="2:6">
      <c r="B119" s="273"/>
      <c r="C119" s="268"/>
      <c r="D119" s="269"/>
      <c r="E119" s="270"/>
      <c r="F119" s="271"/>
    </row>
    <row r="120" spans="2:6" ht="30">
      <c r="B120" s="273" t="s">
        <v>1908</v>
      </c>
      <c r="C120" s="268" t="s">
        <v>60</v>
      </c>
      <c r="D120" s="269" t="s">
        <v>779</v>
      </c>
      <c r="E120" s="270">
        <v>22.983246000000001</v>
      </c>
      <c r="F120" s="271">
        <v>879.0482495</v>
      </c>
    </row>
    <row r="121" spans="2:6">
      <c r="B121" s="273"/>
      <c r="C121" s="268"/>
      <c r="D121" s="269" t="s">
        <v>785</v>
      </c>
      <c r="E121" s="270">
        <v>143.710384</v>
      </c>
      <c r="F121" s="271">
        <v>1609.0574624999999</v>
      </c>
    </row>
    <row r="122" spans="2:6">
      <c r="B122" s="273"/>
      <c r="C122" s="268"/>
      <c r="D122" s="269" t="s">
        <v>787</v>
      </c>
      <c r="E122" s="270">
        <v>100.17087439999999</v>
      </c>
      <c r="F122" s="271">
        <v>1429.066415</v>
      </c>
    </row>
    <row r="123" spans="2:6">
      <c r="B123" s="273"/>
      <c r="C123" s="268"/>
      <c r="D123" s="269" t="s">
        <v>227</v>
      </c>
      <c r="E123" s="270">
        <v>1293.1514791000002</v>
      </c>
      <c r="F123" s="271">
        <v>1173.8498</v>
      </c>
    </row>
    <row r="124" spans="2:6">
      <c r="B124" s="273"/>
      <c r="C124" s="268"/>
      <c r="D124" s="269" t="s">
        <v>767</v>
      </c>
      <c r="E124" s="270">
        <v>65.538134100000008</v>
      </c>
      <c r="F124" s="271">
        <v>75.673423999999997</v>
      </c>
    </row>
    <row r="125" spans="2:6">
      <c r="B125" s="273"/>
      <c r="C125" s="268"/>
      <c r="D125" s="269" t="s">
        <v>770</v>
      </c>
      <c r="E125" s="270">
        <v>13.504403600000003</v>
      </c>
      <c r="F125" s="271">
        <v>59.493384000000006</v>
      </c>
    </row>
    <row r="126" spans="2:6">
      <c r="B126" s="273"/>
      <c r="C126" s="268"/>
      <c r="D126" s="269" t="s">
        <v>774</v>
      </c>
      <c r="E126" s="270">
        <v>856.68439949999993</v>
      </c>
      <c r="F126" s="271">
        <v>843.34839999999997</v>
      </c>
    </row>
    <row r="127" spans="2:6">
      <c r="B127" s="273"/>
      <c r="C127" s="268"/>
      <c r="D127" s="269" t="s">
        <v>1885</v>
      </c>
      <c r="E127" s="270">
        <v>49.866336799999999</v>
      </c>
      <c r="F127" s="274">
        <v>0</v>
      </c>
    </row>
    <row r="128" spans="2:6">
      <c r="B128" s="273"/>
      <c r="C128" s="268"/>
      <c r="D128" s="269" t="s">
        <v>55</v>
      </c>
      <c r="E128" s="270">
        <v>625.60472800000002</v>
      </c>
      <c r="F128" s="271">
        <v>621.11469999999997</v>
      </c>
    </row>
    <row r="129" spans="2:6">
      <c r="B129" s="273"/>
      <c r="C129" s="268"/>
      <c r="D129" s="269" t="s">
        <v>789</v>
      </c>
      <c r="E129" s="270">
        <v>868.34802599999989</v>
      </c>
      <c r="F129" s="271">
        <v>860.44330000000002</v>
      </c>
    </row>
    <row r="130" spans="2:6">
      <c r="B130" s="273"/>
      <c r="C130" s="268"/>
      <c r="D130" s="269"/>
      <c r="E130" s="270"/>
      <c r="F130" s="271"/>
    </row>
    <row r="131" spans="2:6">
      <c r="B131" s="273" t="s">
        <v>1909</v>
      </c>
      <c r="C131" s="268" t="s">
        <v>60</v>
      </c>
      <c r="D131" s="269" t="s">
        <v>228</v>
      </c>
      <c r="E131" s="270">
        <v>1174.7292821999999</v>
      </c>
      <c r="F131" s="271">
        <v>255.63732149999998</v>
      </c>
    </row>
    <row r="132" spans="2:6">
      <c r="B132" s="273"/>
      <c r="C132" s="268"/>
      <c r="D132" s="269" t="s">
        <v>1887</v>
      </c>
      <c r="E132" s="270">
        <v>29.645023800000001</v>
      </c>
      <c r="F132" s="274">
        <v>0</v>
      </c>
    </row>
    <row r="133" spans="2:6">
      <c r="B133" s="273"/>
      <c r="C133" s="268"/>
      <c r="D133" s="269" t="s">
        <v>1888</v>
      </c>
      <c r="E133" s="270">
        <v>45.871664700000004</v>
      </c>
      <c r="F133" s="274">
        <v>0</v>
      </c>
    </row>
    <row r="134" spans="2:6">
      <c r="B134" s="273"/>
      <c r="C134" s="268"/>
      <c r="D134" s="269" t="s">
        <v>226</v>
      </c>
      <c r="E134" s="270">
        <v>2435.1244118</v>
      </c>
      <c r="F134" s="271">
        <v>301.28598</v>
      </c>
    </row>
    <row r="135" spans="2:6">
      <c r="B135" s="273"/>
      <c r="C135" s="268"/>
      <c r="D135" s="269" t="s">
        <v>779</v>
      </c>
      <c r="E135" s="270">
        <v>45.736917400000003</v>
      </c>
      <c r="F135" s="271">
        <v>276.27970049999999</v>
      </c>
    </row>
    <row r="136" spans="2:6">
      <c r="B136" s="273"/>
      <c r="C136" s="268"/>
      <c r="D136" s="269" t="s">
        <v>785</v>
      </c>
      <c r="E136" s="270">
        <v>141.01232480000002</v>
      </c>
      <c r="F136" s="271">
        <v>519.91247250000004</v>
      </c>
    </row>
    <row r="137" spans="2:6">
      <c r="B137" s="273"/>
      <c r="C137" s="268"/>
      <c r="D137" s="269" t="s">
        <v>787</v>
      </c>
      <c r="E137" s="270">
        <v>86.470011700000001</v>
      </c>
      <c r="F137" s="271">
        <v>450.73125899999997</v>
      </c>
    </row>
    <row r="138" spans="2:6">
      <c r="B138" s="273"/>
      <c r="C138" s="268"/>
      <c r="D138" s="269" t="s">
        <v>227</v>
      </c>
      <c r="E138" s="270">
        <v>267.5207226</v>
      </c>
      <c r="F138" s="271">
        <v>207.48789599999998</v>
      </c>
    </row>
    <row r="139" spans="2:6">
      <c r="B139" s="273"/>
      <c r="C139" s="268"/>
      <c r="D139" s="269" t="s">
        <v>642</v>
      </c>
      <c r="E139" s="270">
        <v>4994.8249999999998</v>
      </c>
      <c r="F139" s="274">
        <v>0</v>
      </c>
    </row>
    <row r="140" spans="2:6">
      <c r="B140" s="273"/>
      <c r="C140" s="268"/>
      <c r="D140" s="269" t="s">
        <v>767</v>
      </c>
      <c r="E140" s="270">
        <v>24.050386400000001</v>
      </c>
      <c r="F140" s="271">
        <v>24.475202999999997</v>
      </c>
    </row>
    <row r="141" spans="2:6">
      <c r="B141" s="273"/>
      <c r="C141" s="268"/>
      <c r="D141" s="269" t="s">
        <v>770</v>
      </c>
      <c r="E141" s="270">
        <v>6.2372156000000007</v>
      </c>
      <c r="F141" s="271">
        <v>19.205076000000002</v>
      </c>
    </row>
    <row r="142" spans="2:6">
      <c r="B142" s="273"/>
      <c r="C142" s="268"/>
      <c r="D142" s="269" t="s">
        <v>60</v>
      </c>
      <c r="E142" s="270">
        <v>257243.073</v>
      </c>
      <c r="F142" s="274">
        <v>0</v>
      </c>
    </row>
    <row r="143" spans="2:6">
      <c r="B143" s="273"/>
      <c r="C143" s="268"/>
      <c r="D143" s="269" t="s">
        <v>56</v>
      </c>
      <c r="E143" s="270">
        <v>110.78771999999999</v>
      </c>
      <c r="F143" s="271">
        <v>12.79152</v>
      </c>
    </row>
    <row r="144" spans="2:6">
      <c r="B144" s="273"/>
      <c r="C144" s="268"/>
      <c r="D144" s="269" t="s">
        <v>1885</v>
      </c>
      <c r="E144" s="270">
        <v>11.9397866</v>
      </c>
      <c r="F144" s="274">
        <v>0</v>
      </c>
    </row>
    <row r="145" spans="2:6">
      <c r="B145" s="273"/>
      <c r="C145" s="268"/>
      <c r="D145" s="269" t="s">
        <v>777</v>
      </c>
      <c r="E145" s="270">
        <v>17.378117400000001</v>
      </c>
      <c r="F145" s="274">
        <v>0</v>
      </c>
    </row>
    <row r="146" spans="2:6">
      <c r="B146" s="273"/>
      <c r="C146" s="268"/>
      <c r="D146" s="269" t="s">
        <v>63</v>
      </c>
      <c r="E146" s="270">
        <v>495.06</v>
      </c>
      <c r="F146" s="274">
        <v>0</v>
      </c>
    </row>
    <row r="147" spans="2:6">
      <c r="B147" s="273"/>
      <c r="C147" s="268"/>
      <c r="D147" s="269" t="s">
        <v>55</v>
      </c>
      <c r="E147" s="270">
        <v>170.92662000000001</v>
      </c>
      <c r="F147" s="271">
        <v>132.71141399999999</v>
      </c>
    </row>
    <row r="148" spans="2:6">
      <c r="B148" s="273"/>
      <c r="C148" s="268"/>
      <c r="D148" s="269" t="s">
        <v>789</v>
      </c>
      <c r="E148" s="270">
        <v>292.56817000000001</v>
      </c>
      <c r="F148" s="271">
        <v>227.02409400000002</v>
      </c>
    </row>
    <row r="149" spans="2:6">
      <c r="B149" s="273"/>
      <c r="C149" s="268"/>
      <c r="D149" s="269"/>
      <c r="E149" s="270"/>
      <c r="F149" s="271"/>
    </row>
    <row r="150" spans="2:6" ht="30">
      <c r="B150" s="273" t="s">
        <v>1910</v>
      </c>
      <c r="C150" s="268" t="s">
        <v>1911</v>
      </c>
      <c r="D150" s="269" t="s">
        <v>60</v>
      </c>
      <c r="E150" s="270">
        <v>130000</v>
      </c>
      <c r="F150" s="271">
        <v>25000</v>
      </c>
    </row>
    <row r="151" spans="2:6">
      <c r="B151" s="273"/>
      <c r="C151" s="268"/>
      <c r="D151" s="269"/>
      <c r="E151" s="270"/>
      <c r="F151" s="271"/>
    </row>
    <row r="152" spans="2:6">
      <c r="B152" s="273" t="s">
        <v>1912</v>
      </c>
      <c r="C152" s="268" t="s">
        <v>642</v>
      </c>
      <c r="D152" s="269" t="s">
        <v>60</v>
      </c>
      <c r="E152" s="270">
        <v>112796.899</v>
      </c>
      <c r="F152" s="271">
        <v>8918.2890000000007</v>
      </c>
    </row>
    <row r="153" spans="2:6">
      <c r="B153" s="273"/>
      <c r="C153" s="268" t="s">
        <v>63</v>
      </c>
      <c r="D153" s="269"/>
      <c r="E153" s="270"/>
      <c r="F153" s="271"/>
    </row>
    <row r="154" spans="2:6">
      <c r="B154" s="273"/>
      <c r="C154" s="268"/>
      <c r="D154" s="269"/>
      <c r="E154" s="270"/>
      <c r="F154" s="271"/>
    </row>
    <row r="155" spans="2:6">
      <c r="B155" s="273" t="s">
        <v>1913</v>
      </c>
      <c r="C155" s="268" t="s">
        <v>60</v>
      </c>
      <c r="D155" s="269" t="s">
        <v>228</v>
      </c>
      <c r="E155" s="270">
        <v>675.13952899999992</v>
      </c>
      <c r="F155" s="271">
        <v>492.88406500000002</v>
      </c>
    </row>
    <row r="156" spans="2:6">
      <c r="B156" s="273"/>
      <c r="C156" s="268"/>
      <c r="D156" s="269" t="s">
        <v>753</v>
      </c>
      <c r="E156" s="270">
        <v>27.547073999999999</v>
      </c>
      <c r="F156" s="271">
        <v>25.3035</v>
      </c>
    </row>
    <row r="157" spans="2:6">
      <c r="B157" s="273"/>
      <c r="C157" s="268"/>
      <c r="D157" s="269" t="s">
        <v>226</v>
      </c>
      <c r="E157" s="270">
        <v>2198.8093777000008</v>
      </c>
      <c r="F157" s="271">
        <v>811.96119999999996</v>
      </c>
    </row>
    <row r="158" spans="2:6">
      <c r="B158" s="273"/>
      <c r="C158" s="268"/>
      <c r="D158" s="269" t="s">
        <v>779</v>
      </c>
      <c r="E158" s="270">
        <v>1.7487716</v>
      </c>
      <c r="F158" s="271">
        <v>208.01163899999997</v>
      </c>
    </row>
    <row r="159" spans="2:6">
      <c r="B159" s="273"/>
      <c r="C159" s="268"/>
      <c r="D159" s="269" t="s">
        <v>785</v>
      </c>
      <c r="E159" s="270">
        <v>24.854002300000001</v>
      </c>
      <c r="F159" s="271">
        <v>367.33934399999998</v>
      </c>
    </row>
    <row r="160" spans="2:6">
      <c r="B160" s="273"/>
      <c r="C160" s="268"/>
      <c r="D160" s="269" t="s">
        <v>787</v>
      </c>
      <c r="E160" s="270">
        <v>1.9883410999999998</v>
      </c>
      <c r="F160" s="271">
        <v>330.56583949999998</v>
      </c>
    </row>
    <row r="161" spans="2:6">
      <c r="B161" s="273"/>
      <c r="C161" s="268"/>
      <c r="D161" s="269" t="s">
        <v>767</v>
      </c>
      <c r="E161" s="270">
        <v>14.9302413</v>
      </c>
      <c r="F161" s="271">
        <v>16.829639</v>
      </c>
    </row>
    <row r="162" spans="2:6">
      <c r="B162" s="273"/>
      <c r="C162" s="268"/>
      <c r="D162" s="269" t="s">
        <v>770</v>
      </c>
      <c r="E162" s="270">
        <v>2.0332366999999998</v>
      </c>
      <c r="F162" s="271">
        <v>13.906444499999999</v>
      </c>
    </row>
    <row r="163" spans="2:6">
      <c r="B163" s="273"/>
      <c r="C163" s="268"/>
      <c r="D163" s="269" t="s">
        <v>1885</v>
      </c>
      <c r="E163" s="270">
        <v>11.7638348</v>
      </c>
      <c r="F163" s="274">
        <v>0</v>
      </c>
    </row>
    <row r="164" spans="2:6">
      <c r="B164" s="273"/>
      <c r="C164" s="268"/>
      <c r="D164" s="269"/>
      <c r="E164" s="270"/>
      <c r="F164" s="271"/>
    </row>
    <row r="165" spans="2:6" ht="45">
      <c r="B165" s="273" t="s">
        <v>1914</v>
      </c>
      <c r="C165" s="268"/>
      <c r="D165" s="269" t="s">
        <v>1895</v>
      </c>
      <c r="E165" s="270">
        <v>460.48649999999998</v>
      </c>
      <c r="F165" s="274">
        <v>0</v>
      </c>
    </row>
    <row r="166" spans="2:6">
      <c r="B166" s="273"/>
      <c r="C166" s="268"/>
      <c r="D166" s="269" t="s">
        <v>60</v>
      </c>
      <c r="E166" s="270">
        <v>469553.86995580001</v>
      </c>
      <c r="F166" s="271">
        <v>9887.85</v>
      </c>
    </row>
    <row r="167" spans="2:6">
      <c r="B167" s="273"/>
      <c r="C167" s="268"/>
      <c r="D167" s="269" t="s">
        <v>63</v>
      </c>
      <c r="E167" s="270">
        <v>17469.4442328</v>
      </c>
      <c r="F167" s="274">
        <v>0</v>
      </c>
    </row>
    <row r="168" spans="2:6">
      <c r="B168" s="273"/>
      <c r="C168" s="268"/>
      <c r="D168" s="269"/>
      <c r="E168" s="270"/>
      <c r="F168" s="271"/>
    </row>
    <row r="169" spans="2:6" ht="45">
      <c r="B169" s="273" t="s">
        <v>1915</v>
      </c>
      <c r="C169" s="268"/>
      <c r="D169" s="269" t="s">
        <v>228</v>
      </c>
      <c r="E169" s="270">
        <v>498.24950000000001</v>
      </c>
      <c r="F169" s="274">
        <v>0</v>
      </c>
    </row>
    <row r="170" spans="2:6">
      <c r="B170" s="273"/>
      <c r="C170" s="268"/>
      <c r="D170" s="269" t="s">
        <v>642</v>
      </c>
      <c r="E170" s="270">
        <v>8978.9210000000003</v>
      </c>
      <c r="F170" s="274">
        <v>0</v>
      </c>
    </row>
    <row r="171" spans="2:6">
      <c r="B171" s="273"/>
      <c r="C171" s="268"/>
      <c r="D171" s="269" t="s">
        <v>60</v>
      </c>
      <c r="E171" s="270">
        <v>380119.94199999998</v>
      </c>
      <c r="F171" s="274">
        <v>0</v>
      </c>
    </row>
    <row r="172" spans="2:6">
      <c r="B172" s="273"/>
      <c r="C172" s="268"/>
      <c r="D172" s="269" t="s">
        <v>63</v>
      </c>
      <c r="E172" s="270">
        <v>8030.5264452000001</v>
      </c>
      <c r="F172" s="271">
        <v>5457.0365000000002</v>
      </c>
    </row>
    <row r="173" spans="2:6">
      <c r="B173" s="273"/>
      <c r="C173" s="268"/>
      <c r="D173" s="269"/>
      <c r="E173" s="270"/>
      <c r="F173" s="271"/>
    </row>
    <row r="174" spans="2:6" ht="60">
      <c r="B174" s="273" t="s">
        <v>1916</v>
      </c>
      <c r="C174" s="268"/>
      <c r="D174" s="269" t="s">
        <v>608</v>
      </c>
      <c r="E174" s="276">
        <v>0</v>
      </c>
      <c r="F174" s="271">
        <v>655.53994999999998</v>
      </c>
    </row>
    <row r="175" spans="2:6">
      <c r="B175" s="273"/>
      <c r="C175" s="268"/>
      <c r="D175" s="269" t="s">
        <v>1895</v>
      </c>
      <c r="E175" s="270">
        <v>460.69549999999998</v>
      </c>
      <c r="F175" s="274">
        <v>0</v>
      </c>
    </row>
    <row r="176" spans="2:6">
      <c r="B176" s="273"/>
      <c r="C176" s="268"/>
      <c r="D176" s="269" t="s">
        <v>642</v>
      </c>
      <c r="E176" s="270">
        <v>5482.5874999999996</v>
      </c>
      <c r="F176" s="274">
        <v>0</v>
      </c>
    </row>
    <row r="177" spans="2:6">
      <c r="B177" s="273"/>
      <c r="C177" s="268"/>
      <c r="D177" s="269" t="s">
        <v>60</v>
      </c>
      <c r="E177" s="270">
        <v>151568.90549999999</v>
      </c>
      <c r="F177" s="274">
        <v>0</v>
      </c>
    </row>
    <row r="178" spans="2:6">
      <c r="B178" s="273"/>
      <c r="C178" s="268"/>
      <c r="D178" s="269" t="s">
        <v>63</v>
      </c>
      <c r="E178" s="270">
        <v>29739.41</v>
      </c>
      <c r="F178" s="271">
        <v>4941.72</v>
      </c>
    </row>
    <row r="179" spans="2:6">
      <c r="B179" s="273"/>
      <c r="C179" s="268"/>
      <c r="D179" s="269"/>
      <c r="E179" s="270"/>
      <c r="F179" s="271"/>
    </row>
    <row r="180" spans="2:6" ht="60">
      <c r="B180" s="273" t="s">
        <v>1917</v>
      </c>
      <c r="C180" s="268"/>
      <c r="D180" s="269" t="s">
        <v>57</v>
      </c>
      <c r="E180" s="270">
        <v>2737.4664726000001</v>
      </c>
      <c r="F180" s="274">
        <v>0</v>
      </c>
    </row>
    <row r="181" spans="2:6">
      <c r="B181" s="273"/>
      <c r="C181" s="268"/>
      <c r="D181" s="269" t="s">
        <v>642</v>
      </c>
      <c r="E181" s="270">
        <v>2699.5832876999998</v>
      </c>
      <c r="F181" s="274">
        <v>0</v>
      </c>
    </row>
    <row r="182" spans="2:6">
      <c r="B182" s="273"/>
      <c r="C182" s="268"/>
      <c r="D182" s="269" t="s">
        <v>60</v>
      </c>
      <c r="E182" s="270">
        <v>520498.52649999998</v>
      </c>
      <c r="F182" s="271">
        <v>1488.539</v>
      </c>
    </row>
    <row r="183" spans="2:6">
      <c r="B183" s="273"/>
      <c r="C183" s="268"/>
      <c r="D183" s="269" t="s">
        <v>63</v>
      </c>
      <c r="E183" s="270">
        <v>62911.701219200004</v>
      </c>
      <c r="F183" s="271">
        <v>2513.33</v>
      </c>
    </row>
    <row r="184" spans="2:6">
      <c r="B184" s="273"/>
      <c r="C184" s="268"/>
      <c r="D184" s="269"/>
      <c r="E184" s="270"/>
      <c r="F184" s="271"/>
    </row>
    <row r="185" spans="2:6" ht="60">
      <c r="B185" s="273" t="s">
        <v>1918</v>
      </c>
      <c r="C185" s="268"/>
      <c r="D185" s="269" t="s">
        <v>60</v>
      </c>
      <c r="E185" s="270">
        <v>64725.07</v>
      </c>
      <c r="F185" s="274">
        <v>0</v>
      </c>
    </row>
    <row r="186" spans="2:6">
      <c r="B186" s="273"/>
      <c r="C186" s="268"/>
      <c r="D186" s="269"/>
      <c r="E186" s="270"/>
      <c r="F186" s="271"/>
    </row>
    <row r="187" spans="2:6" ht="45">
      <c r="B187" s="273" t="s">
        <v>1919</v>
      </c>
      <c r="C187" s="268"/>
      <c r="D187" s="269" t="s">
        <v>60</v>
      </c>
      <c r="E187" s="270">
        <v>32365.037499999999</v>
      </c>
      <c r="F187" s="274">
        <v>0</v>
      </c>
    </row>
    <row r="188" spans="2:6">
      <c r="B188" s="273"/>
      <c r="C188" s="268"/>
      <c r="D188" s="269"/>
      <c r="E188" s="270"/>
      <c r="F188" s="271"/>
    </row>
    <row r="189" spans="2:6" ht="45">
      <c r="B189" s="273" t="s">
        <v>1920</v>
      </c>
      <c r="C189" s="268"/>
      <c r="D189" s="269" t="s">
        <v>56</v>
      </c>
      <c r="E189" s="270">
        <v>33.604300000000002</v>
      </c>
      <c r="F189" s="274">
        <v>0</v>
      </c>
    </row>
    <row r="190" spans="2:6">
      <c r="B190" s="273"/>
      <c r="C190" s="268"/>
      <c r="D190" s="269"/>
      <c r="E190" s="270"/>
      <c r="F190" s="271"/>
    </row>
    <row r="191" spans="2:6" ht="45">
      <c r="B191" s="273" t="s">
        <v>1921</v>
      </c>
      <c r="C191" s="268"/>
      <c r="D191" s="269" t="s">
        <v>57</v>
      </c>
      <c r="E191" s="270">
        <v>2631.1950000000002</v>
      </c>
      <c r="F191" s="271">
        <v>2539.6374999999998</v>
      </c>
    </row>
    <row r="192" spans="2:6">
      <c r="B192" s="273"/>
      <c r="C192" s="268"/>
      <c r="D192" s="269"/>
      <c r="E192" s="270"/>
      <c r="F192" s="271"/>
    </row>
    <row r="193" spans="2:6" ht="45">
      <c r="B193" s="273" t="s">
        <v>1922</v>
      </c>
      <c r="C193" s="268"/>
      <c r="D193" s="269" t="s">
        <v>590</v>
      </c>
      <c r="E193" s="270">
        <v>2.4668414000000003</v>
      </c>
      <c r="F193" s="274">
        <v>0</v>
      </c>
    </row>
    <row r="194" spans="2:6">
      <c r="B194" s="273"/>
      <c r="C194" s="268"/>
      <c r="D194" s="269" t="s">
        <v>285</v>
      </c>
      <c r="E194" s="270">
        <v>2.6024531</v>
      </c>
      <c r="F194" s="274">
        <v>0</v>
      </c>
    </row>
    <row r="195" spans="2:6">
      <c r="B195" s="273"/>
      <c r="C195" s="268"/>
      <c r="D195" s="269" t="s">
        <v>286</v>
      </c>
      <c r="E195" s="270">
        <v>1.2721669</v>
      </c>
      <c r="F195" s="274">
        <v>0</v>
      </c>
    </row>
    <row r="196" spans="2:6">
      <c r="B196" s="273"/>
      <c r="C196" s="268"/>
      <c r="D196" s="269" t="s">
        <v>608</v>
      </c>
      <c r="E196" s="270">
        <v>0.92990880000000009</v>
      </c>
      <c r="F196" s="274">
        <v>0</v>
      </c>
    </row>
    <row r="197" spans="2:6">
      <c r="B197" s="273"/>
      <c r="C197" s="268"/>
      <c r="D197" s="269" t="s">
        <v>615</v>
      </c>
      <c r="E197" s="270">
        <v>1.356117</v>
      </c>
      <c r="F197" s="274">
        <v>0</v>
      </c>
    </row>
    <row r="198" spans="2:6">
      <c r="B198" s="273"/>
      <c r="C198" s="268"/>
      <c r="D198" s="269" t="s">
        <v>617</v>
      </c>
      <c r="E198" s="270">
        <v>1.4465248000000002</v>
      </c>
      <c r="F198" s="274">
        <v>0</v>
      </c>
    </row>
    <row r="199" spans="2:6">
      <c r="B199" s="273"/>
      <c r="C199" s="268"/>
      <c r="D199" s="269"/>
      <c r="E199" s="270"/>
      <c r="F199" s="271"/>
    </row>
    <row r="200" spans="2:6" ht="45.75" thickBot="1">
      <c r="B200" s="278" t="s">
        <v>1923</v>
      </c>
      <c r="C200" s="279"/>
      <c r="D200" s="280" t="s">
        <v>60</v>
      </c>
      <c r="E200" s="281">
        <v>4986.4750000000004</v>
      </c>
      <c r="F200" s="282">
        <v>0</v>
      </c>
    </row>
    <row r="202" spans="2:6">
      <c r="B202" s="283"/>
    </row>
    <row r="203" spans="2:6">
      <c r="B203" s="118"/>
    </row>
    <row r="204" spans="2:6">
      <c r="B204" s="286"/>
    </row>
  </sheetData>
  <sheetProtection password="C71F" sheet="1" objects="1" scenarios="1"/>
  <pageMargins left="0.70866141732283472" right="0.70866141732283472" top="0.74803149606299213" bottom="0.74803149606299213" header="0.31496062992125984" footer="0.31496062992125984"/>
  <pageSetup paperSize="8" scale="5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3</vt:i4>
      </vt:variant>
    </vt:vector>
  </HeadingPairs>
  <TitlesOfParts>
    <vt:vector size="19" baseType="lpstr">
      <vt:lpstr>Asso invt</vt:lpstr>
      <vt:lpstr>AMFI AUM 31 March 2018</vt:lpstr>
      <vt:lpstr>March 2018 HY </vt:lpstr>
      <vt:lpstr>Notes to Accounts</vt:lpstr>
      <vt:lpstr>TB Mar18</vt:lpstr>
      <vt:lpstr>Sep 2017 HY</vt:lpstr>
      <vt:lpstr>SIM NAV 31 03 2018</vt:lpstr>
      <vt:lpstr>code mapping</vt:lpstr>
      <vt:lpstr>DB Mapping</vt:lpstr>
      <vt:lpstr>TB mapping</vt:lpstr>
      <vt:lpstr>Exp ratio</vt:lpstr>
      <vt:lpstr>AAUM</vt:lpstr>
      <vt:lpstr>Scheme details</vt:lpstr>
      <vt:lpstr>Plan mapping</vt:lpstr>
      <vt:lpstr>Annexure 1</vt:lpstr>
      <vt:lpstr>Annexure 2</vt:lpstr>
      <vt:lpstr>'Annexure 1'!Print_Titles</vt:lpstr>
      <vt:lpstr>'Annexure 2'!Print_Titles</vt:lpstr>
      <vt:lpstr>'March 2018 HY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Vaibhav Chavan</cp:lastModifiedBy>
  <cp:lastPrinted>2018-04-24T10:52:30Z</cp:lastPrinted>
  <dcterms:created xsi:type="dcterms:W3CDTF">2018-03-09T05:23:41Z</dcterms:created>
  <dcterms:modified xsi:type="dcterms:W3CDTF">2018-04-24T11:00:51Z</dcterms:modified>
</cp:coreProperties>
</file>